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4.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omments5.xml" ContentType="application/vnd.openxmlformats-officedocument.spreadsheetml.comments+xml"/>
  <Override PartName="/xl/tables/table26.xml" ContentType="application/vnd.openxmlformats-officedocument.spreadsheetml.table+xml"/>
  <Override PartName="/xl/comments6.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omments7.xml" ContentType="application/vnd.openxmlformats-officedocument.spreadsheetml.comments+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omments8.xml" ContentType="application/vnd.openxmlformats-officedocument.spreadsheetml.comments+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updateLinks="never" codeName="ThisWorkbook"/>
  <mc:AlternateContent xmlns:mc="http://schemas.openxmlformats.org/markup-compatibility/2006">
    <mc:Choice Requires="x15">
      <x15ac:absPath xmlns:x15ac="http://schemas.microsoft.com/office/spreadsheetml/2010/11/ac" url="https://usdagcc-my.sharepoint.com/personal/lisa_taylor_usda_gov/Documents/SOS/"/>
    </mc:Choice>
  </mc:AlternateContent>
  <xr:revisionPtr revIDLastSave="0" documentId="8_{F717602F-5455-4DCD-8DBC-C00138959EFC}" xr6:coauthVersionLast="46" xr6:coauthVersionMax="46" xr10:uidLastSave="{00000000-0000-0000-0000-000000000000}"/>
  <bookViews>
    <workbookView xWindow="-120" yWindow="-120" windowWidth="29040" windowHeight="15840" tabRatio="915" firstSheet="1" activeTab="4" xr2:uid="{00000000-000D-0000-FFFF-FFFF00000000}"/>
  </bookViews>
  <sheets>
    <sheet name="Info" sheetId="31" r:id="rId1"/>
    <sheet name="INV-Multi lots" sheetId="56" r:id="rId2"/>
    <sheet name="Lookup Picker" sheetId="40" r:id="rId3"/>
    <sheet name="Master File" sheetId="30" r:id="rId4"/>
    <sheet name="Accession Table" sheetId="2" r:id="rId5"/>
    <sheet name="Refresh Data-GG" sheetId="46" r:id="rId6"/>
    <sheet name="Export Accession Table" sheetId="51" r:id="rId7"/>
    <sheet name="Acc. Action SOS" sheetId="4" r:id="rId8"/>
    <sheet name="Acc. Action (Other)" sheetId="55" r:id="rId9"/>
    <sheet name="Acc.Source (Collector)" sheetId="7" r:id="rId10"/>
    <sheet name="Acc.Source (Donor)" sheetId="8" r:id="rId11"/>
    <sheet name="Inventory Table" sheetId="3" r:id="rId12"/>
    <sheet name="Refresh Data (GG)" sheetId="43" r:id="rId13"/>
    <sheet name="Acc. Inv. Group Map" sheetId="53" r:id="rId14"/>
    <sheet name="Acc. Inv. Group Map-FIRST.LOTS" sheetId="12" r:id="rId15"/>
    <sheet name="Inv. Viability (DonorGerm)" sheetId="52" r:id="rId16"/>
    <sheet name="Inv. Action (Rec'd)" sheetId="5" r:id="rId17"/>
    <sheet name="Inv. Action (Collected)" sheetId="29" r:id="rId18"/>
    <sheet name="Acc.Source.Coop. (Collector 1)" sheetId="14" r:id="rId19"/>
    <sheet name="Collector 2" sheetId="32" r:id="rId20"/>
    <sheet name="Collector 3" sheetId="33" r:id="rId21"/>
    <sheet name="Acc.Source.Coop (Donor 1)" sheetId="18" r:id="rId22"/>
    <sheet name="Donor 2" sheetId="34" r:id="rId23"/>
    <sheet name="Acc. Inv. Name 1" sheetId="9" r:id="rId24"/>
    <sheet name="Acc. Inv. Name 2" sheetId="35" r:id="rId25"/>
    <sheet name="Acc. Inv. Name 3" sheetId="58" r:id="rId26"/>
    <sheet name="Acc.Inv.Voucher 1" sheetId="19" r:id="rId27"/>
    <sheet name="Acc.Inv.Voucher 2" sheetId="37" r:id="rId28"/>
    <sheet name="Acc.Inv.Voucher 3" sheetId="38" r:id="rId29"/>
    <sheet name="Citation" sheetId="49" r:id="rId30"/>
    <sheet name="Source.Descriptor Obs (Aspect)" sheetId="24" r:id="rId31"/>
    <sheet name="Source.Descriptor Obs (Slope)" sheetId="27" r:id="rId32"/>
    <sheet name="Source.Descriptor Obs (Soil)" sheetId="28" r:id="rId33"/>
    <sheet name="Source.Descriptor Obs (Ecoreg)" sheetId="57" r:id="rId34"/>
    <sheet name="Final Checklist" sheetId="44" r:id="rId35"/>
    <sheet name="Print This" sheetId="42" r:id="rId36"/>
  </sheets>
  <definedNames>
    <definedName name="_xlnm.Print_Titles" localSheetId="35">'Print This'!$1:$1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57" l="1"/>
  <c r="H3" i="57"/>
  <c r="H4" i="57"/>
  <c r="H5" i="57"/>
  <c r="H6" i="57"/>
  <c r="H7" i="57"/>
  <c r="H8" i="57"/>
  <c r="H9" i="57"/>
  <c r="H10" i="57"/>
  <c r="H11" i="57"/>
  <c r="H12"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58" i="57"/>
  <c r="H59" i="57"/>
  <c r="H60" i="57"/>
  <c r="H61" i="57"/>
  <c r="H62" i="57"/>
  <c r="H63" i="57"/>
  <c r="H64" i="57"/>
  <c r="H65" i="57"/>
  <c r="H66" i="57"/>
  <c r="H67" i="57"/>
  <c r="H68" i="57"/>
  <c r="H69" i="57"/>
  <c r="H70" i="57"/>
  <c r="H71" i="57"/>
  <c r="H72" i="57"/>
  <c r="H73" i="57"/>
  <c r="H74" i="57"/>
  <c r="H75" i="57"/>
  <c r="H76" i="57"/>
  <c r="H77" i="57"/>
  <c r="H78" i="57"/>
  <c r="H79" i="57"/>
  <c r="H80" i="57"/>
  <c r="H81" i="57"/>
  <c r="H82" i="57"/>
  <c r="H83" i="57"/>
  <c r="H84" i="57"/>
  <c r="H85" i="57"/>
  <c r="H86" i="57"/>
  <c r="H87" i="57"/>
  <c r="H88" i="57"/>
  <c r="H89" i="57"/>
  <c r="H90" i="57"/>
  <c r="H91" i="57"/>
  <c r="H92" i="57"/>
  <c r="H93" i="57"/>
  <c r="H94" i="57"/>
  <c r="H95" i="57"/>
  <c r="H96" i="57"/>
  <c r="H97" i="57"/>
  <c r="H98" i="57"/>
  <c r="H99" i="57"/>
  <c r="H100" i="57"/>
  <c r="H101" i="57"/>
  <c r="H102" i="57"/>
  <c r="H103" i="57"/>
  <c r="H104" i="57"/>
  <c r="H105" i="57"/>
  <c r="H106" i="57"/>
  <c r="H107" i="57"/>
  <c r="H108" i="57"/>
  <c r="H109" i="57"/>
  <c r="H110" i="57"/>
  <c r="H111" i="57"/>
  <c r="H112" i="57"/>
  <c r="H113" i="57"/>
  <c r="H114" i="57"/>
  <c r="H115" i="57"/>
  <c r="H116" i="57"/>
  <c r="H117" i="57"/>
  <c r="H118" i="57"/>
  <c r="H119" i="57"/>
  <c r="H120" i="57"/>
  <c r="H121" i="57"/>
  <c r="H122" i="57"/>
  <c r="H123" i="57"/>
  <c r="H124" i="57"/>
  <c r="H125" i="57"/>
  <c r="H126" i="57"/>
  <c r="H127" i="57"/>
  <c r="H128" i="57"/>
  <c r="H129" i="57"/>
  <c r="H130" i="57"/>
  <c r="H131" i="57"/>
  <c r="H132" i="57"/>
  <c r="H133" i="57"/>
  <c r="H134" i="57"/>
  <c r="H135" i="57"/>
  <c r="H136" i="57"/>
  <c r="H137" i="57"/>
  <c r="H138" i="57"/>
  <c r="H139" i="57"/>
  <c r="H140" i="57"/>
  <c r="H141" i="57"/>
  <c r="H142" i="57"/>
  <c r="H143" i="57"/>
  <c r="H144" i="57"/>
  <c r="H145" i="57"/>
  <c r="H146" i="57"/>
  <c r="H147" i="57"/>
  <c r="H148" i="57"/>
  <c r="H149" i="57"/>
  <c r="H150" i="57"/>
  <c r="H151" i="57"/>
  <c r="H152" i="57"/>
  <c r="H153" i="57"/>
  <c r="H154" i="57"/>
  <c r="H155" i="57"/>
  <c r="H156" i="57"/>
  <c r="H157" i="57"/>
  <c r="H158" i="57"/>
  <c r="H159" i="57"/>
  <c r="H160" i="57"/>
  <c r="H161" i="57"/>
  <c r="H162" i="57"/>
  <c r="H163" i="57"/>
  <c r="H164" i="57"/>
  <c r="H165" i="57"/>
  <c r="H166" i="57"/>
  <c r="H167" i="57"/>
  <c r="H168" i="57"/>
  <c r="H169" i="57"/>
  <c r="H170" i="57"/>
  <c r="H171" i="57"/>
  <c r="H172" i="57"/>
  <c r="H173" i="57"/>
  <c r="H174" i="57"/>
  <c r="H175" i="57"/>
  <c r="H176" i="57"/>
  <c r="H177" i="57"/>
  <c r="H178" i="57"/>
  <c r="H179" i="57"/>
  <c r="H180" i="57"/>
  <c r="H181" i="57"/>
  <c r="H182" i="57"/>
  <c r="H183" i="57"/>
  <c r="H184" i="57"/>
  <c r="H185" i="57"/>
  <c r="H186" i="57"/>
  <c r="H187" i="57"/>
  <c r="H188" i="57"/>
  <c r="H189" i="57"/>
  <c r="H190" i="57"/>
  <c r="H191" i="57"/>
  <c r="H192" i="57"/>
  <c r="H193" i="57"/>
  <c r="H194" i="57"/>
  <c r="H195" i="57"/>
  <c r="H196" i="57"/>
  <c r="H197" i="57"/>
  <c r="H198" i="57"/>
  <c r="H199" i="57"/>
  <c r="H200" i="57"/>
  <c r="H201" i="57"/>
  <c r="H2" i="28"/>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H101" i="27"/>
  <c r="H102" i="27"/>
  <c r="H103" i="27"/>
  <c r="H104" i="27"/>
  <c r="H105" i="27"/>
  <c r="H106" i="27"/>
  <c r="H107" i="27"/>
  <c r="H108" i="27"/>
  <c r="H109" i="27"/>
  <c r="H110" i="27"/>
  <c r="H111" i="27"/>
  <c r="H112" i="27"/>
  <c r="H113" i="27"/>
  <c r="H114" i="27"/>
  <c r="H115" i="27"/>
  <c r="H116" i="27"/>
  <c r="H117" i="27"/>
  <c r="H118" i="27"/>
  <c r="H119" i="27"/>
  <c r="H120" i="27"/>
  <c r="H121" i="27"/>
  <c r="H122" i="27"/>
  <c r="H123" i="27"/>
  <c r="H124" i="27"/>
  <c r="H125" i="27"/>
  <c r="H126" i="27"/>
  <c r="H127" i="27"/>
  <c r="H128" i="27"/>
  <c r="H129" i="27"/>
  <c r="H130" i="27"/>
  <c r="H131" i="27"/>
  <c r="H132" i="27"/>
  <c r="H133" i="27"/>
  <c r="H134" i="27"/>
  <c r="H135" i="27"/>
  <c r="H136" i="27"/>
  <c r="H137" i="27"/>
  <c r="H138" i="27"/>
  <c r="H139" i="27"/>
  <c r="H140" i="27"/>
  <c r="H141" i="27"/>
  <c r="H142" i="27"/>
  <c r="H143" i="27"/>
  <c r="H144" i="27"/>
  <c r="H145" i="27"/>
  <c r="H146" i="27"/>
  <c r="H147" i="27"/>
  <c r="H148" i="27"/>
  <c r="H149" i="27"/>
  <c r="H150" i="27"/>
  <c r="H151" i="27"/>
  <c r="H152" i="27"/>
  <c r="H153" i="27"/>
  <c r="H154" i="27"/>
  <c r="H155" i="27"/>
  <c r="H156" i="27"/>
  <c r="H157" i="27"/>
  <c r="H158" i="27"/>
  <c r="H159" i="27"/>
  <c r="H160" i="27"/>
  <c r="H161" i="27"/>
  <c r="H162" i="27"/>
  <c r="H163" i="27"/>
  <c r="H164" i="27"/>
  <c r="H165" i="27"/>
  <c r="H166" i="27"/>
  <c r="H167" i="27"/>
  <c r="H168" i="27"/>
  <c r="H169" i="27"/>
  <c r="H170" i="27"/>
  <c r="H171" i="27"/>
  <c r="H172" i="27"/>
  <c r="H173" i="27"/>
  <c r="H174" i="27"/>
  <c r="H175" i="27"/>
  <c r="H176" i="27"/>
  <c r="H177" i="27"/>
  <c r="H178" i="27"/>
  <c r="H179" i="27"/>
  <c r="H180" i="27"/>
  <c r="H181" i="27"/>
  <c r="H182" i="27"/>
  <c r="H183" i="27"/>
  <c r="H184" i="27"/>
  <c r="H185" i="27"/>
  <c r="H186" i="27"/>
  <c r="H187" i="27"/>
  <c r="H188" i="27"/>
  <c r="H189" i="27"/>
  <c r="H190" i="27"/>
  <c r="H191" i="27"/>
  <c r="H192" i="27"/>
  <c r="H193" i="27"/>
  <c r="H194" i="27"/>
  <c r="H195" i="27"/>
  <c r="H196" i="27"/>
  <c r="H197" i="27"/>
  <c r="H198" i="27"/>
  <c r="H199" i="27"/>
  <c r="H200" i="27"/>
  <c r="H201" i="27"/>
  <c r="H3" i="28"/>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G7" i="57"/>
  <c r="E3" i="7"/>
  <c r="C3" i="4" l="1"/>
  <c r="H3" i="37" l="1"/>
  <c r="F2" i="58"/>
  <c r="F3" i="58"/>
  <c r="F4" i="58"/>
  <c r="F5" i="58"/>
  <c r="F6" i="58"/>
  <c r="F7" i="58"/>
  <c r="F8" i="58"/>
  <c r="F9" i="58"/>
  <c r="F10" i="58"/>
  <c r="F11" i="58"/>
  <c r="F12" i="58"/>
  <c r="F13" i="58"/>
  <c r="F14" i="58"/>
  <c r="F15" i="58"/>
  <c r="F16" i="58"/>
  <c r="F17" i="58"/>
  <c r="F18" i="58"/>
  <c r="F19" i="58"/>
  <c r="F20" i="58"/>
  <c r="F21" i="58"/>
  <c r="F22" i="58"/>
  <c r="F23" i="58"/>
  <c r="F24" i="58"/>
  <c r="F25" i="58"/>
  <c r="F26" i="58"/>
  <c r="F27" i="58"/>
  <c r="F28" i="58"/>
  <c r="F29" i="58"/>
  <c r="F30" i="58"/>
  <c r="F31" i="58"/>
  <c r="F32" i="58"/>
  <c r="F33" i="58"/>
  <c r="F34" i="58"/>
  <c r="F35" i="58"/>
  <c r="F36" i="58"/>
  <c r="F37" i="58"/>
  <c r="F38" i="58"/>
  <c r="F39" i="58"/>
  <c r="F40" i="58"/>
  <c r="F41" i="58"/>
  <c r="F42" i="58"/>
  <c r="F43" i="58"/>
  <c r="F44" i="58"/>
  <c r="F45" i="58"/>
  <c r="F46" i="58"/>
  <c r="F47" i="58"/>
  <c r="F48" i="58"/>
  <c r="F49" i="58"/>
  <c r="F50" i="58"/>
  <c r="F51" i="58"/>
  <c r="F52" i="58"/>
  <c r="F53" i="58"/>
  <c r="F54" i="58"/>
  <c r="F55" i="58"/>
  <c r="F56" i="58"/>
  <c r="F57" i="58"/>
  <c r="F58" i="58"/>
  <c r="F59" i="58"/>
  <c r="F60" i="58"/>
  <c r="F61" i="58"/>
  <c r="F62" i="58"/>
  <c r="F63" i="58"/>
  <c r="F64" i="58"/>
  <c r="F65" i="58"/>
  <c r="F66" i="58"/>
  <c r="F67" i="58"/>
  <c r="F68" i="58"/>
  <c r="F69" i="58"/>
  <c r="F70" i="58"/>
  <c r="F71" i="58"/>
  <c r="F72" i="58"/>
  <c r="F73" i="58"/>
  <c r="F74" i="58"/>
  <c r="F75" i="58"/>
  <c r="F76" i="58"/>
  <c r="F77" i="58"/>
  <c r="F78" i="58"/>
  <c r="F79" i="58"/>
  <c r="F80" i="58"/>
  <c r="F81" i="58"/>
  <c r="F82" i="58"/>
  <c r="F83" i="58"/>
  <c r="F84" i="58"/>
  <c r="F85" i="58"/>
  <c r="F86" i="58"/>
  <c r="F87" i="58"/>
  <c r="F88" i="58"/>
  <c r="F89" i="58"/>
  <c r="F90" i="58"/>
  <c r="F91" i="58"/>
  <c r="F92" i="58"/>
  <c r="F93" i="58"/>
  <c r="F94" i="58"/>
  <c r="F95" i="58"/>
  <c r="F96" i="58"/>
  <c r="F97" i="58"/>
  <c r="F98" i="58"/>
  <c r="F99" i="58"/>
  <c r="F100" i="58"/>
  <c r="F101" i="58"/>
  <c r="F102" i="58"/>
  <c r="F103" i="58"/>
  <c r="F104" i="58"/>
  <c r="F105" i="58"/>
  <c r="F106" i="58"/>
  <c r="F107" i="58"/>
  <c r="F108" i="58"/>
  <c r="F109" i="58"/>
  <c r="F110" i="58"/>
  <c r="F111" i="58"/>
  <c r="F112" i="58"/>
  <c r="F113" i="58"/>
  <c r="F114" i="58"/>
  <c r="F115" i="58"/>
  <c r="F116" i="58"/>
  <c r="F117" i="58"/>
  <c r="F118" i="58"/>
  <c r="F119" i="58"/>
  <c r="F120" i="58"/>
  <c r="F121" i="58"/>
  <c r="F122" i="58"/>
  <c r="F123" i="58"/>
  <c r="F124" i="58"/>
  <c r="F125" i="58"/>
  <c r="F126" i="58"/>
  <c r="F127" i="58"/>
  <c r="F128" i="58"/>
  <c r="F129" i="58"/>
  <c r="F130" i="58"/>
  <c r="F131" i="58"/>
  <c r="F132" i="58"/>
  <c r="F133" i="58"/>
  <c r="F134" i="58"/>
  <c r="F135" i="58"/>
  <c r="F136" i="58"/>
  <c r="F137" i="58"/>
  <c r="F138" i="58"/>
  <c r="F139" i="58"/>
  <c r="F140" i="58"/>
  <c r="F141" i="58"/>
  <c r="F142" i="58"/>
  <c r="F143" i="58"/>
  <c r="F144" i="58"/>
  <c r="F145" i="58"/>
  <c r="F146" i="58"/>
  <c r="F147" i="58"/>
  <c r="F148" i="58"/>
  <c r="F149" i="58"/>
  <c r="F150" i="58"/>
  <c r="F151" i="58"/>
  <c r="F152" i="58"/>
  <c r="F153" i="58"/>
  <c r="F154" i="58"/>
  <c r="F155" i="58"/>
  <c r="F156" i="58"/>
  <c r="F157" i="58"/>
  <c r="F158" i="58"/>
  <c r="F159" i="58"/>
  <c r="F160" i="58"/>
  <c r="F161" i="58"/>
  <c r="F162" i="58"/>
  <c r="F163" i="58"/>
  <c r="F164" i="58"/>
  <c r="F165" i="58"/>
  <c r="F166" i="58"/>
  <c r="F167" i="58"/>
  <c r="F168" i="58"/>
  <c r="F169" i="58"/>
  <c r="F170" i="58"/>
  <c r="F171" i="58"/>
  <c r="F172" i="58"/>
  <c r="F173" i="58"/>
  <c r="F174" i="58"/>
  <c r="F175" i="58"/>
  <c r="F176" i="58"/>
  <c r="F177" i="58"/>
  <c r="F178" i="58"/>
  <c r="F179" i="58"/>
  <c r="F180" i="58"/>
  <c r="F181" i="58"/>
  <c r="F182" i="58"/>
  <c r="F183" i="58"/>
  <c r="F184" i="58"/>
  <c r="F185" i="58"/>
  <c r="F186" i="58"/>
  <c r="F187" i="58"/>
  <c r="F188" i="58"/>
  <c r="F189" i="58"/>
  <c r="F190" i="58"/>
  <c r="F191" i="58"/>
  <c r="F192" i="58"/>
  <c r="F193" i="58"/>
  <c r="F194" i="58"/>
  <c r="F195" i="58"/>
  <c r="F196" i="58"/>
  <c r="F197" i="58"/>
  <c r="F198" i="58"/>
  <c r="F199" i="58"/>
  <c r="F200" i="58"/>
  <c r="F201" i="58"/>
  <c r="E2" i="58"/>
  <c r="E3" i="58"/>
  <c r="E4" i="58"/>
  <c r="E5" i="58"/>
  <c r="E6" i="58"/>
  <c r="E7" i="58"/>
  <c r="E8" i="58"/>
  <c r="E9" i="58"/>
  <c r="E10" i="58"/>
  <c r="E11" i="58"/>
  <c r="E12" i="58"/>
  <c r="E13" i="58"/>
  <c r="E14" i="58"/>
  <c r="E15" i="58"/>
  <c r="E16" i="58"/>
  <c r="E17" i="58"/>
  <c r="E18" i="58"/>
  <c r="E19" i="58"/>
  <c r="E20" i="58"/>
  <c r="E21" i="58"/>
  <c r="E22" i="58"/>
  <c r="E23" i="58"/>
  <c r="E24" i="58"/>
  <c r="E25" i="58"/>
  <c r="E26" i="58"/>
  <c r="E27" i="58"/>
  <c r="E28" i="58"/>
  <c r="E29" i="58"/>
  <c r="E30" i="58"/>
  <c r="E31" i="58"/>
  <c r="E32" i="58"/>
  <c r="E33" i="58"/>
  <c r="E34" i="58"/>
  <c r="E35" i="58"/>
  <c r="E36" i="58"/>
  <c r="E37" i="58"/>
  <c r="E38" i="58"/>
  <c r="E39" i="58"/>
  <c r="E40" i="58"/>
  <c r="E41" i="58"/>
  <c r="E42" i="58"/>
  <c r="E43" i="58"/>
  <c r="E44" i="58"/>
  <c r="E45" i="58"/>
  <c r="E46" i="58"/>
  <c r="E47" i="58"/>
  <c r="E48" i="58"/>
  <c r="E49" i="58"/>
  <c r="E50" i="58"/>
  <c r="E51" i="58"/>
  <c r="E52" i="58"/>
  <c r="E53" i="58"/>
  <c r="E54" i="58"/>
  <c r="E55" i="58"/>
  <c r="E56" i="58"/>
  <c r="E57" i="58"/>
  <c r="E58" i="58"/>
  <c r="E59" i="58"/>
  <c r="E60" i="58"/>
  <c r="E61" i="58"/>
  <c r="E62" i="58"/>
  <c r="E63" i="58"/>
  <c r="E64" i="58"/>
  <c r="E65" i="58"/>
  <c r="E66" i="58"/>
  <c r="E67" i="58"/>
  <c r="E68" i="58"/>
  <c r="E69" i="58"/>
  <c r="E70" i="58"/>
  <c r="E71" i="58"/>
  <c r="E72" i="58"/>
  <c r="E73" i="58"/>
  <c r="E74" i="58"/>
  <c r="E75" i="58"/>
  <c r="E76" i="58"/>
  <c r="E77" i="58"/>
  <c r="E78" i="58"/>
  <c r="E79" i="58"/>
  <c r="E80" i="58"/>
  <c r="E81" i="58"/>
  <c r="E82" i="58"/>
  <c r="E83" i="58"/>
  <c r="E84" i="58"/>
  <c r="E85" i="58"/>
  <c r="E86" i="58"/>
  <c r="E87" i="58"/>
  <c r="E88" i="58"/>
  <c r="E89" i="58"/>
  <c r="E90" i="58"/>
  <c r="E91" i="58"/>
  <c r="E92" i="58"/>
  <c r="E93" i="58"/>
  <c r="E94" i="58"/>
  <c r="E95" i="58"/>
  <c r="E96" i="58"/>
  <c r="E97" i="58"/>
  <c r="E98" i="58"/>
  <c r="E99" i="58"/>
  <c r="E100" i="58"/>
  <c r="E101" i="58"/>
  <c r="E102" i="58"/>
  <c r="E103" i="58"/>
  <c r="E104" i="58"/>
  <c r="E105" i="58"/>
  <c r="E106" i="58"/>
  <c r="E107" i="58"/>
  <c r="E108" i="58"/>
  <c r="E109" i="58"/>
  <c r="E110" i="58"/>
  <c r="E111" i="58"/>
  <c r="E112" i="58"/>
  <c r="E113" i="58"/>
  <c r="E114" i="58"/>
  <c r="E115" i="58"/>
  <c r="E116" i="58"/>
  <c r="E117" i="58"/>
  <c r="E118" i="58"/>
  <c r="E119" i="58"/>
  <c r="E120" i="58"/>
  <c r="E121" i="58"/>
  <c r="E122" i="58"/>
  <c r="E123" i="58"/>
  <c r="E124" i="58"/>
  <c r="E125" i="58"/>
  <c r="E126" i="58"/>
  <c r="E127" i="58"/>
  <c r="E128" i="58"/>
  <c r="E129" i="58"/>
  <c r="E130" i="58"/>
  <c r="E131" i="58"/>
  <c r="E132" i="58"/>
  <c r="E133" i="58"/>
  <c r="E134" i="58"/>
  <c r="E135" i="58"/>
  <c r="E136" i="58"/>
  <c r="E137" i="58"/>
  <c r="E138" i="58"/>
  <c r="E139" i="58"/>
  <c r="E140" i="58"/>
  <c r="E141" i="58"/>
  <c r="E142" i="58"/>
  <c r="E143" i="58"/>
  <c r="E144" i="58"/>
  <c r="E145" i="58"/>
  <c r="E146" i="58"/>
  <c r="E147" i="58"/>
  <c r="E148" i="58"/>
  <c r="E149" i="58"/>
  <c r="E150" i="58"/>
  <c r="E151" i="58"/>
  <c r="E152" i="58"/>
  <c r="E153" i="58"/>
  <c r="E154" i="58"/>
  <c r="E155" i="58"/>
  <c r="E156" i="58"/>
  <c r="E157" i="58"/>
  <c r="E158" i="58"/>
  <c r="E159" i="58"/>
  <c r="E160" i="58"/>
  <c r="E161" i="58"/>
  <c r="E162" i="58"/>
  <c r="E163" i="58"/>
  <c r="E164" i="58"/>
  <c r="E165" i="58"/>
  <c r="E166" i="58"/>
  <c r="E167" i="58"/>
  <c r="E168" i="58"/>
  <c r="E169" i="58"/>
  <c r="E170" i="58"/>
  <c r="E171" i="58"/>
  <c r="E172" i="58"/>
  <c r="E173" i="58"/>
  <c r="E174" i="58"/>
  <c r="E175" i="58"/>
  <c r="E176" i="58"/>
  <c r="E177" i="58"/>
  <c r="E178" i="58"/>
  <c r="E179" i="58"/>
  <c r="E180" i="58"/>
  <c r="E181" i="58"/>
  <c r="E182" i="58"/>
  <c r="E183" i="58"/>
  <c r="E184" i="58"/>
  <c r="E185" i="58"/>
  <c r="E186" i="58"/>
  <c r="E187" i="58"/>
  <c r="E188" i="58"/>
  <c r="E189" i="58"/>
  <c r="E190" i="58"/>
  <c r="E191" i="58"/>
  <c r="E192" i="58"/>
  <c r="E193" i="58"/>
  <c r="E194" i="58"/>
  <c r="E195" i="58"/>
  <c r="E196" i="58"/>
  <c r="E197" i="58"/>
  <c r="E198" i="58"/>
  <c r="E199" i="58"/>
  <c r="E200" i="58"/>
  <c r="E201" i="58"/>
  <c r="D2" i="58"/>
  <c r="D3" i="58"/>
  <c r="D4" i="58"/>
  <c r="D5" i="58"/>
  <c r="D6" i="58"/>
  <c r="D7" i="58"/>
  <c r="D8" i="58"/>
  <c r="D9" i="58"/>
  <c r="D10" i="58"/>
  <c r="D11" i="58"/>
  <c r="D12" i="58"/>
  <c r="D13" i="58"/>
  <c r="D14" i="58"/>
  <c r="D15" i="58"/>
  <c r="D16" i="58"/>
  <c r="D17" i="58"/>
  <c r="D18" i="58"/>
  <c r="D19" i="58"/>
  <c r="D20" i="58"/>
  <c r="D21" i="58"/>
  <c r="D22" i="58"/>
  <c r="D23" i="58"/>
  <c r="D24" i="58"/>
  <c r="D25" i="58"/>
  <c r="D26" i="58"/>
  <c r="D27" i="58"/>
  <c r="D28" i="58"/>
  <c r="D29" i="58"/>
  <c r="D30" i="58"/>
  <c r="D31" i="58"/>
  <c r="D32" i="58"/>
  <c r="D33" i="58"/>
  <c r="D34" i="58"/>
  <c r="D35" i="58"/>
  <c r="D36" i="58"/>
  <c r="D37" i="58"/>
  <c r="D38" i="58"/>
  <c r="D39" i="58"/>
  <c r="D40" i="58"/>
  <c r="D41" i="58"/>
  <c r="D42" i="58"/>
  <c r="D43" i="58"/>
  <c r="D44" i="58"/>
  <c r="D45" i="58"/>
  <c r="D46" i="58"/>
  <c r="D47" i="58"/>
  <c r="D48" i="58"/>
  <c r="D49" i="58"/>
  <c r="D50" i="58"/>
  <c r="D51" i="58"/>
  <c r="D52" i="58"/>
  <c r="D53" i="58"/>
  <c r="D54" i="58"/>
  <c r="D55" i="58"/>
  <c r="D56" i="58"/>
  <c r="D57" i="58"/>
  <c r="D58" i="58"/>
  <c r="D59" i="58"/>
  <c r="D60" i="58"/>
  <c r="D61" i="58"/>
  <c r="D62" i="58"/>
  <c r="D63" i="58"/>
  <c r="D64" i="58"/>
  <c r="D65" i="58"/>
  <c r="D66" i="58"/>
  <c r="D67" i="58"/>
  <c r="D68" i="58"/>
  <c r="D69" i="58"/>
  <c r="D70" i="58"/>
  <c r="D71" i="58"/>
  <c r="D72" i="58"/>
  <c r="D73" i="58"/>
  <c r="D74" i="58"/>
  <c r="D75" i="58"/>
  <c r="D76" i="58"/>
  <c r="D77" i="58"/>
  <c r="D78" i="58"/>
  <c r="D79" i="58"/>
  <c r="D80" i="58"/>
  <c r="D81" i="58"/>
  <c r="D82" i="58"/>
  <c r="D83" i="58"/>
  <c r="D84" i="58"/>
  <c r="D85" i="58"/>
  <c r="D86" i="58"/>
  <c r="D87" i="58"/>
  <c r="D88" i="58"/>
  <c r="D89" i="58"/>
  <c r="D90" i="58"/>
  <c r="D91" i="58"/>
  <c r="D92" i="58"/>
  <c r="D93" i="58"/>
  <c r="D94" i="58"/>
  <c r="D95" i="58"/>
  <c r="D96" i="58"/>
  <c r="D97" i="58"/>
  <c r="D98" i="58"/>
  <c r="D99" i="58"/>
  <c r="D100" i="58"/>
  <c r="D101" i="58"/>
  <c r="D102" i="58"/>
  <c r="D103" i="58"/>
  <c r="D104" i="58"/>
  <c r="D105" i="58"/>
  <c r="D106" i="58"/>
  <c r="D107" i="58"/>
  <c r="D108" i="58"/>
  <c r="D109" i="58"/>
  <c r="D110" i="58"/>
  <c r="D111" i="58"/>
  <c r="D112" i="58"/>
  <c r="D113" i="58"/>
  <c r="D114" i="58"/>
  <c r="D115" i="58"/>
  <c r="D116" i="58"/>
  <c r="D117" i="58"/>
  <c r="D118" i="58"/>
  <c r="D119" i="58"/>
  <c r="D120" i="58"/>
  <c r="D121" i="58"/>
  <c r="D122" i="58"/>
  <c r="D123" i="58"/>
  <c r="D124" i="58"/>
  <c r="D125" i="58"/>
  <c r="D126" i="58"/>
  <c r="D127" i="58"/>
  <c r="D128" i="58"/>
  <c r="D129" i="58"/>
  <c r="D130" i="58"/>
  <c r="D131" i="58"/>
  <c r="D132" i="58"/>
  <c r="D133" i="58"/>
  <c r="D134" i="58"/>
  <c r="D135" i="58"/>
  <c r="D136" i="58"/>
  <c r="D137" i="58"/>
  <c r="D138" i="58"/>
  <c r="D139" i="58"/>
  <c r="D140" i="58"/>
  <c r="D141" i="58"/>
  <c r="D142" i="58"/>
  <c r="D143" i="58"/>
  <c r="D144" i="58"/>
  <c r="D145" i="58"/>
  <c r="D146" i="58"/>
  <c r="D147" i="58"/>
  <c r="D148" i="58"/>
  <c r="D149" i="58"/>
  <c r="D150" i="58"/>
  <c r="D151" i="58"/>
  <c r="D152" i="58"/>
  <c r="D153" i="58"/>
  <c r="D154" i="58"/>
  <c r="D155" i="58"/>
  <c r="D156" i="58"/>
  <c r="D157" i="58"/>
  <c r="D158" i="58"/>
  <c r="D159" i="58"/>
  <c r="D160" i="58"/>
  <c r="D161" i="58"/>
  <c r="D162" i="58"/>
  <c r="D163" i="58"/>
  <c r="D164" i="58"/>
  <c r="D165" i="58"/>
  <c r="D166" i="58"/>
  <c r="D167" i="58"/>
  <c r="D168" i="58"/>
  <c r="D169" i="58"/>
  <c r="D170" i="58"/>
  <c r="D171" i="58"/>
  <c r="D172" i="58"/>
  <c r="D173" i="58"/>
  <c r="D174" i="58"/>
  <c r="D175" i="58"/>
  <c r="D176" i="58"/>
  <c r="D177" i="58"/>
  <c r="D178" i="58"/>
  <c r="D179" i="58"/>
  <c r="D180" i="58"/>
  <c r="D181" i="58"/>
  <c r="D182" i="58"/>
  <c r="D183" i="58"/>
  <c r="D184" i="58"/>
  <c r="D185" i="58"/>
  <c r="D186" i="58"/>
  <c r="D187" i="58"/>
  <c r="D188" i="58"/>
  <c r="D189" i="58"/>
  <c r="D190" i="58"/>
  <c r="D191" i="58"/>
  <c r="D192" i="58"/>
  <c r="D193" i="58"/>
  <c r="D194" i="58"/>
  <c r="D195" i="58"/>
  <c r="D196" i="58"/>
  <c r="D197" i="58"/>
  <c r="D198" i="58"/>
  <c r="D199" i="58"/>
  <c r="D200" i="58"/>
  <c r="D201" i="58"/>
  <c r="C201" i="30"/>
  <c r="C202" i="30"/>
  <c r="C203" i="30"/>
  <c r="C204" i="30"/>
  <c r="C205" i="30"/>
  <c r="C206" i="30"/>
  <c r="C207" i="30"/>
  <c r="C208" i="30"/>
  <c r="C209" i="30"/>
  <c r="C210" i="30"/>
  <c r="C211" i="30"/>
  <c r="C212" i="30"/>
  <c r="C213" i="30"/>
  <c r="C214" i="30"/>
  <c r="C215" i="30"/>
  <c r="C216" i="30"/>
  <c r="C217" i="30"/>
  <c r="C218" i="30"/>
  <c r="C219" i="30"/>
  <c r="C220" i="30"/>
  <c r="C221" i="30"/>
  <c r="C222" i="30"/>
  <c r="C223" i="30"/>
  <c r="C224" i="30"/>
  <c r="C225" i="30"/>
  <c r="C226" i="30"/>
  <c r="C227" i="30"/>
  <c r="C228" i="30"/>
  <c r="C229" i="30"/>
  <c r="C230" i="30"/>
  <c r="C231" i="30"/>
  <c r="C232" i="30"/>
  <c r="C233" i="30"/>
  <c r="C234" i="30"/>
  <c r="C235" i="30"/>
  <c r="C236" i="30"/>
  <c r="C237" i="30"/>
  <c r="C238" i="30"/>
  <c r="C239" i="30"/>
  <c r="C240" i="30"/>
  <c r="C241" i="30"/>
  <c r="C242" i="30"/>
  <c r="C243" i="30"/>
  <c r="C244" i="30"/>
  <c r="C245" i="30"/>
  <c r="C246" i="30"/>
  <c r="C247" i="30"/>
  <c r="C248" i="30"/>
  <c r="C249" i="30"/>
  <c r="C250" i="30"/>
  <c r="C251" i="30"/>
  <c r="C252" i="30"/>
  <c r="C253" i="30"/>
  <c r="C254" i="30"/>
  <c r="C255" i="30"/>
  <c r="C256" i="30"/>
  <c r="C257" i="30"/>
  <c r="C258" i="30"/>
  <c r="C259" i="30"/>
  <c r="C260" i="30"/>
  <c r="C261" i="30"/>
  <c r="C262" i="30"/>
  <c r="C263" i="30"/>
  <c r="C264" i="30"/>
  <c r="C265" i="30"/>
  <c r="C266" i="30"/>
  <c r="C267" i="30"/>
  <c r="C268" i="30"/>
  <c r="C269" i="30"/>
  <c r="C270" i="30"/>
  <c r="C271" i="30"/>
  <c r="C272" i="30"/>
  <c r="C273" i="30"/>
  <c r="C274" i="30"/>
  <c r="C275" i="30"/>
  <c r="C276" i="30"/>
  <c r="C277" i="30"/>
  <c r="C278" i="30"/>
  <c r="C279" i="30"/>
  <c r="C280" i="30"/>
  <c r="C281" i="30"/>
  <c r="X201" i="30"/>
  <c r="X202" i="30"/>
  <c r="X203" i="30"/>
  <c r="X204" i="30"/>
  <c r="X205" i="30"/>
  <c r="X206" i="30"/>
  <c r="X207" i="30"/>
  <c r="X208" i="30"/>
  <c r="X209" i="30"/>
  <c r="X210" i="30"/>
  <c r="X211" i="30"/>
  <c r="X212" i="30"/>
  <c r="X213" i="30"/>
  <c r="X214" i="30"/>
  <c r="X215" i="30"/>
  <c r="X216" i="30"/>
  <c r="X217" i="30"/>
  <c r="X218" i="30"/>
  <c r="X219" i="30"/>
  <c r="X220" i="30"/>
  <c r="X221" i="30"/>
  <c r="X222" i="30"/>
  <c r="X223" i="30"/>
  <c r="X224" i="30"/>
  <c r="X225" i="30"/>
  <c r="X226" i="30"/>
  <c r="X227" i="30"/>
  <c r="X228" i="30"/>
  <c r="X229" i="30"/>
  <c r="X230" i="30"/>
  <c r="X231" i="30"/>
  <c r="X232" i="30"/>
  <c r="X233" i="30"/>
  <c r="X234" i="30"/>
  <c r="X235" i="30"/>
  <c r="X236" i="30"/>
  <c r="X237" i="30"/>
  <c r="X238" i="30"/>
  <c r="X239" i="30"/>
  <c r="X240" i="30"/>
  <c r="X241" i="30"/>
  <c r="X242" i="30"/>
  <c r="X243" i="30"/>
  <c r="X244" i="30"/>
  <c r="X245" i="30"/>
  <c r="X246" i="30"/>
  <c r="X247" i="30"/>
  <c r="X248" i="30"/>
  <c r="X249" i="30"/>
  <c r="X250" i="30"/>
  <c r="X251" i="30"/>
  <c r="X252" i="30"/>
  <c r="X253" i="30"/>
  <c r="X254" i="30"/>
  <c r="X255" i="30"/>
  <c r="X256" i="30"/>
  <c r="X257" i="30"/>
  <c r="X258" i="30"/>
  <c r="X259" i="30"/>
  <c r="X260" i="30"/>
  <c r="X261" i="30"/>
  <c r="X262" i="30"/>
  <c r="X263" i="30"/>
  <c r="X264" i="30"/>
  <c r="X265" i="30"/>
  <c r="X266" i="30"/>
  <c r="X267" i="30"/>
  <c r="X268" i="30"/>
  <c r="X269" i="30"/>
  <c r="X270" i="30"/>
  <c r="X271" i="30"/>
  <c r="X272" i="30"/>
  <c r="X273" i="30"/>
  <c r="X274" i="30"/>
  <c r="X275" i="30"/>
  <c r="X276" i="30"/>
  <c r="X277" i="30"/>
  <c r="X278" i="30"/>
  <c r="X279" i="30"/>
  <c r="X280" i="30"/>
  <c r="X281" i="30"/>
  <c r="AW201" i="30"/>
  <c r="AW202" i="30"/>
  <c r="AW203" i="30"/>
  <c r="AW204" i="30"/>
  <c r="AW205" i="30"/>
  <c r="AW206" i="30"/>
  <c r="AW207" i="30"/>
  <c r="AW208" i="30"/>
  <c r="AW209" i="30"/>
  <c r="AW210" i="30"/>
  <c r="AW211" i="30"/>
  <c r="AW212" i="30"/>
  <c r="AW213" i="30"/>
  <c r="AW214" i="30"/>
  <c r="AW215" i="30"/>
  <c r="AW216" i="30"/>
  <c r="AW217" i="30"/>
  <c r="AW218" i="30"/>
  <c r="AW219" i="30"/>
  <c r="AW220" i="30"/>
  <c r="AW221" i="30"/>
  <c r="AW222" i="30"/>
  <c r="AW223" i="30"/>
  <c r="AW224" i="30"/>
  <c r="AW225" i="30"/>
  <c r="AW226" i="30"/>
  <c r="AW227" i="30"/>
  <c r="AW228" i="30"/>
  <c r="AW229" i="30"/>
  <c r="AW230" i="30"/>
  <c r="AW231" i="30"/>
  <c r="AW232" i="30"/>
  <c r="AW233" i="30"/>
  <c r="AW234" i="30"/>
  <c r="AW235" i="30"/>
  <c r="AW236" i="30"/>
  <c r="AW237" i="30"/>
  <c r="AW238" i="30"/>
  <c r="AW239" i="30"/>
  <c r="AW240" i="30"/>
  <c r="AW241" i="30"/>
  <c r="AW242" i="30"/>
  <c r="AW243" i="30"/>
  <c r="AW244" i="30"/>
  <c r="AW245" i="30"/>
  <c r="AW246" i="30"/>
  <c r="AW247" i="30"/>
  <c r="AW248" i="30"/>
  <c r="AW249" i="30"/>
  <c r="AW250" i="30"/>
  <c r="AW251" i="30"/>
  <c r="AW252" i="30"/>
  <c r="AW253" i="30"/>
  <c r="AW254" i="30"/>
  <c r="AW255" i="30"/>
  <c r="AW256" i="30"/>
  <c r="AW257" i="30"/>
  <c r="AW258" i="30"/>
  <c r="AW259" i="30"/>
  <c r="AW260" i="30"/>
  <c r="AW261" i="30"/>
  <c r="AW262" i="30"/>
  <c r="AW263" i="30"/>
  <c r="AW264" i="30"/>
  <c r="AW265" i="30"/>
  <c r="AW266" i="30"/>
  <c r="AW267" i="30"/>
  <c r="AW268" i="30"/>
  <c r="AW269" i="30"/>
  <c r="AW270" i="30"/>
  <c r="AW271" i="30"/>
  <c r="AW272" i="30"/>
  <c r="AW273" i="30"/>
  <c r="AW274" i="30"/>
  <c r="AW275" i="30"/>
  <c r="AW276" i="30"/>
  <c r="AW277" i="30"/>
  <c r="AW278" i="30"/>
  <c r="AW279" i="30"/>
  <c r="AW280" i="30"/>
  <c r="AW281" i="30"/>
  <c r="BB201" i="30"/>
  <c r="BB202" i="30"/>
  <c r="BB203" i="30"/>
  <c r="BB204" i="30"/>
  <c r="BB205" i="30"/>
  <c r="BB206" i="30"/>
  <c r="BB207" i="30"/>
  <c r="BB208" i="30"/>
  <c r="BB209" i="30"/>
  <c r="BB210" i="30"/>
  <c r="BB211" i="30"/>
  <c r="BB212" i="30"/>
  <c r="BB213" i="30"/>
  <c r="BB214" i="30"/>
  <c r="BB215" i="30"/>
  <c r="BB216" i="30"/>
  <c r="BB217" i="30"/>
  <c r="BB218" i="30"/>
  <c r="BB219" i="30"/>
  <c r="BB220" i="30"/>
  <c r="BB221" i="30"/>
  <c r="BB222" i="30"/>
  <c r="BB223" i="30"/>
  <c r="BB224" i="30"/>
  <c r="BB225" i="30"/>
  <c r="BB226" i="30"/>
  <c r="BB227" i="30"/>
  <c r="BB228" i="30"/>
  <c r="BB229" i="30"/>
  <c r="BB230" i="30"/>
  <c r="BB231" i="30"/>
  <c r="BB232" i="30"/>
  <c r="BB233" i="30"/>
  <c r="BB234" i="30"/>
  <c r="BB235" i="30"/>
  <c r="BB236" i="30"/>
  <c r="BB237" i="30"/>
  <c r="BB238" i="30"/>
  <c r="BB239" i="30"/>
  <c r="BB240" i="30"/>
  <c r="BB241" i="30"/>
  <c r="BB242" i="30"/>
  <c r="BB243" i="30"/>
  <c r="BB244" i="30"/>
  <c r="BB245" i="30"/>
  <c r="BB246" i="30"/>
  <c r="BB247" i="30"/>
  <c r="BB248" i="30"/>
  <c r="BB249" i="30"/>
  <c r="BB250" i="30"/>
  <c r="BB251" i="30"/>
  <c r="BB252" i="30"/>
  <c r="BB253" i="30"/>
  <c r="BB254" i="30"/>
  <c r="BB255" i="30"/>
  <c r="BB256" i="30"/>
  <c r="BB257" i="30"/>
  <c r="BB258" i="30"/>
  <c r="BB259" i="30"/>
  <c r="BB260" i="30"/>
  <c r="BB261" i="30"/>
  <c r="BB262" i="30"/>
  <c r="BB263" i="30"/>
  <c r="BB264" i="30"/>
  <c r="BB265" i="30"/>
  <c r="BB266" i="30"/>
  <c r="BB267" i="30"/>
  <c r="BB268" i="30"/>
  <c r="BB269" i="30"/>
  <c r="BB270" i="30"/>
  <c r="BB271" i="30"/>
  <c r="BB272" i="30"/>
  <c r="BB273" i="30"/>
  <c r="BB274" i="30"/>
  <c r="BB275" i="30"/>
  <c r="BB276" i="30"/>
  <c r="BB277" i="30"/>
  <c r="BB278" i="30"/>
  <c r="BB279" i="30"/>
  <c r="BB280" i="30"/>
  <c r="BB281" i="30"/>
  <c r="C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C2"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C145" i="30" l="1"/>
  <c r="C146" i="30"/>
  <c r="C147" i="30"/>
  <c r="C148" i="30"/>
  <c r="C149" i="30"/>
  <c r="C150" i="30"/>
  <c r="C151" i="30"/>
  <c r="C152" i="30"/>
  <c r="C153" i="30"/>
  <c r="X153" i="30"/>
  <c r="AW153" i="30"/>
  <c r="BB153" i="30"/>
  <c r="C154" i="30"/>
  <c r="X154" i="30"/>
  <c r="AW154" i="30"/>
  <c r="BB154" i="30"/>
  <c r="C155" i="30"/>
  <c r="X155" i="30"/>
  <c r="AW155" i="30"/>
  <c r="BB155" i="30"/>
  <c r="C156" i="30"/>
  <c r="X156" i="30"/>
  <c r="AW156" i="30"/>
  <c r="BB156" i="30"/>
  <c r="C157" i="30"/>
  <c r="X157" i="30"/>
  <c r="AW157" i="30"/>
  <c r="BB157" i="30"/>
  <c r="C158" i="30"/>
  <c r="X158" i="30"/>
  <c r="AW158" i="30"/>
  <c r="BB158" i="30"/>
  <c r="C159" i="30"/>
  <c r="X159" i="30"/>
  <c r="AW159" i="30"/>
  <c r="BB159" i="30"/>
  <c r="C160" i="30"/>
  <c r="X160" i="30"/>
  <c r="AW160" i="30"/>
  <c r="BB160" i="30"/>
  <c r="C161" i="30"/>
  <c r="X161" i="30"/>
  <c r="AW161" i="30"/>
  <c r="BB161" i="30"/>
  <c r="C162" i="30"/>
  <c r="X162" i="30"/>
  <c r="AW162" i="30"/>
  <c r="BB162" i="30"/>
  <c r="C163" i="30"/>
  <c r="X163" i="30"/>
  <c r="AW163" i="30"/>
  <c r="BB163" i="30"/>
  <c r="C164" i="30"/>
  <c r="X164" i="30"/>
  <c r="AW164" i="30"/>
  <c r="BB164" i="30"/>
  <c r="C165" i="30"/>
  <c r="X165" i="30"/>
  <c r="AW165" i="30"/>
  <c r="BB165" i="30"/>
  <c r="C166" i="30"/>
  <c r="X166" i="30"/>
  <c r="AW166" i="30"/>
  <c r="BB166" i="30"/>
  <c r="C167" i="30"/>
  <c r="X167" i="30"/>
  <c r="AW167" i="30"/>
  <c r="BB167" i="30"/>
  <c r="C168" i="30"/>
  <c r="X168" i="30"/>
  <c r="AW168" i="30"/>
  <c r="BB168" i="30"/>
  <c r="C169" i="30"/>
  <c r="X169" i="30"/>
  <c r="AW169" i="30"/>
  <c r="BB169" i="30"/>
  <c r="C170" i="30"/>
  <c r="X170" i="30"/>
  <c r="AW170" i="30"/>
  <c r="BB170" i="30"/>
  <c r="C171" i="30"/>
  <c r="X171" i="30"/>
  <c r="AW171" i="30"/>
  <c r="BB171" i="30"/>
  <c r="C172" i="30"/>
  <c r="X172" i="30"/>
  <c r="AW172" i="30"/>
  <c r="BB172" i="30"/>
  <c r="C173" i="30"/>
  <c r="X173" i="30"/>
  <c r="AW173" i="30"/>
  <c r="BB173" i="30"/>
  <c r="C174" i="30"/>
  <c r="X174" i="30"/>
  <c r="AW174" i="30"/>
  <c r="BB174" i="30"/>
  <c r="C175" i="30"/>
  <c r="X175" i="30"/>
  <c r="AW175" i="30"/>
  <c r="BB175" i="30"/>
  <c r="C176" i="30"/>
  <c r="X176" i="30"/>
  <c r="AW176" i="30"/>
  <c r="BB176" i="30"/>
  <c r="C177" i="30"/>
  <c r="X177" i="30"/>
  <c r="AW177" i="30"/>
  <c r="BB177" i="30"/>
  <c r="C178" i="30"/>
  <c r="X178" i="30"/>
  <c r="AW178" i="30"/>
  <c r="BB178" i="30"/>
  <c r="C179" i="30"/>
  <c r="X179" i="30"/>
  <c r="AW179" i="30"/>
  <c r="BB179" i="30"/>
  <c r="C180" i="30"/>
  <c r="X180" i="30"/>
  <c r="AW180" i="30"/>
  <c r="BB180" i="30"/>
  <c r="C181" i="30"/>
  <c r="X181" i="30"/>
  <c r="AW181" i="30"/>
  <c r="BB181" i="30"/>
  <c r="C182" i="30"/>
  <c r="X182" i="30"/>
  <c r="AW182" i="30"/>
  <c r="BB182" i="30"/>
  <c r="C183" i="30"/>
  <c r="X183" i="30"/>
  <c r="AW183" i="30"/>
  <c r="BB183" i="30"/>
  <c r="C184" i="30"/>
  <c r="X184" i="30"/>
  <c r="AW184" i="30"/>
  <c r="BB184" i="30"/>
  <c r="C185" i="30"/>
  <c r="X185" i="30"/>
  <c r="AW185" i="30"/>
  <c r="BB185" i="30"/>
  <c r="C186" i="30"/>
  <c r="X186" i="30"/>
  <c r="AW186" i="30"/>
  <c r="BB186" i="30"/>
  <c r="C187" i="30"/>
  <c r="X187" i="30"/>
  <c r="AW187" i="30"/>
  <c r="BB187" i="30"/>
  <c r="C4" i="2"/>
  <c r="C5" i="2"/>
  <c r="C6" i="2"/>
  <c r="C7" i="2"/>
  <c r="C8" i="2"/>
  <c r="BB2" i="30" l="1"/>
  <c r="BB188" i="30"/>
  <c r="BB189" i="30"/>
  <c r="BB190" i="30"/>
  <c r="BB191" i="30"/>
  <c r="BB192" i="30"/>
  <c r="BB193" i="30"/>
  <c r="BB194" i="30"/>
  <c r="BB195" i="30"/>
  <c r="BB196" i="30"/>
  <c r="BB197" i="30"/>
  <c r="BB198" i="30"/>
  <c r="BB199" i="30"/>
  <c r="BB200" i="30"/>
  <c r="G201" i="58"/>
  <c r="C201" i="58"/>
  <c r="B201" i="58"/>
  <c r="G200" i="58"/>
  <c r="C200" i="58"/>
  <c r="B200" i="58"/>
  <c r="G199" i="58"/>
  <c r="C199" i="58"/>
  <c r="B199" i="58"/>
  <c r="G198" i="58"/>
  <c r="C198" i="58"/>
  <c r="B198" i="58"/>
  <c r="G197" i="58"/>
  <c r="C197" i="58"/>
  <c r="B197" i="58"/>
  <c r="G196" i="58"/>
  <c r="C196" i="58"/>
  <c r="B196" i="58"/>
  <c r="G195" i="58"/>
  <c r="C195" i="58"/>
  <c r="B195" i="58"/>
  <c r="G194" i="58"/>
  <c r="C194" i="58"/>
  <c r="B194" i="58"/>
  <c r="G193" i="58"/>
  <c r="C193" i="58"/>
  <c r="B193" i="58"/>
  <c r="G192" i="58"/>
  <c r="C192" i="58"/>
  <c r="B192" i="58"/>
  <c r="G191" i="58"/>
  <c r="C191" i="58"/>
  <c r="B191" i="58"/>
  <c r="G190" i="58"/>
  <c r="C190" i="58"/>
  <c r="B190" i="58"/>
  <c r="G189" i="58"/>
  <c r="C189" i="58"/>
  <c r="B189" i="58"/>
  <c r="G188" i="58"/>
  <c r="C188" i="58"/>
  <c r="B188" i="58"/>
  <c r="G187" i="58"/>
  <c r="C187" i="58"/>
  <c r="B187" i="58"/>
  <c r="G186" i="58"/>
  <c r="C186" i="58"/>
  <c r="B186" i="58"/>
  <c r="G185" i="58"/>
  <c r="C185" i="58"/>
  <c r="B185" i="58"/>
  <c r="G184" i="58"/>
  <c r="C184" i="58"/>
  <c r="B184" i="58"/>
  <c r="G183" i="58"/>
  <c r="C183" i="58"/>
  <c r="B183" i="58"/>
  <c r="G182" i="58"/>
  <c r="C182" i="58"/>
  <c r="B182" i="58"/>
  <c r="G181" i="58"/>
  <c r="C181" i="58"/>
  <c r="B181" i="58"/>
  <c r="G180" i="58"/>
  <c r="C180" i="58"/>
  <c r="B180" i="58"/>
  <c r="G179" i="58"/>
  <c r="C179" i="58"/>
  <c r="B179" i="58"/>
  <c r="G178" i="58"/>
  <c r="C178" i="58"/>
  <c r="B178" i="58"/>
  <c r="G177" i="58"/>
  <c r="C177" i="58"/>
  <c r="B177" i="58"/>
  <c r="G176" i="58"/>
  <c r="C176" i="58"/>
  <c r="B176" i="58"/>
  <c r="G175" i="58"/>
  <c r="C175" i="58"/>
  <c r="B175" i="58"/>
  <c r="G174" i="58"/>
  <c r="C174" i="58"/>
  <c r="B174" i="58"/>
  <c r="G173" i="58"/>
  <c r="C173" i="58"/>
  <c r="B173" i="58"/>
  <c r="G172" i="58"/>
  <c r="C172" i="58"/>
  <c r="B172" i="58"/>
  <c r="G171" i="58"/>
  <c r="C171" i="58"/>
  <c r="B171" i="58"/>
  <c r="G170" i="58"/>
  <c r="C170" i="58"/>
  <c r="B170" i="58"/>
  <c r="G169" i="58"/>
  <c r="C169" i="58"/>
  <c r="B169" i="58"/>
  <c r="G168" i="58"/>
  <c r="C168" i="58"/>
  <c r="B168" i="58"/>
  <c r="G167" i="58"/>
  <c r="C167" i="58"/>
  <c r="B167" i="58"/>
  <c r="G166" i="58"/>
  <c r="C166" i="58"/>
  <c r="B166" i="58"/>
  <c r="G165" i="58"/>
  <c r="C165" i="58"/>
  <c r="B165" i="58"/>
  <c r="G164" i="58"/>
  <c r="C164" i="58"/>
  <c r="B164" i="58"/>
  <c r="G163" i="58"/>
  <c r="C163" i="58"/>
  <c r="B163" i="58"/>
  <c r="G162" i="58"/>
  <c r="C162" i="58"/>
  <c r="B162" i="58"/>
  <c r="G161" i="58"/>
  <c r="C161" i="58"/>
  <c r="B161" i="58"/>
  <c r="G160" i="58"/>
  <c r="C160" i="58"/>
  <c r="B160" i="58"/>
  <c r="G159" i="58"/>
  <c r="C159" i="58"/>
  <c r="B159" i="58"/>
  <c r="G158" i="58"/>
  <c r="C158" i="58"/>
  <c r="B158" i="58"/>
  <c r="G157" i="58"/>
  <c r="C157" i="58"/>
  <c r="B157" i="58"/>
  <c r="G156" i="58"/>
  <c r="C156" i="58"/>
  <c r="B156" i="58"/>
  <c r="G155" i="58"/>
  <c r="C155" i="58"/>
  <c r="B155" i="58"/>
  <c r="G154" i="58"/>
  <c r="C154" i="58"/>
  <c r="B154" i="58"/>
  <c r="G153" i="58"/>
  <c r="C153" i="58"/>
  <c r="B153" i="58"/>
  <c r="G152" i="58"/>
  <c r="C152" i="58"/>
  <c r="B152" i="58"/>
  <c r="G151" i="58"/>
  <c r="C151" i="58"/>
  <c r="B151" i="58"/>
  <c r="G150" i="58"/>
  <c r="C150" i="58"/>
  <c r="B150" i="58"/>
  <c r="G149" i="58"/>
  <c r="C149" i="58"/>
  <c r="B149" i="58"/>
  <c r="G148" i="58"/>
  <c r="C148" i="58"/>
  <c r="B148" i="58"/>
  <c r="G147" i="58"/>
  <c r="C147" i="58"/>
  <c r="B147" i="58"/>
  <c r="G146" i="58"/>
  <c r="C146" i="58"/>
  <c r="B146" i="58"/>
  <c r="G145" i="58"/>
  <c r="C145" i="58"/>
  <c r="B145" i="58"/>
  <c r="G144" i="58"/>
  <c r="C144" i="58"/>
  <c r="B144" i="58"/>
  <c r="G143" i="58"/>
  <c r="C143" i="58"/>
  <c r="B143" i="58"/>
  <c r="G142" i="58"/>
  <c r="C142" i="58"/>
  <c r="B142" i="58"/>
  <c r="G141" i="58"/>
  <c r="C141" i="58"/>
  <c r="B141" i="58"/>
  <c r="G140" i="58"/>
  <c r="C140" i="58"/>
  <c r="B140" i="58"/>
  <c r="G139" i="58"/>
  <c r="C139" i="58"/>
  <c r="B139" i="58"/>
  <c r="G138" i="58"/>
  <c r="C138" i="58"/>
  <c r="B138" i="58"/>
  <c r="G137" i="58"/>
  <c r="C137" i="58"/>
  <c r="B137" i="58"/>
  <c r="G136" i="58"/>
  <c r="C136" i="58"/>
  <c r="B136" i="58"/>
  <c r="G135" i="58"/>
  <c r="C135" i="58"/>
  <c r="B135" i="58"/>
  <c r="G134" i="58"/>
  <c r="C134" i="58"/>
  <c r="B134" i="58"/>
  <c r="G133" i="58"/>
  <c r="C133" i="58"/>
  <c r="B133" i="58"/>
  <c r="G132" i="58"/>
  <c r="C132" i="58"/>
  <c r="B132" i="58"/>
  <c r="G131" i="58"/>
  <c r="C131" i="58"/>
  <c r="B131" i="58"/>
  <c r="G130" i="58"/>
  <c r="C130" i="58"/>
  <c r="B130" i="58"/>
  <c r="G129" i="58"/>
  <c r="C129" i="58"/>
  <c r="B129" i="58"/>
  <c r="G128" i="58"/>
  <c r="C128" i="58"/>
  <c r="B128" i="58"/>
  <c r="G127" i="58"/>
  <c r="C127" i="58"/>
  <c r="B127" i="58"/>
  <c r="G126" i="58"/>
  <c r="C126" i="58"/>
  <c r="B126" i="58"/>
  <c r="G125" i="58"/>
  <c r="C125" i="58"/>
  <c r="B125" i="58"/>
  <c r="G124" i="58"/>
  <c r="C124" i="58"/>
  <c r="B124" i="58"/>
  <c r="G123" i="58"/>
  <c r="C123" i="58"/>
  <c r="B123" i="58"/>
  <c r="G122" i="58"/>
  <c r="C122" i="58"/>
  <c r="B122" i="58"/>
  <c r="G121" i="58"/>
  <c r="C121" i="58"/>
  <c r="B121" i="58"/>
  <c r="G120" i="58"/>
  <c r="C120" i="58"/>
  <c r="B120" i="58"/>
  <c r="G119" i="58"/>
  <c r="C119" i="58"/>
  <c r="B119" i="58"/>
  <c r="G118" i="58"/>
  <c r="C118" i="58"/>
  <c r="B118" i="58"/>
  <c r="G117" i="58"/>
  <c r="C117" i="58"/>
  <c r="B117" i="58"/>
  <c r="G116" i="58"/>
  <c r="C116" i="58"/>
  <c r="B116" i="58"/>
  <c r="G115" i="58"/>
  <c r="C115" i="58"/>
  <c r="B115" i="58"/>
  <c r="G114" i="58"/>
  <c r="C114" i="58"/>
  <c r="B114" i="58"/>
  <c r="G113" i="58"/>
  <c r="C113" i="58"/>
  <c r="B113" i="58"/>
  <c r="G112" i="58"/>
  <c r="C112" i="58"/>
  <c r="B112" i="58"/>
  <c r="G111" i="58"/>
  <c r="C111" i="58"/>
  <c r="B111" i="58"/>
  <c r="G110" i="58"/>
  <c r="C110" i="58"/>
  <c r="B110" i="58"/>
  <c r="G109" i="58"/>
  <c r="C109" i="58"/>
  <c r="B109" i="58"/>
  <c r="G108" i="58"/>
  <c r="C108" i="58"/>
  <c r="B108" i="58"/>
  <c r="G107" i="58"/>
  <c r="C107" i="58"/>
  <c r="B107" i="58"/>
  <c r="G106" i="58"/>
  <c r="C106" i="58"/>
  <c r="B106" i="58"/>
  <c r="G105" i="58"/>
  <c r="C105" i="58"/>
  <c r="B105" i="58"/>
  <c r="G104" i="58"/>
  <c r="C104" i="58"/>
  <c r="B104" i="58"/>
  <c r="G103" i="58"/>
  <c r="C103" i="58"/>
  <c r="B103" i="58"/>
  <c r="G102" i="58"/>
  <c r="C102" i="58"/>
  <c r="B102" i="58"/>
  <c r="G101" i="58"/>
  <c r="C101" i="58"/>
  <c r="B101" i="58"/>
  <c r="G100" i="58"/>
  <c r="C100" i="58"/>
  <c r="B100" i="58"/>
  <c r="G99" i="58"/>
  <c r="C99" i="58"/>
  <c r="B99" i="58"/>
  <c r="G98" i="58"/>
  <c r="C98" i="58"/>
  <c r="B98" i="58"/>
  <c r="G97" i="58"/>
  <c r="C97" i="58"/>
  <c r="B97" i="58"/>
  <c r="G96" i="58"/>
  <c r="C96" i="58"/>
  <c r="B96" i="58"/>
  <c r="G95" i="58"/>
  <c r="C95" i="58"/>
  <c r="B95" i="58"/>
  <c r="G94" i="58"/>
  <c r="C94" i="58"/>
  <c r="B94" i="58"/>
  <c r="G93" i="58"/>
  <c r="C93" i="58"/>
  <c r="B93" i="58"/>
  <c r="G92" i="58"/>
  <c r="C92" i="58"/>
  <c r="B92" i="58"/>
  <c r="G91" i="58"/>
  <c r="C91" i="58"/>
  <c r="B91" i="58"/>
  <c r="G90" i="58"/>
  <c r="C90" i="58"/>
  <c r="B90" i="58"/>
  <c r="G89" i="58"/>
  <c r="C89" i="58"/>
  <c r="B89" i="58"/>
  <c r="G88" i="58"/>
  <c r="C88" i="58"/>
  <c r="B88" i="58"/>
  <c r="G87" i="58"/>
  <c r="C87" i="58"/>
  <c r="B87" i="58"/>
  <c r="G86" i="58"/>
  <c r="C86" i="58"/>
  <c r="B86" i="58"/>
  <c r="G85" i="58"/>
  <c r="C85" i="58"/>
  <c r="B85" i="58"/>
  <c r="G84" i="58"/>
  <c r="C84" i="58"/>
  <c r="B84" i="58"/>
  <c r="G83" i="58"/>
  <c r="C83" i="58"/>
  <c r="B83" i="58"/>
  <c r="G82" i="58"/>
  <c r="C82" i="58"/>
  <c r="B82" i="58"/>
  <c r="G81" i="58"/>
  <c r="C81" i="58"/>
  <c r="B81" i="58"/>
  <c r="G80" i="58"/>
  <c r="C80" i="58"/>
  <c r="B80" i="58"/>
  <c r="G79" i="58"/>
  <c r="C79" i="58"/>
  <c r="B79" i="58"/>
  <c r="G78" i="58"/>
  <c r="C78" i="58"/>
  <c r="B78" i="58"/>
  <c r="G77" i="58"/>
  <c r="C77" i="58"/>
  <c r="B77" i="58"/>
  <c r="G76" i="58"/>
  <c r="C76" i="58"/>
  <c r="B76" i="58"/>
  <c r="G75" i="58"/>
  <c r="C75" i="58"/>
  <c r="B75" i="58"/>
  <c r="G74" i="58"/>
  <c r="C74" i="58"/>
  <c r="B74" i="58"/>
  <c r="G73" i="58"/>
  <c r="C73" i="58"/>
  <c r="B73" i="58"/>
  <c r="G72" i="58"/>
  <c r="C72" i="58"/>
  <c r="B72" i="58"/>
  <c r="G71" i="58"/>
  <c r="C71" i="58"/>
  <c r="B71" i="58"/>
  <c r="G70" i="58"/>
  <c r="C70" i="58"/>
  <c r="B70" i="58"/>
  <c r="G69" i="58"/>
  <c r="C69" i="58"/>
  <c r="B69" i="58"/>
  <c r="G68" i="58"/>
  <c r="C68" i="58"/>
  <c r="B68" i="58"/>
  <c r="G67" i="58"/>
  <c r="C67" i="58"/>
  <c r="B67" i="58"/>
  <c r="G66" i="58"/>
  <c r="C66" i="58"/>
  <c r="B66" i="58"/>
  <c r="G65" i="58"/>
  <c r="C65" i="58"/>
  <c r="B65" i="58"/>
  <c r="G64" i="58"/>
  <c r="C64" i="58"/>
  <c r="B64" i="58"/>
  <c r="G63" i="58"/>
  <c r="C63" i="58"/>
  <c r="B63" i="58"/>
  <c r="G62" i="58"/>
  <c r="C62" i="58"/>
  <c r="B62" i="58"/>
  <c r="G61" i="58"/>
  <c r="C61" i="58"/>
  <c r="B61" i="58"/>
  <c r="G60" i="58"/>
  <c r="C60" i="58"/>
  <c r="B60" i="58"/>
  <c r="G59" i="58"/>
  <c r="C59" i="58"/>
  <c r="B59" i="58"/>
  <c r="G58" i="58"/>
  <c r="C58" i="58"/>
  <c r="B58" i="58"/>
  <c r="G57" i="58"/>
  <c r="C57" i="58"/>
  <c r="B57" i="58"/>
  <c r="G56" i="58"/>
  <c r="C56" i="58"/>
  <c r="B56" i="58"/>
  <c r="G55" i="58"/>
  <c r="C55" i="58"/>
  <c r="B55" i="58"/>
  <c r="G54" i="58"/>
  <c r="C54" i="58"/>
  <c r="B54" i="58"/>
  <c r="G53" i="58"/>
  <c r="C53" i="58"/>
  <c r="B53" i="58"/>
  <c r="G52" i="58"/>
  <c r="C52" i="58"/>
  <c r="B52" i="58"/>
  <c r="G51" i="58"/>
  <c r="C51" i="58"/>
  <c r="B51" i="58"/>
  <c r="G50" i="58"/>
  <c r="C50" i="58"/>
  <c r="B50" i="58"/>
  <c r="G49" i="58"/>
  <c r="C49" i="58"/>
  <c r="B49" i="58"/>
  <c r="G48" i="58"/>
  <c r="C48" i="58"/>
  <c r="B48" i="58"/>
  <c r="G47" i="58"/>
  <c r="C47" i="58"/>
  <c r="B47" i="58"/>
  <c r="G46" i="58"/>
  <c r="C46" i="58"/>
  <c r="B46" i="58"/>
  <c r="G45" i="58"/>
  <c r="C45" i="58"/>
  <c r="B45" i="58"/>
  <c r="G44" i="58"/>
  <c r="C44" i="58"/>
  <c r="B44" i="58"/>
  <c r="G43" i="58"/>
  <c r="C43" i="58"/>
  <c r="B43" i="58"/>
  <c r="G42" i="58"/>
  <c r="C42" i="58"/>
  <c r="B42" i="58"/>
  <c r="G41" i="58"/>
  <c r="C41" i="58"/>
  <c r="B41" i="58"/>
  <c r="G40" i="58"/>
  <c r="C40" i="58"/>
  <c r="B40" i="58"/>
  <c r="G39" i="58"/>
  <c r="C39" i="58"/>
  <c r="B39" i="58"/>
  <c r="G38" i="58"/>
  <c r="C38" i="58"/>
  <c r="B38" i="58"/>
  <c r="G37" i="58"/>
  <c r="C37" i="58"/>
  <c r="B37" i="58"/>
  <c r="G36" i="58"/>
  <c r="C36" i="58"/>
  <c r="B36" i="58"/>
  <c r="G35" i="58"/>
  <c r="C35" i="58"/>
  <c r="B35" i="58"/>
  <c r="G34" i="58"/>
  <c r="C34" i="58"/>
  <c r="B34" i="58"/>
  <c r="G33" i="58"/>
  <c r="C33" i="58"/>
  <c r="B33" i="58"/>
  <c r="G32" i="58"/>
  <c r="C32" i="58"/>
  <c r="B32" i="58"/>
  <c r="G31" i="58"/>
  <c r="C31" i="58"/>
  <c r="B31" i="58"/>
  <c r="G30" i="58"/>
  <c r="C30" i="58"/>
  <c r="B30" i="58"/>
  <c r="G29" i="58"/>
  <c r="C29" i="58"/>
  <c r="B29" i="58"/>
  <c r="G28" i="58"/>
  <c r="C28" i="58"/>
  <c r="B28" i="58"/>
  <c r="G27" i="58"/>
  <c r="C27" i="58"/>
  <c r="B27" i="58"/>
  <c r="G26" i="58"/>
  <c r="C26" i="58"/>
  <c r="B26" i="58"/>
  <c r="G25" i="58"/>
  <c r="C25" i="58"/>
  <c r="B25" i="58"/>
  <c r="G24" i="58"/>
  <c r="C24" i="58"/>
  <c r="B24" i="58"/>
  <c r="G23" i="58"/>
  <c r="C23" i="58"/>
  <c r="B23" i="58"/>
  <c r="G22" i="58"/>
  <c r="C22" i="58"/>
  <c r="B22" i="58"/>
  <c r="G21" i="58"/>
  <c r="C21" i="58"/>
  <c r="B21" i="58"/>
  <c r="G20" i="58"/>
  <c r="C20" i="58"/>
  <c r="B20" i="58"/>
  <c r="G19" i="58"/>
  <c r="C19" i="58"/>
  <c r="B19" i="58"/>
  <c r="G18" i="58"/>
  <c r="C18" i="58"/>
  <c r="B18" i="58"/>
  <c r="G17" i="58"/>
  <c r="C17" i="58"/>
  <c r="B17" i="58"/>
  <c r="G16" i="58"/>
  <c r="C16" i="58"/>
  <c r="B16" i="58"/>
  <c r="G15" i="58"/>
  <c r="C15" i="58"/>
  <c r="B15" i="58"/>
  <c r="G14" i="58"/>
  <c r="C14" i="58"/>
  <c r="B14" i="58"/>
  <c r="G13" i="58"/>
  <c r="C13" i="58"/>
  <c r="B13" i="58"/>
  <c r="G12" i="58"/>
  <c r="C12" i="58"/>
  <c r="B12" i="58"/>
  <c r="G11" i="58"/>
  <c r="C11" i="58"/>
  <c r="B11" i="58"/>
  <c r="G10" i="58"/>
  <c r="C10" i="58"/>
  <c r="B10" i="58"/>
  <c r="G9" i="58"/>
  <c r="C9" i="58"/>
  <c r="B9" i="58"/>
  <c r="G8" i="58"/>
  <c r="C8" i="58"/>
  <c r="B8" i="58"/>
  <c r="G7" i="58"/>
  <c r="C7" i="58"/>
  <c r="B7" i="58"/>
  <c r="G6" i="58"/>
  <c r="C6" i="58"/>
  <c r="B6" i="58"/>
  <c r="G5" i="58"/>
  <c r="C5" i="58"/>
  <c r="B5" i="58"/>
  <c r="G4" i="58"/>
  <c r="C4" i="58"/>
  <c r="B4" i="58"/>
  <c r="G3" i="58"/>
  <c r="C3" i="58"/>
  <c r="B3" i="58"/>
  <c r="G2" i="58"/>
  <c r="C2" i="58"/>
  <c r="B2" i="58"/>
  <c r="J202" i="4"/>
  <c r="G2" i="57"/>
  <c r="G3" i="57"/>
  <c r="G4" i="57"/>
  <c r="G5" i="57"/>
  <c r="G6" i="57"/>
  <c r="G8" i="57"/>
  <c r="G9" i="57"/>
  <c r="G10" i="57"/>
  <c r="G11" i="57"/>
  <c r="G12" i="57"/>
  <c r="G13" i="57"/>
  <c r="G14" i="57"/>
  <c r="G15" i="57"/>
  <c r="G16" i="57"/>
  <c r="G17" i="57"/>
  <c r="G18" i="57"/>
  <c r="G19" i="57"/>
  <c r="G20" i="57"/>
  <c r="G21" i="57"/>
  <c r="G22" i="57"/>
  <c r="G23" i="57"/>
  <c r="G24" i="57"/>
  <c r="G25" i="57"/>
  <c r="G26" i="57"/>
  <c r="G27" i="57"/>
  <c r="G28" i="57"/>
  <c r="G29" i="57"/>
  <c r="G30" i="57"/>
  <c r="G31" i="57"/>
  <c r="G32" i="57"/>
  <c r="G33" i="57"/>
  <c r="G34" i="57"/>
  <c r="G35" i="57"/>
  <c r="G36" i="57"/>
  <c r="G37" i="57"/>
  <c r="G38" i="57"/>
  <c r="G39" i="57"/>
  <c r="G40" i="57"/>
  <c r="G41" i="57"/>
  <c r="G42" i="57"/>
  <c r="G43" i="57"/>
  <c r="G44" i="57"/>
  <c r="G45" i="57"/>
  <c r="G46" i="57"/>
  <c r="G47" i="57"/>
  <c r="G48" i="57"/>
  <c r="G49" i="57"/>
  <c r="G50" i="57"/>
  <c r="G51" i="57"/>
  <c r="G52" i="57"/>
  <c r="G53" i="57"/>
  <c r="G54" i="57"/>
  <c r="G55" i="57"/>
  <c r="G56" i="57"/>
  <c r="G57" i="57"/>
  <c r="G58" i="57"/>
  <c r="G59" i="57"/>
  <c r="G60" i="57"/>
  <c r="G61" i="57"/>
  <c r="G62" i="57"/>
  <c r="G63" i="57"/>
  <c r="G64" i="57"/>
  <c r="G65" i="57"/>
  <c r="G66" i="57"/>
  <c r="G67" i="57"/>
  <c r="G68" i="57"/>
  <c r="G69" i="57"/>
  <c r="G70" i="57"/>
  <c r="G71" i="57"/>
  <c r="G72" i="57"/>
  <c r="G73" i="57"/>
  <c r="G74" i="57"/>
  <c r="G75" i="57"/>
  <c r="G76" i="57"/>
  <c r="G77" i="57"/>
  <c r="G78" i="57"/>
  <c r="G79" i="57"/>
  <c r="G80" i="57"/>
  <c r="G81" i="57"/>
  <c r="G82" i="57"/>
  <c r="G83" i="57"/>
  <c r="G84" i="57"/>
  <c r="G85" i="57"/>
  <c r="G86" i="57"/>
  <c r="G87" i="57"/>
  <c r="G88" i="57"/>
  <c r="G89" i="57"/>
  <c r="G90" i="57"/>
  <c r="G91" i="57"/>
  <c r="G92" i="57"/>
  <c r="G93" i="57"/>
  <c r="G94" i="57"/>
  <c r="G95" i="57"/>
  <c r="G96" i="57"/>
  <c r="G97" i="57"/>
  <c r="G98" i="57"/>
  <c r="G99" i="57"/>
  <c r="G100" i="57"/>
  <c r="G101" i="57"/>
  <c r="G102" i="57"/>
  <c r="G103" i="57"/>
  <c r="G104" i="57"/>
  <c r="G105" i="57"/>
  <c r="G106" i="57"/>
  <c r="G107" i="57"/>
  <c r="G108" i="57"/>
  <c r="G109" i="57"/>
  <c r="G110" i="57"/>
  <c r="G111" i="57"/>
  <c r="G112" i="57"/>
  <c r="G113" i="57"/>
  <c r="G114" i="57"/>
  <c r="G115" i="57"/>
  <c r="G116" i="57"/>
  <c r="G117" i="57"/>
  <c r="G118" i="57"/>
  <c r="G119" i="57"/>
  <c r="G120" i="57"/>
  <c r="G121" i="57"/>
  <c r="G122" i="57"/>
  <c r="G123" i="57"/>
  <c r="G124" i="57"/>
  <c r="G125" i="57"/>
  <c r="G126" i="57"/>
  <c r="G127" i="57"/>
  <c r="G128" i="57"/>
  <c r="G129" i="57"/>
  <c r="G130" i="57"/>
  <c r="G131" i="57"/>
  <c r="G132" i="57"/>
  <c r="G133" i="57"/>
  <c r="G134" i="57"/>
  <c r="G135" i="57"/>
  <c r="G136" i="57"/>
  <c r="G137" i="57"/>
  <c r="G138" i="57"/>
  <c r="G139" i="57"/>
  <c r="G140" i="57"/>
  <c r="G141" i="57"/>
  <c r="G142" i="57"/>
  <c r="G143" i="57"/>
  <c r="G144" i="57"/>
  <c r="G145" i="57"/>
  <c r="G146" i="57"/>
  <c r="G147" i="57"/>
  <c r="G148" i="57"/>
  <c r="G149" i="57"/>
  <c r="G150" i="57"/>
  <c r="G151" i="57"/>
  <c r="G152" i="57"/>
  <c r="G153" i="57"/>
  <c r="G154" i="57"/>
  <c r="G155" i="57"/>
  <c r="G156" i="57"/>
  <c r="G157" i="57"/>
  <c r="G158" i="57"/>
  <c r="G159" i="57"/>
  <c r="G160" i="57"/>
  <c r="G161" i="57"/>
  <c r="G162" i="57"/>
  <c r="G163" i="57"/>
  <c r="G164" i="57"/>
  <c r="G165" i="57"/>
  <c r="G166" i="57"/>
  <c r="G167" i="57"/>
  <c r="G168" i="57"/>
  <c r="G169" i="57"/>
  <c r="G170" i="57"/>
  <c r="G171" i="57"/>
  <c r="G172" i="57"/>
  <c r="G173" i="57"/>
  <c r="G174" i="57"/>
  <c r="G175" i="57"/>
  <c r="G176" i="57"/>
  <c r="G177" i="57"/>
  <c r="G178" i="57"/>
  <c r="G179" i="57"/>
  <c r="G180" i="57"/>
  <c r="G181" i="57"/>
  <c r="G182" i="57"/>
  <c r="G183" i="57"/>
  <c r="G184" i="57"/>
  <c r="G185" i="57"/>
  <c r="G186" i="57"/>
  <c r="G187" i="57"/>
  <c r="G188" i="57"/>
  <c r="G189" i="57"/>
  <c r="G190" i="57"/>
  <c r="G191" i="57"/>
  <c r="G192" i="57"/>
  <c r="G193" i="57"/>
  <c r="G194" i="57"/>
  <c r="G195" i="57"/>
  <c r="G196" i="57"/>
  <c r="G197" i="57"/>
  <c r="G198" i="57"/>
  <c r="G199" i="57"/>
  <c r="G200" i="57"/>
  <c r="G201" i="57"/>
  <c r="D2" i="57"/>
  <c r="D3" i="57"/>
  <c r="D4" i="57"/>
  <c r="D5" i="57"/>
  <c r="D6" i="57"/>
  <c r="D7" i="57"/>
  <c r="D8" i="57"/>
  <c r="D9" i="57"/>
  <c r="D10" i="57"/>
  <c r="D11" i="57"/>
  <c r="D12" i="57"/>
  <c r="D13" i="57"/>
  <c r="D14" i="57"/>
  <c r="D15" i="57"/>
  <c r="D16" i="57"/>
  <c r="D17" i="57"/>
  <c r="D18" i="57"/>
  <c r="D19" i="57"/>
  <c r="D20" i="57"/>
  <c r="D21" i="57"/>
  <c r="D22" i="57"/>
  <c r="D23" i="57"/>
  <c r="D24" i="57"/>
  <c r="D25" i="57"/>
  <c r="D26" i="57"/>
  <c r="D27" i="57"/>
  <c r="D28" i="57"/>
  <c r="D29" i="57"/>
  <c r="D30" i="57"/>
  <c r="D31" i="57"/>
  <c r="D32" i="57"/>
  <c r="D33" i="57"/>
  <c r="D34" i="57"/>
  <c r="D35" i="57"/>
  <c r="D36" i="57"/>
  <c r="D37" i="57"/>
  <c r="D38" i="57"/>
  <c r="D39" i="57"/>
  <c r="D40" i="57"/>
  <c r="D41" i="57"/>
  <c r="D42" i="57"/>
  <c r="D43" i="57"/>
  <c r="D44" i="57"/>
  <c r="D45" i="57"/>
  <c r="D46" i="57"/>
  <c r="D47" i="57"/>
  <c r="D48" i="57"/>
  <c r="D49" i="57"/>
  <c r="D50" i="57"/>
  <c r="D51" i="57"/>
  <c r="D52" i="57"/>
  <c r="D53" i="57"/>
  <c r="D54" i="57"/>
  <c r="D55" i="57"/>
  <c r="D56" i="57"/>
  <c r="D57" i="57"/>
  <c r="D58" i="57"/>
  <c r="D59" i="57"/>
  <c r="D60" i="57"/>
  <c r="D61" i="57"/>
  <c r="D62" i="57"/>
  <c r="D63" i="57"/>
  <c r="D64" i="57"/>
  <c r="D65" i="57"/>
  <c r="D66" i="57"/>
  <c r="D67" i="57"/>
  <c r="D68" i="57"/>
  <c r="D69" i="57"/>
  <c r="D70" i="57"/>
  <c r="D71" i="57"/>
  <c r="D72" i="57"/>
  <c r="D73" i="57"/>
  <c r="D74" i="57"/>
  <c r="D75" i="57"/>
  <c r="D76" i="57"/>
  <c r="D77" i="57"/>
  <c r="D78" i="57"/>
  <c r="D79" i="57"/>
  <c r="D80" i="57"/>
  <c r="D81" i="57"/>
  <c r="D82" i="57"/>
  <c r="D83" i="57"/>
  <c r="D84" i="57"/>
  <c r="D85" i="57"/>
  <c r="D86" i="57"/>
  <c r="D87" i="57"/>
  <c r="D88" i="57"/>
  <c r="D89" i="57"/>
  <c r="D90" i="57"/>
  <c r="D91" i="57"/>
  <c r="D92" i="57"/>
  <c r="D93" i="57"/>
  <c r="D94" i="57"/>
  <c r="D95" i="57"/>
  <c r="D96" i="57"/>
  <c r="D97" i="57"/>
  <c r="D98" i="57"/>
  <c r="D99" i="57"/>
  <c r="D100" i="57"/>
  <c r="D101" i="57"/>
  <c r="D102" i="57"/>
  <c r="D103" i="57"/>
  <c r="D104" i="57"/>
  <c r="D105" i="57"/>
  <c r="D106" i="57"/>
  <c r="D107" i="57"/>
  <c r="D108" i="57"/>
  <c r="D109" i="57"/>
  <c r="D110" i="57"/>
  <c r="D111" i="57"/>
  <c r="D112" i="57"/>
  <c r="D113" i="57"/>
  <c r="D114" i="57"/>
  <c r="D115" i="57"/>
  <c r="D116" i="57"/>
  <c r="D117" i="57"/>
  <c r="D118" i="57"/>
  <c r="D119" i="57"/>
  <c r="D120" i="57"/>
  <c r="D121" i="57"/>
  <c r="D122" i="57"/>
  <c r="D123" i="57"/>
  <c r="D124" i="57"/>
  <c r="D125" i="57"/>
  <c r="D126" i="57"/>
  <c r="D127" i="57"/>
  <c r="D128" i="57"/>
  <c r="D129" i="57"/>
  <c r="D130" i="57"/>
  <c r="D131" i="57"/>
  <c r="D132" i="57"/>
  <c r="D133" i="57"/>
  <c r="D134" i="57"/>
  <c r="D135" i="57"/>
  <c r="D136" i="57"/>
  <c r="D137" i="57"/>
  <c r="D138" i="57"/>
  <c r="D139" i="57"/>
  <c r="D140" i="57"/>
  <c r="D141" i="57"/>
  <c r="D142" i="57"/>
  <c r="D143" i="57"/>
  <c r="D144" i="57"/>
  <c r="D145" i="57"/>
  <c r="D146" i="57"/>
  <c r="D147" i="57"/>
  <c r="D148" i="57"/>
  <c r="D149" i="57"/>
  <c r="D150" i="57"/>
  <c r="D151" i="57"/>
  <c r="D152" i="57"/>
  <c r="D153" i="57"/>
  <c r="D154" i="57"/>
  <c r="D155" i="57"/>
  <c r="D156" i="57"/>
  <c r="D157" i="57"/>
  <c r="D158" i="57"/>
  <c r="D159" i="57"/>
  <c r="D160" i="57"/>
  <c r="D161" i="57"/>
  <c r="D162" i="57"/>
  <c r="D163" i="57"/>
  <c r="D164" i="57"/>
  <c r="D165" i="57"/>
  <c r="D166" i="57"/>
  <c r="D167" i="57"/>
  <c r="D168" i="57"/>
  <c r="D169" i="57"/>
  <c r="D170" i="57"/>
  <c r="D171" i="57"/>
  <c r="D172" i="57"/>
  <c r="D173" i="57"/>
  <c r="D174" i="57"/>
  <c r="D175" i="57"/>
  <c r="D176" i="57"/>
  <c r="D177" i="57"/>
  <c r="D178" i="57"/>
  <c r="D179" i="57"/>
  <c r="D180" i="57"/>
  <c r="D181" i="57"/>
  <c r="D182" i="57"/>
  <c r="D183" i="57"/>
  <c r="D184" i="57"/>
  <c r="D185" i="57"/>
  <c r="D186" i="57"/>
  <c r="D187" i="57"/>
  <c r="D188" i="57"/>
  <c r="D189" i="57"/>
  <c r="D190" i="57"/>
  <c r="D191" i="57"/>
  <c r="D192" i="57"/>
  <c r="D193" i="57"/>
  <c r="D194" i="57"/>
  <c r="D195" i="57"/>
  <c r="D196" i="57"/>
  <c r="D197" i="57"/>
  <c r="D198" i="57"/>
  <c r="D199" i="57"/>
  <c r="D200" i="57"/>
  <c r="D201" i="57"/>
  <c r="C2" i="57"/>
  <c r="C3" i="57"/>
  <c r="C4" i="57"/>
  <c r="C5" i="57"/>
  <c r="C6" i="57"/>
  <c r="C7" i="57"/>
  <c r="C8" i="57"/>
  <c r="C9" i="57"/>
  <c r="C10" i="57"/>
  <c r="C11" i="57"/>
  <c r="C12" i="57"/>
  <c r="C13" i="57"/>
  <c r="C14" i="57"/>
  <c r="C15" i="57"/>
  <c r="C16" i="57"/>
  <c r="C17" i="57"/>
  <c r="C18" i="57"/>
  <c r="C19" i="57"/>
  <c r="C20" i="57"/>
  <c r="C21" i="57"/>
  <c r="C22" i="57"/>
  <c r="C23" i="57"/>
  <c r="C24" i="57"/>
  <c r="C25" i="57"/>
  <c r="C26" i="57"/>
  <c r="C27" i="57"/>
  <c r="C28" i="57"/>
  <c r="C29" i="57"/>
  <c r="C30" i="57"/>
  <c r="C31" i="57"/>
  <c r="C32" i="57"/>
  <c r="C33" i="57"/>
  <c r="C34" i="57"/>
  <c r="C35" i="57"/>
  <c r="C36" i="57"/>
  <c r="C37" i="57"/>
  <c r="C38" i="57"/>
  <c r="C39" i="57"/>
  <c r="C40" i="57"/>
  <c r="C41" i="57"/>
  <c r="C42" i="57"/>
  <c r="C43" i="57"/>
  <c r="C44" i="57"/>
  <c r="C45" i="57"/>
  <c r="C46" i="57"/>
  <c r="C47" i="57"/>
  <c r="C48" i="57"/>
  <c r="C49" i="57"/>
  <c r="C50" i="57"/>
  <c r="C51" i="57"/>
  <c r="C52" i="57"/>
  <c r="C53" i="57"/>
  <c r="C54" i="57"/>
  <c r="C55" i="57"/>
  <c r="C56" i="57"/>
  <c r="C57" i="57"/>
  <c r="C58" i="57"/>
  <c r="C59" i="57"/>
  <c r="C60" i="57"/>
  <c r="C61" i="57"/>
  <c r="C62" i="57"/>
  <c r="C63" i="57"/>
  <c r="C64" i="57"/>
  <c r="C65" i="57"/>
  <c r="C66" i="57"/>
  <c r="C67" i="57"/>
  <c r="C68" i="57"/>
  <c r="C69" i="57"/>
  <c r="C70" i="57"/>
  <c r="C71" i="57"/>
  <c r="C72" i="57"/>
  <c r="C73" i="57"/>
  <c r="C74" i="57"/>
  <c r="C75" i="57"/>
  <c r="C76" i="57"/>
  <c r="C77" i="57"/>
  <c r="C78" i="57"/>
  <c r="C79" i="57"/>
  <c r="C80" i="57"/>
  <c r="C81" i="57"/>
  <c r="C82" i="57"/>
  <c r="C83" i="57"/>
  <c r="C84" i="57"/>
  <c r="C85" i="57"/>
  <c r="C86" i="57"/>
  <c r="C87" i="57"/>
  <c r="C88" i="57"/>
  <c r="C89" i="57"/>
  <c r="C90" i="57"/>
  <c r="C91" i="57"/>
  <c r="C92" i="57"/>
  <c r="C93" i="57"/>
  <c r="C94" i="57"/>
  <c r="C95" i="57"/>
  <c r="C96" i="57"/>
  <c r="C97" i="57"/>
  <c r="C98" i="57"/>
  <c r="C99" i="57"/>
  <c r="C100" i="57"/>
  <c r="C101" i="57"/>
  <c r="C102" i="57"/>
  <c r="C103" i="57"/>
  <c r="C104" i="57"/>
  <c r="C105" i="57"/>
  <c r="C106" i="57"/>
  <c r="C107" i="57"/>
  <c r="C108" i="57"/>
  <c r="C109" i="57"/>
  <c r="C110" i="57"/>
  <c r="C111" i="57"/>
  <c r="C112" i="57"/>
  <c r="C113" i="57"/>
  <c r="C114" i="57"/>
  <c r="C115" i="57"/>
  <c r="C116" i="57"/>
  <c r="C117" i="57"/>
  <c r="C118" i="57"/>
  <c r="C119" i="57"/>
  <c r="C120" i="57"/>
  <c r="C121" i="57"/>
  <c r="C122" i="57"/>
  <c r="C123" i="57"/>
  <c r="C124" i="57"/>
  <c r="C125" i="57"/>
  <c r="C126" i="57"/>
  <c r="C127" i="57"/>
  <c r="C128" i="57"/>
  <c r="C129" i="57"/>
  <c r="C130" i="57"/>
  <c r="C131" i="57"/>
  <c r="C132" i="57"/>
  <c r="C133" i="57"/>
  <c r="C134" i="57"/>
  <c r="C135" i="57"/>
  <c r="C136" i="57"/>
  <c r="C137" i="57"/>
  <c r="C138" i="57"/>
  <c r="C139" i="57"/>
  <c r="C140" i="57"/>
  <c r="C141" i="57"/>
  <c r="C142" i="57"/>
  <c r="C143" i="57"/>
  <c r="C144" i="57"/>
  <c r="C145" i="57"/>
  <c r="C146" i="57"/>
  <c r="C147" i="57"/>
  <c r="C148" i="57"/>
  <c r="C149" i="57"/>
  <c r="C150" i="57"/>
  <c r="C151" i="57"/>
  <c r="C152" i="57"/>
  <c r="C153" i="57"/>
  <c r="C154" i="57"/>
  <c r="C155" i="57"/>
  <c r="C156" i="57"/>
  <c r="C157" i="57"/>
  <c r="C158" i="57"/>
  <c r="C159" i="57"/>
  <c r="C160" i="57"/>
  <c r="C161" i="57"/>
  <c r="C162" i="57"/>
  <c r="C163" i="57"/>
  <c r="C164" i="57"/>
  <c r="C165" i="57"/>
  <c r="C166" i="57"/>
  <c r="C167" i="57"/>
  <c r="C168" i="57"/>
  <c r="C169" i="57"/>
  <c r="C170" i="57"/>
  <c r="C171" i="57"/>
  <c r="C172" i="57"/>
  <c r="C173" i="57"/>
  <c r="C174" i="57"/>
  <c r="C175" i="57"/>
  <c r="C176" i="57"/>
  <c r="C177" i="57"/>
  <c r="C178" i="57"/>
  <c r="C179" i="57"/>
  <c r="C180" i="57"/>
  <c r="C181" i="57"/>
  <c r="C182" i="57"/>
  <c r="C183" i="57"/>
  <c r="C184" i="57"/>
  <c r="C185" i="57"/>
  <c r="C186" i="57"/>
  <c r="C187" i="57"/>
  <c r="C188" i="57"/>
  <c r="C189" i="57"/>
  <c r="C190" i="57"/>
  <c r="C191" i="57"/>
  <c r="C192" i="57"/>
  <c r="C193" i="57"/>
  <c r="C194" i="57"/>
  <c r="C195" i="57"/>
  <c r="C196" i="57"/>
  <c r="C197" i="57"/>
  <c r="C198" i="57"/>
  <c r="C199" i="57"/>
  <c r="C200" i="57"/>
  <c r="C201" i="57"/>
  <c r="B201" i="57"/>
  <c r="B200" i="57"/>
  <c r="B199" i="57"/>
  <c r="B198" i="57"/>
  <c r="B197" i="57"/>
  <c r="B196" i="57"/>
  <c r="B195" i="57"/>
  <c r="B194" i="57"/>
  <c r="B193" i="57"/>
  <c r="B192" i="57"/>
  <c r="B191" i="57"/>
  <c r="B190" i="57"/>
  <c r="B189" i="57"/>
  <c r="B188" i="57"/>
  <c r="B187" i="57"/>
  <c r="B186" i="57"/>
  <c r="B185" i="57"/>
  <c r="B184" i="57"/>
  <c r="B183" i="57"/>
  <c r="B182" i="57"/>
  <c r="B181" i="57"/>
  <c r="B180" i="57"/>
  <c r="B179" i="57"/>
  <c r="B178" i="57"/>
  <c r="B177" i="57"/>
  <c r="B176" i="57"/>
  <c r="B175" i="57"/>
  <c r="B174" i="57"/>
  <c r="B173" i="57"/>
  <c r="B172" i="57"/>
  <c r="B171" i="57"/>
  <c r="B170" i="57"/>
  <c r="B169" i="57"/>
  <c r="B168" i="57"/>
  <c r="B167" i="57"/>
  <c r="B166" i="57"/>
  <c r="B165" i="57"/>
  <c r="B164" i="57"/>
  <c r="B163" i="57"/>
  <c r="B162" i="57"/>
  <c r="B161" i="57"/>
  <c r="B160" i="57"/>
  <c r="B159" i="57"/>
  <c r="B158" i="57"/>
  <c r="B157" i="57"/>
  <c r="B156" i="57"/>
  <c r="B155" i="57"/>
  <c r="B154" i="57"/>
  <c r="B153" i="57"/>
  <c r="B152" i="57"/>
  <c r="B151" i="57"/>
  <c r="B150" i="57"/>
  <c r="B149" i="57"/>
  <c r="B148" i="57"/>
  <c r="B147" i="57"/>
  <c r="B146" i="57"/>
  <c r="B145" i="57"/>
  <c r="B144" i="57"/>
  <c r="B143" i="57"/>
  <c r="B142" i="57"/>
  <c r="B141" i="57"/>
  <c r="B140" i="57"/>
  <c r="B139" i="57"/>
  <c r="B138" i="57"/>
  <c r="B137" i="57"/>
  <c r="B136" i="57"/>
  <c r="B135" i="57"/>
  <c r="B134" i="57"/>
  <c r="B133" i="57"/>
  <c r="B132" i="57"/>
  <c r="B131" i="57"/>
  <c r="B130" i="57"/>
  <c r="B129" i="57"/>
  <c r="B128" i="57"/>
  <c r="B127" i="57"/>
  <c r="B126" i="57"/>
  <c r="B125" i="57"/>
  <c r="B124" i="57"/>
  <c r="B123" i="57"/>
  <c r="B122" i="57"/>
  <c r="B121" i="57"/>
  <c r="B120" i="57"/>
  <c r="B119" i="57"/>
  <c r="B118" i="57"/>
  <c r="B117" i="57"/>
  <c r="B116" i="57"/>
  <c r="B115" i="57"/>
  <c r="B114" i="57"/>
  <c r="B113" i="57"/>
  <c r="B112" i="57"/>
  <c r="B111" i="57"/>
  <c r="B110" i="57"/>
  <c r="B109" i="57"/>
  <c r="B108" i="57"/>
  <c r="B107" i="57"/>
  <c r="B106" i="57"/>
  <c r="B105" i="57"/>
  <c r="B104" i="57"/>
  <c r="B103" i="57"/>
  <c r="B102" i="57"/>
  <c r="B101"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4" i="57"/>
  <c r="B3" i="57"/>
  <c r="B2" i="57"/>
  <c r="C9" i="2" l="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3"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 i="52" l="1"/>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32" i="52"/>
  <c r="B33" i="52"/>
  <c r="B34" i="52"/>
  <c r="B35" i="52"/>
  <c r="B36" i="52"/>
  <c r="B37" i="52"/>
  <c r="B38" i="52"/>
  <c r="B39" i="52"/>
  <c r="B40" i="52"/>
  <c r="B41" i="52"/>
  <c r="B42" i="52"/>
  <c r="B43" i="52"/>
  <c r="B44" i="52"/>
  <c r="B45" i="52"/>
  <c r="B46" i="52"/>
  <c r="B47" i="52"/>
  <c r="B48" i="52"/>
  <c r="B49" i="52"/>
  <c r="B50" i="52"/>
  <c r="B51" i="52"/>
  <c r="B52" i="52"/>
  <c r="B53" i="52"/>
  <c r="B54" i="52"/>
  <c r="B55" i="52"/>
  <c r="B56" i="52"/>
  <c r="B57" i="52"/>
  <c r="B58" i="52"/>
  <c r="B59" i="52"/>
  <c r="B60" i="52"/>
  <c r="B61" i="52"/>
  <c r="B62" i="52"/>
  <c r="B63" i="52"/>
  <c r="B64" i="52"/>
  <c r="B65" i="52"/>
  <c r="B66" i="52"/>
  <c r="B67" i="52"/>
  <c r="B68" i="52"/>
  <c r="B69" i="52"/>
  <c r="B70" i="52"/>
  <c r="B71" i="52"/>
  <c r="B72" i="52"/>
  <c r="B73" i="52"/>
  <c r="B74" i="52"/>
  <c r="B75" i="52"/>
  <c r="B76" i="52"/>
  <c r="B77" i="52"/>
  <c r="B78" i="52"/>
  <c r="B79" i="52"/>
  <c r="B80" i="52"/>
  <c r="B81" i="52"/>
  <c r="B82" i="52"/>
  <c r="B83" i="52"/>
  <c r="B84" i="52"/>
  <c r="B85" i="52"/>
  <c r="B86" i="52"/>
  <c r="B87" i="52"/>
  <c r="B88" i="52"/>
  <c r="B89" i="52"/>
  <c r="B90" i="52"/>
  <c r="B91" i="52"/>
  <c r="B92" i="52"/>
  <c r="B93" i="52"/>
  <c r="B94" i="52"/>
  <c r="B95" i="52"/>
  <c r="B96" i="52"/>
  <c r="B97" i="52"/>
  <c r="B98" i="52"/>
  <c r="B99" i="52"/>
  <c r="B100" i="52"/>
  <c r="B101" i="52"/>
  <c r="B102" i="52"/>
  <c r="B103" i="52"/>
  <c r="B104" i="52"/>
  <c r="B105" i="52"/>
  <c r="B106" i="52"/>
  <c r="B107" i="52"/>
  <c r="B108" i="52"/>
  <c r="B109" i="52"/>
  <c r="B110" i="52"/>
  <c r="B111" i="52"/>
  <c r="B112" i="52"/>
  <c r="B113" i="52"/>
  <c r="B114" i="52"/>
  <c r="B115" i="52"/>
  <c r="B116" i="52"/>
  <c r="B117" i="52"/>
  <c r="B118" i="52"/>
  <c r="B119" i="52"/>
  <c r="B120" i="52"/>
  <c r="B121" i="52"/>
  <c r="B122" i="52"/>
  <c r="B123" i="52"/>
  <c r="B124" i="52"/>
  <c r="B125" i="52"/>
  <c r="B126" i="52"/>
  <c r="B127" i="52"/>
  <c r="B128" i="52"/>
  <c r="B129" i="52"/>
  <c r="B130" i="52"/>
  <c r="B131" i="52"/>
  <c r="B132" i="52"/>
  <c r="B133" i="52"/>
  <c r="B134" i="52"/>
  <c r="B135" i="52"/>
  <c r="B136" i="52"/>
  <c r="B137" i="52"/>
  <c r="B138" i="52"/>
  <c r="B139" i="52"/>
  <c r="B140" i="52"/>
  <c r="B141" i="52"/>
  <c r="B142" i="52"/>
  <c r="B143" i="52"/>
  <c r="B144" i="52"/>
  <c r="B145" i="52"/>
  <c r="B146" i="52"/>
  <c r="B147" i="52"/>
  <c r="B148" i="52"/>
  <c r="B149" i="52"/>
  <c r="B150" i="52"/>
  <c r="B151" i="52"/>
  <c r="B152" i="52"/>
  <c r="B153" i="52"/>
  <c r="B154" i="52"/>
  <c r="B155" i="52"/>
  <c r="B156" i="52"/>
  <c r="B157" i="52"/>
  <c r="B158" i="52"/>
  <c r="B159" i="52"/>
  <c r="B160" i="52"/>
  <c r="B161" i="52"/>
  <c r="B162" i="52"/>
  <c r="B163" i="52"/>
  <c r="B164" i="52"/>
  <c r="B165" i="52"/>
  <c r="B166" i="52"/>
  <c r="B167" i="52"/>
  <c r="B168" i="52"/>
  <c r="B169" i="52"/>
  <c r="B170" i="52"/>
  <c r="B171" i="52"/>
  <c r="B172" i="52"/>
  <c r="B173" i="52"/>
  <c r="B174" i="52"/>
  <c r="B175" i="52"/>
  <c r="B176" i="52"/>
  <c r="B177" i="52"/>
  <c r="B178" i="52"/>
  <c r="B179" i="52"/>
  <c r="B180" i="52"/>
  <c r="B181" i="52"/>
  <c r="B182" i="52"/>
  <c r="B183" i="52"/>
  <c r="B184" i="52"/>
  <c r="B185" i="52"/>
  <c r="B186" i="52"/>
  <c r="B187" i="52"/>
  <c r="B188" i="52"/>
  <c r="B189" i="52"/>
  <c r="B190" i="52"/>
  <c r="B191" i="52"/>
  <c r="B192" i="52"/>
  <c r="B193" i="52"/>
  <c r="B194" i="52"/>
  <c r="B195" i="52"/>
  <c r="B196" i="52"/>
  <c r="B197" i="52"/>
  <c r="B198" i="52"/>
  <c r="B199" i="52"/>
  <c r="B200" i="52"/>
  <c r="B201" i="52"/>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E2" i="7" l="1"/>
  <c r="B2" i="33" s="1"/>
  <c r="E4" i="7"/>
  <c r="E5" i="7"/>
  <c r="E6" i="7"/>
  <c r="E7" i="7"/>
  <c r="E8" i="7"/>
  <c r="E9" i="7"/>
  <c r="E10" i="7"/>
  <c r="B10" i="33" s="1"/>
  <c r="E11" i="7"/>
  <c r="B11" i="14" s="1"/>
  <c r="E12" i="7"/>
  <c r="B12" i="14" s="1"/>
  <c r="E13" i="7"/>
  <c r="B13" i="14" s="1"/>
  <c r="E14" i="7"/>
  <c r="E15" i="7"/>
  <c r="E16" i="7"/>
  <c r="E17" i="7"/>
  <c r="E18" i="7"/>
  <c r="B18" i="14" s="1"/>
  <c r="E19" i="7"/>
  <c r="E20" i="7"/>
  <c r="E21" i="7"/>
  <c r="E22" i="7"/>
  <c r="E23" i="7"/>
  <c r="E24" i="7"/>
  <c r="E25" i="7"/>
  <c r="E26" i="7"/>
  <c r="B26" i="33" s="1"/>
  <c r="E27" i="7"/>
  <c r="B27" i="14" s="1"/>
  <c r="E28" i="7"/>
  <c r="E29" i="7"/>
  <c r="E30" i="7"/>
  <c r="E31" i="7"/>
  <c r="E32" i="7"/>
  <c r="E33" i="7"/>
  <c r="E34" i="7"/>
  <c r="B34" i="14" s="1"/>
  <c r="E35" i="7"/>
  <c r="B35" i="14" s="1"/>
  <c r="E36" i="7"/>
  <c r="B36" i="14" s="1"/>
  <c r="E37" i="7"/>
  <c r="B37" i="14" s="1"/>
  <c r="E38" i="7"/>
  <c r="B38" i="14" s="1"/>
  <c r="E39" i="7"/>
  <c r="E40" i="7"/>
  <c r="E41" i="7"/>
  <c r="E42" i="7"/>
  <c r="B42" i="14" s="1"/>
  <c r="E43" i="7"/>
  <c r="E44" i="7"/>
  <c r="E45" i="7"/>
  <c r="E46" i="7"/>
  <c r="E47" i="7"/>
  <c r="E48" i="7"/>
  <c r="E49" i="7"/>
  <c r="E50" i="7"/>
  <c r="B50" i="14" s="1"/>
  <c r="E51" i="7"/>
  <c r="B51" i="14" s="1"/>
  <c r="E52" i="7"/>
  <c r="B52" i="14" s="1"/>
  <c r="E53" i="7"/>
  <c r="E54" i="7"/>
  <c r="E55" i="7"/>
  <c r="E56" i="7"/>
  <c r="E57" i="7"/>
  <c r="E58" i="7"/>
  <c r="B58" i="32" s="1"/>
  <c r="E59" i="7"/>
  <c r="E60" i="7"/>
  <c r="E61" i="7"/>
  <c r="E62" i="7"/>
  <c r="E63" i="7"/>
  <c r="E64" i="7"/>
  <c r="E65" i="7"/>
  <c r="E66" i="7"/>
  <c r="B66" i="33" s="1"/>
  <c r="E67" i="7"/>
  <c r="E68" i="7"/>
  <c r="E69" i="7"/>
  <c r="E70" i="7"/>
  <c r="E71" i="7"/>
  <c r="E72" i="7"/>
  <c r="E73" i="7"/>
  <c r="E74" i="7"/>
  <c r="B74" i="33" s="1"/>
  <c r="E75" i="7"/>
  <c r="B75" i="14" s="1"/>
  <c r="E76" i="7"/>
  <c r="B76" i="14" s="1"/>
  <c r="E77" i="7"/>
  <c r="B77" i="14" s="1"/>
  <c r="E78" i="7"/>
  <c r="E79" i="7"/>
  <c r="E80" i="7"/>
  <c r="E81" i="7"/>
  <c r="E82" i="7"/>
  <c r="B82" i="33" s="1"/>
  <c r="E83" i="7"/>
  <c r="E84" i="7"/>
  <c r="E85" i="7"/>
  <c r="E86" i="7"/>
  <c r="B86" i="33" s="1"/>
  <c r="E87" i="7"/>
  <c r="E88" i="7"/>
  <c r="E89" i="7"/>
  <c r="E90" i="7"/>
  <c r="B90" i="14" s="1"/>
  <c r="E91" i="7"/>
  <c r="E92" i="7"/>
  <c r="E93" i="7"/>
  <c r="E94" i="7"/>
  <c r="B94" i="33" s="1"/>
  <c r="E95" i="7"/>
  <c r="E96" i="7"/>
  <c r="E97" i="7"/>
  <c r="E98" i="7"/>
  <c r="B98" i="14" s="1"/>
  <c r="E99" i="7"/>
  <c r="E100" i="7"/>
  <c r="E101" i="7"/>
  <c r="E102" i="7"/>
  <c r="B102" i="33" s="1"/>
  <c r="E103" i="7"/>
  <c r="E104" i="7"/>
  <c r="E105" i="7"/>
  <c r="E106" i="7"/>
  <c r="B106" i="32" s="1"/>
  <c r="E107" i="7"/>
  <c r="E108" i="7"/>
  <c r="E109" i="7"/>
  <c r="E110" i="7"/>
  <c r="B110" i="33" s="1"/>
  <c r="E111" i="7"/>
  <c r="E112" i="7"/>
  <c r="E113" i="7"/>
  <c r="E114" i="7"/>
  <c r="B114" i="14" s="1"/>
  <c r="E115" i="7"/>
  <c r="E116" i="7"/>
  <c r="E117" i="7"/>
  <c r="E118" i="7"/>
  <c r="B118" i="33" s="1"/>
  <c r="E119" i="7"/>
  <c r="E120" i="7"/>
  <c r="E121" i="7"/>
  <c r="E122" i="7"/>
  <c r="B122" i="14" s="1"/>
  <c r="E123" i="7"/>
  <c r="E124" i="7"/>
  <c r="E125" i="7"/>
  <c r="E126" i="7"/>
  <c r="B126" i="33" s="1"/>
  <c r="E127" i="7"/>
  <c r="E128" i="7"/>
  <c r="E129" i="7"/>
  <c r="E130" i="7"/>
  <c r="B130" i="33" s="1"/>
  <c r="E131" i="7"/>
  <c r="E132" i="7"/>
  <c r="E133" i="7"/>
  <c r="E134" i="7"/>
  <c r="B134" i="33" s="1"/>
  <c r="E135" i="7"/>
  <c r="E136" i="7"/>
  <c r="E137" i="7"/>
  <c r="E138" i="7"/>
  <c r="B138" i="33" s="1"/>
  <c r="E139" i="7"/>
  <c r="E140" i="7"/>
  <c r="B140" i="33" s="1"/>
  <c r="E141" i="7"/>
  <c r="E142" i="7"/>
  <c r="B142" i="33" s="1"/>
  <c r="E143" i="7"/>
  <c r="E144" i="7"/>
  <c r="E145" i="7"/>
  <c r="E146" i="7"/>
  <c r="B146" i="33" s="1"/>
  <c r="E147" i="7"/>
  <c r="E148" i="7"/>
  <c r="B148" i="33" s="1"/>
  <c r="E149" i="7"/>
  <c r="E150" i="7"/>
  <c r="B150" i="33" s="1"/>
  <c r="E151" i="7"/>
  <c r="E152" i="7"/>
  <c r="E153" i="7"/>
  <c r="E154" i="7"/>
  <c r="B154" i="14" s="1"/>
  <c r="E155" i="7"/>
  <c r="E156" i="7"/>
  <c r="B156" i="33" s="1"/>
  <c r="E157" i="7"/>
  <c r="E158" i="7"/>
  <c r="B158" i="33" s="1"/>
  <c r="E159" i="7"/>
  <c r="E160" i="7"/>
  <c r="E161" i="7"/>
  <c r="B161" i="14" s="1"/>
  <c r="E162" i="7"/>
  <c r="B162" i="32" s="1"/>
  <c r="E163" i="7"/>
  <c r="E164" i="7"/>
  <c r="B164" i="33" s="1"/>
  <c r="E165" i="7"/>
  <c r="E166" i="7"/>
  <c r="B166" i="33" s="1"/>
  <c r="E167" i="7"/>
  <c r="E168" i="7"/>
  <c r="E169" i="7"/>
  <c r="E170" i="7"/>
  <c r="B170" i="14" s="1"/>
  <c r="E171" i="7"/>
  <c r="E172" i="7"/>
  <c r="B172" i="33" s="1"/>
  <c r="E173" i="7"/>
  <c r="B173" i="33" s="1"/>
  <c r="E174" i="7"/>
  <c r="B174" i="33" s="1"/>
  <c r="E175" i="7"/>
  <c r="E176" i="7"/>
  <c r="E177" i="7"/>
  <c r="E178" i="7"/>
  <c r="B178" i="32" s="1"/>
  <c r="E179" i="7"/>
  <c r="E180" i="7"/>
  <c r="B180" i="33" s="1"/>
  <c r="E181" i="7"/>
  <c r="B181" i="33" s="1"/>
  <c r="E182" i="7"/>
  <c r="B182" i="33" s="1"/>
  <c r="E183" i="7"/>
  <c r="E184" i="7"/>
  <c r="E185" i="7"/>
  <c r="B185" i="14" s="1"/>
  <c r="E186" i="7"/>
  <c r="B186" i="14" s="1"/>
  <c r="E187" i="7"/>
  <c r="B187" i="33" s="1"/>
  <c r="E188" i="7"/>
  <c r="B188" i="33" s="1"/>
  <c r="E189" i="7"/>
  <c r="B189" i="33" s="1"/>
  <c r="E190" i="7"/>
  <c r="B190" i="33" s="1"/>
  <c r="E191" i="7"/>
  <c r="E192" i="7"/>
  <c r="E193" i="7"/>
  <c r="E194" i="7"/>
  <c r="B194" i="33" s="1"/>
  <c r="E195" i="7"/>
  <c r="B195" i="33" s="1"/>
  <c r="E196" i="7"/>
  <c r="B196" i="33" s="1"/>
  <c r="E197" i="7"/>
  <c r="B197" i="33" s="1"/>
  <c r="E198" i="7"/>
  <c r="B198" i="33" s="1"/>
  <c r="E199" i="7"/>
  <c r="E200" i="7"/>
  <c r="E201" i="7"/>
  <c r="B201" i="33" l="1"/>
  <c r="B201" i="32"/>
  <c r="B199" i="33"/>
  <c r="B199" i="32"/>
  <c r="B191" i="33"/>
  <c r="B191" i="32"/>
  <c r="B183" i="33"/>
  <c r="B183" i="32"/>
  <c r="B175" i="33"/>
  <c r="B175" i="32"/>
  <c r="B167" i="33"/>
  <c r="B167" i="32"/>
  <c r="B159" i="33"/>
  <c r="B159" i="32"/>
  <c r="B151" i="33"/>
  <c r="B151" i="32"/>
  <c r="B143" i="33"/>
  <c r="B143" i="32"/>
  <c r="B135" i="33"/>
  <c r="B135" i="32"/>
  <c r="B127" i="33"/>
  <c r="B127" i="32"/>
  <c r="B119" i="33"/>
  <c r="B119" i="32"/>
  <c r="B111" i="33"/>
  <c r="B111" i="32"/>
  <c r="B103" i="33"/>
  <c r="B103" i="32"/>
  <c r="B95" i="33"/>
  <c r="B95" i="32"/>
  <c r="B87" i="33"/>
  <c r="B87" i="32"/>
  <c r="B79" i="33"/>
  <c r="B79" i="32"/>
  <c r="B79" i="14"/>
  <c r="B71" i="33"/>
  <c r="B71" i="32"/>
  <c r="B71" i="14"/>
  <c r="B63" i="33"/>
  <c r="B63" i="32"/>
  <c r="B63" i="14"/>
  <c r="B55" i="33"/>
  <c r="B55" i="32"/>
  <c r="B55" i="14"/>
  <c r="B47" i="33"/>
  <c r="B47" i="32"/>
  <c r="B47" i="14"/>
  <c r="B39" i="33"/>
  <c r="B39" i="32"/>
  <c r="B39" i="14"/>
  <c r="B31" i="33"/>
  <c r="B31" i="32"/>
  <c r="B31" i="14"/>
  <c r="B23" i="33"/>
  <c r="B23" i="32"/>
  <c r="B23" i="14"/>
  <c r="B15" i="33"/>
  <c r="B15" i="32"/>
  <c r="B15" i="14"/>
  <c r="B7" i="33"/>
  <c r="B7" i="32"/>
  <c r="B7" i="14"/>
  <c r="B199" i="14"/>
  <c r="B191" i="14"/>
  <c r="B183" i="14"/>
  <c r="B175" i="14"/>
  <c r="B167" i="14"/>
  <c r="B159" i="14"/>
  <c r="B151" i="14"/>
  <c r="B143" i="14"/>
  <c r="B135" i="14"/>
  <c r="B127" i="14"/>
  <c r="B119" i="14"/>
  <c r="B111" i="14"/>
  <c r="B103" i="14"/>
  <c r="B95" i="14"/>
  <c r="B87" i="14"/>
  <c r="B66" i="14"/>
  <c r="B2" i="14"/>
  <c r="B188" i="32"/>
  <c r="B173" i="32"/>
  <c r="B154" i="32"/>
  <c r="B130" i="32"/>
  <c r="B98" i="32"/>
  <c r="B50" i="32"/>
  <c r="B186" i="33"/>
  <c r="B122" i="33"/>
  <c r="B58" i="33"/>
  <c r="B78" i="33"/>
  <c r="B78" i="32"/>
  <c r="B70" i="33"/>
  <c r="B70" i="32"/>
  <c r="B62" i="33"/>
  <c r="B62" i="32"/>
  <c r="B54" i="33"/>
  <c r="B54" i="32"/>
  <c r="B46" i="33"/>
  <c r="B46" i="32"/>
  <c r="B38" i="33"/>
  <c r="B38" i="32"/>
  <c r="B30" i="33"/>
  <c r="B30" i="32"/>
  <c r="B22" i="33"/>
  <c r="B22" i="32"/>
  <c r="B14" i="33"/>
  <c r="B14" i="32"/>
  <c r="B6" i="33"/>
  <c r="B6" i="32"/>
  <c r="B198" i="14"/>
  <c r="B190" i="14"/>
  <c r="B182" i="14"/>
  <c r="B174" i="14"/>
  <c r="B166" i="14"/>
  <c r="B158" i="14"/>
  <c r="B150" i="14"/>
  <c r="B142" i="14"/>
  <c r="B134" i="14"/>
  <c r="B126" i="14"/>
  <c r="B118" i="14"/>
  <c r="B110" i="14"/>
  <c r="B102" i="14"/>
  <c r="B94" i="14"/>
  <c r="B86" i="14"/>
  <c r="B62" i="14"/>
  <c r="B26" i="14"/>
  <c r="B198" i="32"/>
  <c r="B187" i="32"/>
  <c r="B172" i="32"/>
  <c r="B150" i="32"/>
  <c r="B126" i="32"/>
  <c r="B94" i="32"/>
  <c r="B42" i="32"/>
  <c r="B178" i="33"/>
  <c r="B114" i="33"/>
  <c r="B50" i="33"/>
  <c r="B165" i="33"/>
  <c r="B165" i="32"/>
  <c r="B157" i="33"/>
  <c r="B157" i="32"/>
  <c r="B149" i="33"/>
  <c r="B149" i="32"/>
  <c r="B141" i="33"/>
  <c r="B141" i="32"/>
  <c r="B133" i="33"/>
  <c r="B133" i="32"/>
  <c r="B125" i="33"/>
  <c r="B125" i="32"/>
  <c r="B117" i="33"/>
  <c r="B117" i="32"/>
  <c r="B109" i="33"/>
  <c r="B109" i="32"/>
  <c r="B101" i="33"/>
  <c r="B101" i="32"/>
  <c r="B93" i="33"/>
  <c r="B93" i="32"/>
  <c r="B85" i="33"/>
  <c r="B85" i="32"/>
  <c r="B77" i="33"/>
  <c r="B77" i="32"/>
  <c r="B69" i="33"/>
  <c r="B69" i="32"/>
  <c r="B61" i="33"/>
  <c r="B61" i="32"/>
  <c r="B53" i="33"/>
  <c r="B53" i="32"/>
  <c r="B45" i="33"/>
  <c r="B45" i="32"/>
  <c r="B37" i="33"/>
  <c r="B37" i="32"/>
  <c r="B29" i="33"/>
  <c r="B29" i="32"/>
  <c r="B21" i="33"/>
  <c r="B21" i="32"/>
  <c r="B13" i="33"/>
  <c r="B13" i="32"/>
  <c r="B5" i="33"/>
  <c r="B5" i="32"/>
  <c r="B197" i="14"/>
  <c r="B189" i="14"/>
  <c r="B181" i="14"/>
  <c r="B173" i="14"/>
  <c r="B165" i="14"/>
  <c r="B157" i="14"/>
  <c r="B149" i="14"/>
  <c r="B141" i="14"/>
  <c r="B133" i="14"/>
  <c r="B125" i="14"/>
  <c r="B117" i="14"/>
  <c r="B109" i="14"/>
  <c r="B101" i="14"/>
  <c r="B93" i="14"/>
  <c r="B85" i="14"/>
  <c r="B61" i="14"/>
  <c r="B22" i="14"/>
  <c r="B197" i="32"/>
  <c r="B186" i="32"/>
  <c r="B170" i="32"/>
  <c r="B148" i="32"/>
  <c r="B122" i="32"/>
  <c r="B90" i="32"/>
  <c r="B34" i="32"/>
  <c r="B170" i="33"/>
  <c r="B106" i="33"/>
  <c r="B42" i="33"/>
  <c r="B132" i="33"/>
  <c r="B132" i="32"/>
  <c r="B124" i="33"/>
  <c r="B124" i="32"/>
  <c r="B116" i="33"/>
  <c r="B116" i="32"/>
  <c r="B108" i="33"/>
  <c r="B108" i="32"/>
  <c r="B100" i="33"/>
  <c r="B100" i="32"/>
  <c r="B92" i="33"/>
  <c r="B92" i="32"/>
  <c r="B84" i="33"/>
  <c r="B84" i="32"/>
  <c r="B76" i="33"/>
  <c r="B76" i="32"/>
  <c r="B68" i="33"/>
  <c r="B68" i="32"/>
  <c r="B60" i="33"/>
  <c r="B60" i="32"/>
  <c r="B52" i="33"/>
  <c r="B52" i="32"/>
  <c r="B44" i="33"/>
  <c r="B44" i="32"/>
  <c r="B36" i="33"/>
  <c r="B36" i="32"/>
  <c r="B28" i="33"/>
  <c r="B28" i="32"/>
  <c r="B20" i="33"/>
  <c r="B20" i="32"/>
  <c r="B12" i="33"/>
  <c r="B12" i="32"/>
  <c r="B4" i="33"/>
  <c r="B4" i="32"/>
  <c r="B196" i="14"/>
  <c r="B188" i="14"/>
  <c r="B180" i="14"/>
  <c r="B172" i="14"/>
  <c r="B164" i="14"/>
  <c r="B156" i="14"/>
  <c r="B148" i="14"/>
  <c r="B140" i="14"/>
  <c r="B132" i="14"/>
  <c r="B124" i="14"/>
  <c r="B116" i="14"/>
  <c r="B108" i="14"/>
  <c r="B100" i="14"/>
  <c r="B92" i="14"/>
  <c r="B84" i="14"/>
  <c r="B74" i="14"/>
  <c r="B60" i="14"/>
  <c r="B46" i="14"/>
  <c r="B21" i="14"/>
  <c r="B10" i="14"/>
  <c r="B196" i="32"/>
  <c r="B182" i="32"/>
  <c r="B166" i="32"/>
  <c r="B146" i="32"/>
  <c r="B118" i="32"/>
  <c r="B86" i="32"/>
  <c r="B26" i="32"/>
  <c r="B162" i="33"/>
  <c r="B98" i="33"/>
  <c r="B34" i="33"/>
  <c r="B179" i="33"/>
  <c r="B179" i="32"/>
  <c r="B171" i="33"/>
  <c r="B171" i="32"/>
  <c r="B163" i="33"/>
  <c r="B163" i="32"/>
  <c r="B155" i="33"/>
  <c r="B155" i="32"/>
  <c r="B147" i="33"/>
  <c r="B147" i="32"/>
  <c r="B139" i="33"/>
  <c r="B139" i="32"/>
  <c r="B131" i="33"/>
  <c r="B131" i="32"/>
  <c r="B123" i="33"/>
  <c r="B123" i="32"/>
  <c r="B115" i="33"/>
  <c r="B115" i="32"/>
  <c r="B107" i="33"/>
  <c r="B107" i="32"/>
  <c r="B99" i="33"/>
  <c r="B99" i="32"/>
  <c r="B91" i="33"/>
  <c r="B91" i="32"/>
  <c r="B83" i="33"/>
  <c r="B83" i="32"/>
  <c r="B75" i="33"/>
  <c r="B75" i="32"/>
  <c r="B67" i="33"/>
  <c r="B67" i="32"/>
  <c r="B59" i="33"/>
  <c r="B59" i="32"/>
  <c r="B51" i="33"/>
  <c r="B51" i="32"/>
  <c r="B43" i="33"/>
  <c r="B43" i="32"/>
  <c r="B35" i="33"/>
  <c r="B35" i="32"/>
  <c r="B27" i="33"/>
  <c r="B27" i="32"/>
  <c r="B19" i="33"/>
  <c r="B19" i="32"/>
  <c r="B11" i="33"/>
  <c r="B11" i="32"/>
  <c r="B3" i="33"/>
  <c r="B3" i="32"/>
  <c r="B195" i="14"/>
  <c r="B187" i="14"/>
  <c r="B179" i="14"/>
  <c r="B171" i="14"/>
  <c r="B163" i="14"/>
  <c r="B155" i="14"/>
  <c r="B147" i="14"/>
  <c r="B139" i="14"/>
  <c r="B131" i="14"/>
  <c r="B123" i="14"/>
  <c r="B115" i="14"/>
  <c r="B107" i="14"/>
  <c r="B99" i="14"/>
  <c r="B91" i="14"/>
  <c r="B83" i="14"/>
  <c r="B70" i="14"/>
  <c r="B59" i="14"/>
  <c r="B45" i="14"/>
  <c r="B20" i="14"/>
  <c r="B6" i="14"/>
  <c r="B195" i="32"/>
  <c r="B181" i="32"/>
  <c r="B164" i="32"/>
  <c r="B142" i="32"/>
  <c r="B114" i="32"/>
  <c r="B82" i="32"/>
  <c r="B18" i="32"/>
  <c r="B154" i="33"/>
  <c r="B90" i="33"/>
  <c r="B194" i="14"/>
  <c r="B178" i="14"/>
  <c r="B162" i="14"/>
  <c r="B146" i="14"/>
  <c r="B138" i="14"/>
  <c r="B130" i="14"/>
  <c r="B106" i="14"/>
  <c r="B82" i="14"/>
  <c r="B69" i="14"/>
  <c r="B58" i="14"/>
  <c r="B44" i="14"/>
  <c r="B30" i="14"/>
  <c r="B19" i="14"/>
  <c r="B5" i="14"/>
  <c r="B194" i="32"/>
  <c r="B180" i="32"/>
  <c r="B140" i="32"/>
  <c r="B110" i="32"/>
  <c r="B74" i="32"/>
  <c r="B10" i="32"/>
  <c r="B18" i="33"/>
  <c r="B193" i="33"/>
  <c r="B193" i="32"/>
  <c r="B177" i="33"/>
  <c r="B177" i="32"/>
  <c r="B169" i="33"/>
  <c r="B169" i="32"/>
  <c r="B153" i="33"/>
  <c r="B153" i="32"/>
  <c r="B145" i="33"/>
  <c r="B145" i="32"/>
  <c r="B137" i="33"/>
  <c r="B137" i="32"/>
  <c r="B129" i="33"/>
  <c r="B129" i="32"/>
  <c r="B121" i="33"/>
  <c r="B121" i="32"/>
  <c r="B113" i="33"/>
  <c r="B113" i="32"/>
  <c r="B105" i="33"/>
  <c r="B105" i="32"/>
  <c r="B97" i="33"/>
  <c r="B97" i="32"/>
  <c r="B89" i="33"/>
  <c r="B89" i="32"/>
  <c r="B81" i="33"/>
  <c r="B81" i="32"/>
  <c r="B73" i="33"/>
  <c r="B73" i="32"/>
  <c r="B73" i="14"/>
  <c r="B65" i="33"/>
  <c r="B65" i="32"/>
  <c r="B65" i="14"/>
  <c r="B57" i="33"/>
  <c r="B57" i="32"/>
  <c r="B57" i="14"/>
  <c r="B49" i="33"/>
  <c r="B49" i="32"/>
  <c r="B49" i="14"/>
  <c r="B41" i="33"/>
  <c r="B41" i="32"/>
  <c r="B41" i="14"/>
  <c r="B33" i="33"/>
  <c r="B33" i="32"/>
  <c r="B33" i="14"/>
  <c r="B25" i="33"/>
  <c r="B25" i="32"/>
  <c r="B25" i="14"/>
  <c r="B17" i="33"/>
  <c r="B17" i="32"/>
  <c r="B17" i="14"/>
  <c r="B9" i="33"/>
  <c r="B9" i="32"/>
  <c r="B9" i="14"/>
  <c r="B201" i="14"/>
  <c r="B193" i="14"/>
  <c r="B177" i="14"/>
  <c r="B169" i="14"/>
  <c r="B153" i="14"/>
  <c r="B145" i="14"/>
  <c r="B137" i="14"/>
  <c r="B129" i="14"/>
  <c r="B121" i="14"/>
  <c r="B113" i="14"/>
  <c r="B105" i="14"/>
  <c r="B97" i="14"/>
  <c r="B89" i="14"/>
  <c r="B81" i="14"/>
  <c r="B68" i="14"/>
  <c r="B54" i="14"/>
  <c r="B43" i="14"/>
  <c r="B29" i="14"/>
  <c r="B4" i="14"/>
  <c r="B190" i="32"/>
  <c r="B158" i="32"/>
  <c r="B138" i="32"/>
  <c r="B66" i="32"/>
  <c r="B2" i="32"/>
  <c r="B185" i="33"/>
  <c r="B185" i="32"/>
  <c r="B161" i="33"/>
  <c r="B161" i="32"/>
  <c r="B200" i="33"/>
  <c r="B200" i="32"/>
  <c r="B192" i="33"/>
  <c r="B192" i="32"/>
  <c r="B184" i="33"/>
  <c r="B184" i="32"/>
  <c r="B176" i="33"/>
  <c r="B176" i="32"/>
  <c r="B168" i="33"/>
  <c r="B168" i="32"/>
  <c r="B160" i="33"/>
  <c r="B160" i="32"/>
  <c r="B152" i="33"/>
  <c r="B152" i="32"/>
  <c r="B144" i="33"/>
  <c r="B144" i="32"/>
  <c r="B136" i="33"/>
  <c r="B136" i="32"/>
  <c r="B128" i="33"/>
  <c r="B128" i="32"/>
  <c r="B120" i="33"/>
  <c r="B120" i="32"/>
  <c r="B112" i="33"/>
  <c r="B112" i="32"/>
  <c r="B104" i="33"/>
  <c r="B104" i="32"/>
  <c r="B96" i="33"/>
  <c r="B96" i="32"/>
  <c r="B88" i="33"/>
  <c r="B88" i="32"/>
  <c r="B80" i="33"/>
  <c r="B80" i="32"/>
  <c r="B80" i="14"/>
  <c r="B72" i="33"/>
  <c r="B72" i="32"/>
  <c r="B72" i="14"/>
  <c r="B64" i="33"/>
  <c r="B64" i="32"/>
  <c r="B64" i="14"/>
  <c r="B56" i="33"/>
  <c r="B56" i="32"/>
  <c r="B56" i="14"/>
  <c r="B48" i="33"/>
  <c r="B48" i="32"/>
  <c r="B48" i="14"/>
  <c r="B40" i="33"/>
  <c r="B40" i="32"/>
  <c r="B40" i="14"/>
  <c r="B32" i="33"/>
  <c r="B32" i="32"/>
  <c r="B32" i="14"/>
  <c r="B24" i="33"/>
  <c r="B24" i="32"/>
  <c r="B24" i="14"/>
  <c r="B16" i="33"/>
  <c r="B16" i="32"/>
  <c r="B16" i="14"/>
  <c r="B8" i="33"/>
  <c r="B8" i="32"/>
  <c r="B8" i="14"/>
  <c r="B200" i="14"/>
  <c r="B192" i="14"/>
  <c r="B184" i="14"/>
  <c r="B176" i="14"/>
  <c r="B168" i="14"/>
  <c r="B160" i="14"/>
  <c r="B152" i="14"/>
  <c r="B144" i="14"/>
  <c r="B136" i="14"/>
  <c r="B128" i="14"/>
  <c r="B120" i="14"/>
  <c r="B112" i="14"/>
  <c r="B104" i="14"/>
  <c r="B96" i="14"/>
  <c r="B88" i="14"/>
  <c r="B78" i="14"/>
  <c r="B67" i="14"/>
  <c r="B53" i="14"/>
  <c r="B28" i="14"/>
  <c r="B14" i="14"/>
  <c r="B3" i="14"/>
  <c r="B189" i="32"/>
  <c r="B174" i="32"/>
  <c r="B156" i="32"/>
  <c r="B134" i="32"/>
  <c r="B102" i="32"/>
  <c r="C2" i="55" l="1"/>
  <c r="C3" i="55"/>
  <c r="C4"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82" i="55"/>
  <c r="C83" i="55"/>
  <c r="C84" i="55"/>
  <c r="C85" i="55"/>
  <c r="C86" i="55"/>
  <c r="C87" i="55"/>
  <c r="C88" i="55"/>
  <c r="C89" i="55"/>
  <c r="C90" i="55"/>
  <c r="C91" i="55"/>
  <c r="C92" i="55"/>
  <c r="C93" i="55"/>
  <c r="C94" i="55"/>
  <c r="C95" i="55"/>
  <c r="C96" i="55"/>
  <c r="C97" i="55"/>
  <c r="C98" i="55"/>
  <c r="C99" i="55"/>
  <c r="C100" i="55"/>
  <c r="C101" i="55"/>
  <c r="C102" i="55"/>
  <c r="C103" i="55"/>
  <c r="C104" i="55"/>
  <c r="C105" i="55"/>
  <c r="C106" i="55"/>
  <c r="C107" i="55"/>
  <c r="C108" i="55"/>
  <c r="C109" i="55"/>
  <c r="C110" i="55"/>
  <c r="C111" i="55"/>
  <c r="C112" i="55"/>
  <c r="C113" i="55"/>
  <c r="C114" i="55"/>
  <c r="C115" i="55"/>
  <c r="C116" i="55"/>
  <c r="C117" i="55"/>
  <c r="C118" i="55"/>
  <c r="C119" i="55"/>
  <c r="C120" i="55"/>
  <c r="C121" i="55"/>
  <c r="C122" i="55"/>
  <c r="C123" i="55"/>
  <c r="C124" i="55"/>
  <c r="C125" i="55"/>
  <c r="C126" i="55"/>
  <c r="C127" i="55"/>
  <c r="C128" i="55"/>
  <c r="C129" i="55"/>
  <c r="C130" i="55"/>
  <c r="C131" i="55"/>
  <c r="C132" i="55"/>
  <c r="C133" i="55"/>
  <c r="C134" i="55"/>
  <c r="C135" i="55"/>
  <c r="C136" i="55"/>
  <c r="C137" i="55"/>
  <c r="C138" i="55"/>
  <c r="C139" i="55"/>
  <c r="C140" i="55"/>
  <c r="C141" i="55"/>
  <c r="C142" i="55"/>
  <c r="C143" i="55"/>
  <c r="C144" i="55"/>
  <c r="C145" i="55"/>
  <c r="C146" i="55"/>
  <c r="C147" i="55"/>
  <c r="C148" i="55"/>
  <c r="C149" i="55"/>
  <c r="C150" i="55"/>
  <c r="C151" i="55"/>
  <c r="C152" i="55"/>
  <c r="C153" i="55"/>
  <c r="C154" i="55"/>
  <c r="C155" i="55"/>
  <c r="C156" i="55"/>
  <c r="C157" i="55"/>
  <c r="C158" i="55"/>
  <c r="C159" i="55"/>
  <c r="C160" i="55"/>
  <c r="C161" i="55"/>
  <c r="C162" i="55"/>
  <c r="C163" i="55"/>
  <c r="C164" i="55"/>
  <c r="C165" i="55"/>
  <c r="C166" i="55"/>
  <c r="C167" i="55"/>
  <c r="C168" i="55"/>
  <c r="C169" i="55"/>
  <c r="C170" i="55"/>
  <c r="C171" i="55"/>
  <c r="C172" i="55"/>
  <c r="C173" i="55"/>
  <c r="C174" i="55"/>
  <c r="C175" i="55"/>
  <c r="C176" i="55"/>
  <c r="C177" i="55"/>
  <c r="C178" i="55"/>
  <c r="C179" i="55"/>
  <c r="C180" i="55"/>
  <c r="C181" i="55"/>
  <c r="C182" i="55"/>
  <c r="C183" i="55"/>
  <c r="C184" i="55"/>
  <c r="C185" i="55"/>
  <c r="C186" i="55"/>
  <c r="C187" i="55"/>
  <c r="C188" i="55"/>
  <c r="C189" i="55"/>
  <c r="C190" i="55"/>
  <c r="C191" i="55"/>
  <c r="C192" i="55"/>
  <c r="C193" i="55"/>
  <c r="C194" i="55"/>
  <c r="C195" i="55"/>
  <c r="C196" i="55"/>
  <c r="C197" i="55"/>
  <c r="C198" i="55"/>
  <c r="C199" i="55"/>
  <c r="C200" i="55"/>
  <c r="C201" i="55"/>
  <c r="A2" i="42" l="1"/>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177" i="42"/>
  <c r="A178" i="42"/>
  <c r="A179" i="42"/>
  <c r="A180" i="42"/>
  <c r="A181" i="42"/>
  <c r="A182" i="42"/>
  <c r="A183" i="42"/>
  <c r="A184" i="42"/>
  <c r="A185" i="42"/>
  <c r="A186" i="42"/>
  <c r="A187" i="42"/>
  <c r="A188" i="42"/>
  <c r="A189" i="42"/>
  <c r="A190" i="42"/>
  <c r="A191" i="42"/>
  <c r="A192" i="42"/>
  <c r="A193" i="42"/>
  <c r="A194" i="42"/>
  <c r="A195" i="42"/>
  <c r="A196" i="42"/>
  <c r="A197" i="42"/>
  <c r="A198" i="42"/>
  <c r="A199" i="42"/>
  <c r="A200" i="42"/>
  <c r="A201" i="42"/>
  <c r="I3" i="42"/>
  <c r="C2" i="30"/>
  <c r="C188" i="30"/>
  <c r="C189" i="30"/>
  <c r="C190" i="30"/>
  <c r="C191" i="30"/>
  <c r="C192" i="30"/>
  <c r="C193" i="30"/>
  <c r="C194" i="30"/>
  <c r="C195" i="30"/>
  <c r="C196" i="30"/>
  <c r="C197" i="30"/>
  <c r="C198" i="30"/>
  <c r="C199" i="30"/>
  <c r="C200" i="30"/>
  <c r="G2" i="38" l="1"/>
  <c r="G3" i="38"/>
  <c r="G4" i="38"/>
  <c r="G5" i="38"/>
  <c r="G6" i="38"/>
  <c r="G7" i="38"/>
  <c r="G8" i="38"/>
  <c r="G9"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115" i="38"/>
  <c r="G116" i="38"/>
  <c r="G117" i="38"/>
  <c r="G118" i="38"/>
  <c r="G119" i="38"/>
  <c r="G120" i="38"/>
  <c r="G121" i="38"/>
  <c r="G122" i="38"/>
  <c r="G123" i="38"/>
  <c r="G124" i="38"/>
  <c r="G125" i="38"/>
  <c r="G126" i="38"/>
  <c r="G127" i="38"/>
  <c r="G128" i="38"/>
  <c r="G129" i="38"/>
  <c r="G130" i="38"/>
  <c r="G131" i="38"/>
  <c r="G132" i="38"/>
  <c r="G133" i="38"/>
  <c r="G134" i="38"/>
  <c r="G135" i="38"/>
  <c r="G136" i="38"/>
  <c r="G137" i="38"/>
  <c r="G138" i="38"/>
  <c r="G139" i="38"/>
  <c r="G140" i="38"/>
  <c r="G141" i="38"/>
  <c r="G142" i="38"/>
  <c r="G143" i="38"/>
  <c r="G144" i="38"/>
  <c r="G145" i="38"/>
  <c r="G146" i="38"/>
  <c r="G147" i="38"/>
  <c r="G148" i="38"/>
  <c r="G149" i="38"/>
  <c r="G150" i="38"/>
  <c r="G151" i="38"/>
  <c r="G152" i="38"/>
  <c r="G153" i="38"/>
  <c r="G154" i="38"/>
  <c r="G155" i="38"/>
  <c r="G156" i="38"/>
  <c r="G157" i="38"/>
  <c r="G158" i="38"/>
  <c r="G159" i="38"/>
  <c r="G160" i="38"/>
  <c r="G161" i="38"/>
  <c r="G162" i="38"/>
  <c r="G163" i="38"/>
  <c r="G164" i="38"/>
  <c r="G165" i="38"/>
  <c r="G166" i="38"/>
  <c r="G167" i="38"/>
  <c r="G168" i="38"/>
  <c r="G169" i="38"/>
  <c r="G170" i="38"/>
  <c r="G171" i="38"/>
  <c r="G172" i="38"/>
  <c r="G173" i="38"/>
  <c r="G174" i="38"/>
  <c r="G175" i="38"/>
  <c r="G176" i="38"/>
  <c r="G177" i="38"/>
  <c r="G178" i="38"/>
  <c r="G179" i="38"/>
  <c r="G180" i="38"/>
  <c r="G181" i="38"/>
  <c r="G182" i="38"/>
  <c r="G183" i="38"/>
  <c r="G184" i="38"/>
  <c r="G185" i="38"/>
  <c r="G186" i="38"/>
  <c r="G187" i="38"/>
  <c r="G188" i="38"/>
  <c r="G189" i="38"/>
  <c r="G190" i="38"/>
  <c r="G191" i="38"/>
  <c r="G192" i="38"/>
  <c r="G193" i="38"/>
  <c r="G194" i="38"/>
  <c r="G195" i="38"/>
  <c r="G196" i="38"/>
  <c r="G197" i="38"/>
  <c r="G198" i="38"/>
  <c r="G199" i="38"/>
  <c r="G200" i="38"/>
  <c r="G201" i="38"/>
  <c r="G2"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108" i="37"/>
  <c r="G109" i="37"/>
  <c r="G110" i="37"/>
  <c r="G111" i="37"/>
  <c r="G112" i="37"/>
  <c r="G113" i="37"/>
  <c r="G114" i="37"/>
  <c r="G115" i="37"/>
  <c r="G116" i="37"/>
  <c r="G117" i="37"/>
  <c r="G118" i="37"/>
  <c r="G119" i="37"/>
  <c r="G120" i="37"/>
  <c r="G121" i="37"/>
  <c r="G122" i="37"/>
  <c r="G123" i="37"/>
  <c r="G124" i="37"/>
  <c r="G125" i="37"/>
  <c r="G126" i="37"/>
  <c r="G127" i="37"/>
  <c r="G128" i="37"/>
  <c r="G129" i="37"/>
  <c r="G130" i="37"/>
  <c r="G131" i="37"/>
  <c r="G132" i="37"/>
  <c r="G133" i="37"/>
  <c r="G134" i="37"/>
  <c r="G135" i="37"/>
  <c r="G136" i="37"/>
  <c r="G137" i="37"/>
  <c r="G138" i="37"/>
  <c r="G139" i="37"/>
  <c r="G140" i="37"/>
  <c r="G141" i="37"/>
  <c r="G142" i="37"/>
  <c r="G143" i="37"/>
  <c r="G144" i="37"/>
  <c r="G145" i="37"/>
  <c r="G146" i="37"/>
  <c r="G147" i="37"/>
  <c r="G148" i="37"/>
  <c r="G149" i="37"/>
  <c r="G150" i="37"/>
  <c r="G151" i="37"/>
  <c r="G152" i="37"/>
  <c r="G153" i="37"/>
  <c r="G154" i="37"/>
  <c r="G155" i="37"/>
  <c r="G156" i="37"/>
  <c r="G157" i="37"/>
  <c r="G158" i="37"/>
  <c r="G159" i="37"/>
  <c r="G160" i="37"/>
  <c r="G161" i="37"/>
  <c r="G162" i="37"/>
  <c r="G163" i="37"/>
  <c r="G164" i="37"/>
  <c r="G165" i="37"/>
  <c r="G166" i="37"/>
  <c r="G167" i="37"/>
  <c r="G168" i="37"/>
  <c r="G169" i="37"/>
  <c r="G170" i="37"/>
  <c r="G171" i="37"/>
  <c r="G172" i="37"/>
  <c r="G173" i="37"/>
  <c r="G174" i="37"/>
  <c r="G175" i="37"/>
  <c r="G176" i="37"/>
  <c r="G177" i="37"/>
  <c r="G178" i="37"/>
  <c r="G179" i="37"/>
  <c r="G180" i="37"/>
  <c r="G181" i="37"/>
  <c r="G182" i="37"/>
  <c r="G183" i="37"/>
  <c r="G184" i="37"/>
  <c r="G185" i="37"/>
  <c r="G186" i="37"/>
  <c r="G187" i="37"/>
  <c r="G188" i="37"/>
  <c r="G189" i="37"/>
  <c r="G190" i="37"/>
  <c r="G191" i="37"/>
  <c r="G192" i="37"/>
  <c r="G193" i="37"/>
  <c r="G194" i="37"/>
  <c r="G195" i="37"/>
  <c r="G196" i="37"/>
  <c r="G197" i="37"/>
  <c r="G198" i="37"/>
  <c r="G199" i="37"/>
  <c r="G200" i="37"/>
  <c r="G201" i="37"/>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B3" i="5"/>
  <c r="B3" i="12"/>
  <c r="J2" i="49" l="1"/>
  <c r="J3" i="49"/>
  <c r="J4" i="49"/>
  <c r="J5" i="49"/>
  <c r="J6" i="49"/>
  <c r="J7" i="49"/>
  <c r="J8" i="49"/>
  <c r="J9" i="49"/>
  <c r="J10" i="49"/>
  <c r="J11" i="49"/>
  <c r="J12" i="49"/>
  <c r="J13" i="49"/>
  <c r="J14" i="49"/>
  <c r="J15" i="49"/>
  <c r="J16" i="49"/>
  <c r="J17" i="49"/>
  <c r="J18" i="49"/>
  <c r="J19" i="49"/>
  <c r="J20" i="49"/>
  <c r="J21" i="49"/>
  <c r="J22" i="49"/>
  <c r="J23" i="49"/>
  <c r="J24" i="49"/>
  <c r="J25" i="49"/>
  <c r="J26" i="49"/>
  <c r="J27" i="49"/>
  <c r="J28" i="49"/>
  <c r="J29" i="49"/>
  <c r="J30" i="49"/>
  <c r="J31" i="49"/>
  <c r="J32" i="49"/>
  <c r="J33" i="49"/>
  <c r="J34" i="49"/>
  <c r="J35" i="49"/>
  <c r="J36" i="49"/>
  <c r="J37" i="49"/>
  <c r="J38" i="49"/>
  <c r="J39" i="49"/>
  <c r="J40" i="49"/>
  <c r="J41" i="49"/>
  <c r="J42" i="49"/>
  <c r="J43" i="49"/>
  <c r="J44" i="49"/>
  <c r="J45" i="49"/>
  <c r="J46" i="49"/>
  <c r="J47" i="49"/>
  <c r="J48" i="49"/>
  <c r="J49" i="49"/>
  <c r="J50" i="49"/>
  <c r="J51" i="49"/>
  <c r="J52" i="49"/>
  <c r="J53" i="49"/>
  <c r="J54" i="49"/>
  <c r="J55" i="49"/>
  <c r="J56" i="49"/>
  <c r="J57" i="49"/>
  <c r="J58" i="49"/>
  <c r="J59" i="49"/>
  <c r="J60" i="49"/>
  <c r="J61" i="49"/>
  <c r="J62" i="49"/>
  <c r="J63" i="49"/>
  <c r="J64" i="49"/>
  <c r="J65" i="49"/>
  <c r="J66" i="49"/>
  <c r="J67" i="49"/>
  <c r="J68" i="49"/>
  <c r="J69" i="49"/>
  <c r="J70" i="49"/>
  <c r="J71" i="49"/>
  <c r="J72" i="49"/>
  <c r="J73" i="49"/>
  <c r="J74" i="49"/>
  <c r="J75" i="49"/>
  <c r="J76" i="49"/>
  <c r="J77" i="49"/>
  <c r="J78" i="49"/>
  <c r="J79" i="49"/>
  <c r="J80" i="49"/>
  <c r="J81" i="49"/>
  <c r="J82" i="49"/>
  <c r="J83" i="49"/>
  <c r="J84" i="49"/>
  <c r="J85" i="49"/>
  <c r="J86" i="49"/>
  <c r="J87" i="49"/>
  <c r="J88" i="49"/>
  <c r="J89" i="49"/>
  <c r="J90" i="49"/>
  <c r="J91" i="49"/>
  <c r="J92" i="49"/>
  <c r="J93" i="49"/>
  <c r="J94" i="49"/>
  <c r="J95" i="49"/>
  <c r="J96" i="49"/>
  <c r="J97" i="49"/>
  <c r="J98" i="49"/>
  <c r="J99" i="49"/>
  <c r="J100" i="49"/>
  <c r="J101" i="49"/>
  <c r="J102" i="49"/>
  <c r="J103" i="49"/>
  <c r="J104" i="49"/>
  <c r="J105" i="49"/>
  <c r="J106" i="49"/>
  <c r="J107" i="49"/>
  <c r="J108" i="49"/>
  <c r="J109" i="49"/>
  <c r="J110" i="49"/>
  <c r="J111" i="49"/>
  <c r="J112" i="49"/>
  <c r="J113" i="49"/>
  <c r="J114" i="49"/>
  <c r="J115" i="49"/>
  <c r="J116" i="49"/>
  <c r="J117" i="49"/>
  <c r="J118" i="49"/>
  <c r="J119" i="49"/>
  <c r="J120" i="49"/>
  <c r="J121" i="49"/>
  <c r="J122" i="49"/>
  <c r="J123" i="49"/>
  <c r="J124" i="49"/>
  <c r="J125" i="49"/>
  <c r="J126" i="49"/>
  <c r="J127" i="49"/>
  <c r="J128" i="49"/>
  <c r="J129" i="49"/>
  <c r="J130" i="49"/>
  <c r="J131" i="49"/>
  <c r="J132" i="49"/>
  <c r="J133" i="49"/>
  <c r="J134" i="49"/>
  <c r="J135" i="49"/>
  <c r="J136" i="49"/>
  <c r="J137" i="49"/>
  <c r="J138" i="49"/>
  <c r="J139" i="49"/>
  <c r="J140" i="49"/>
  <c r="J141" i="49"/>
  <c r="J142" i="49"/>
  <c r="J143" i="49"/>
  <c r="J144" i="49"/>
  <c r="J145" i="49"/>
  <c r="J146" i="49"/>
  <c r="J147" i="49"/>
  <c r="J148" i="49"/>
  <c r="J149" i="49"/>
  <c r="J150" i="49"/>
  <c r="J151" i="49"/>
  <c r="J152" i="49"/>
  <c r="J153" i="49"/>
  <c r="J154" i="49"/>
  <c r="J155" i="49"/>
  <c r="J156" i="49"/>
  <c r="J157" i="49"/>
  <c r="J158" i="49"/>
  <c r="J159" i="49"/>
  <c r="J160" i="49"/>
  <c r="J161" i="49"/>
  <c r="J162" i="49"/>
  <c r="J163" i="49"/>
  <c r="J164" i="49"/>
  <c r="J165" i="49"/>
  <c r="J166" i="49"/>
  <c r="J167" i="49"/>
  <c r="J168" i="49"/>
  <c r="J169" i="49"/>
  <c r="J170" i="49"/>
  <c r="J171" i="49"/>
  <c r="J172" i="49"/>
  <c r="J173" i="49"/>
  <c r="J174" i="49"/>
  <c r="J175" i="49"/>
  <c r="J176" i="49"/>
  <c r="J177" i="49"/>
  <c r="J178" i="49"/>
  <c r="J179" i="49"/>
  <c r="J180" i="49"/>
  <c r="J181" i="49"/>
  <c r="J182" i="49"/>
  <c r="J183" i="49"/>
  <c r="J184" i="49"/>
  <c r="J185" i="49"/>
  <c r="J186" i="49"/>
  <c r="J187" i="49"/>
  <c r="J188" i="49"/>
  <c r="J189" i="49"/>
  <c r="J190" i="49"/>
  <c r="J191" i="49"/>
  <c r="J192" i="49"/>
  <c r="J193" i="49"/>
  <c r="J194" i="49"/>
  <c r="J195" i="49"/>
  <c r="J196" i="49"/>
  <c r="J197" i="49"/>
  <c r="J198" i="49"/>
  <c r="J199" i="49"/>
  <c r="J200" i="49"/>
  <c r="J201" i="49"/>
  <c r="I2" i="49"/>
  <c r="I3" i="49"/>
  <c r="I4" i="49"/>
  <c r="I5" i="49"/>
  <c r="I6" i="49"/>
  <c r="I7" i="49"/>
  <c r="I8" i="49"/>
  <c r="I9" i="49"/>
  <c r="I10" i="49"/>
  <c r="I11" i="49"/>
  <c r="I12" i="49"/>
  <c r="I13" i="49"/>
  <c r="I14" i="49"/>
  <c r="I15" i="49"/>
  <c r="I16" i="49"/>
  <c r="I17" i="49"/>
  <c r="I18" i="49"/>
  <c r="I19" i="49"/>
  <c r="I20" i="49"/>
  <c r="I21" i="49"/>
  <c r="I22" i="49"/>
  <c r="I23" i="49"/>
  <c r="I24" i="49"/>
  <c r="I25" i="49"/>
  <c r="I26" i="49"/>
  <c r="I27" i="49"/>
  <c r="I28" i="49"/>
  <c r="I29" i="49"/>
  <c r="I30" i="49"/>
  <c r="I31" i="49"/>
  <c r="I32" i="49"/>
  <c r="I33" i="49"/>
  <c r="I34" i="49"/>
  <c r="I35" i="49"/>
  <c r="I36" i="49"/>
  <c r="I37" i="49"/>
  <c r="I38" i="49"/>
  <c r="I39" i="49"/>
  <c r="I40" i="49"/>
  <c r="I41" i="49"/>
  <c r="I42" i="49"/>
  <c r="I43" i="49"/>
  <c r="I44" i="49"/>
  <c r="I45" i="49"/>
  <c r="I46" i="49"/>
  <c r="I47" i="49"/>
  <c r="I48" i="49"/>
  <c r="I49" i="49"/>
  <c r="I50" i="49"/>
  <c r="I51" i="49"/>
  <c r="I52" i="49"/>
  <c r="I53" i="49"/>
  <c r="I54" i="49"/>
  <c r="I55" i="49"/>
  <c r="I56" i="49"/>
  <c r="I57" i="49"/>
  <c r="I58" i="49"/>
  <c r="I59" i="49"/>
  <c r="I60" i="49"/>
  <c r="I61" i="49"/>
  <c r="I62" i="49"/>
  <c r="I63" i="49"/>
  <c r="I64" i="49"/>
  <c r="I65" i="49"/>
  <c r="I66" i="49"/>
  <c r="I67" i="49"/>
  <c r="I68" i="49"/>
  <c r="I69" i="49"/>
  <c r="I70" i="49"/>
  <c r="I71" i="49"/>
  <c r="I72" i="49"/>
  <c r="I73" i="49"/>
  <c r="I74" i="49"/>
  <c r="I75" i="49"/>
  <c r="I76" i="49"/>
  <c r="I77" i="49"/>
  <c r="I78" i="49"/>
  <c r="I79" i="49"/>
  <c r="I80" i="49"/>
  <c r="I81" i="49"/>
  <c r="I82" i="49"/>
  <c r="I83" i="49"/>
  <c r="I84" i="49"/>
  <c r="I85" i="49"/>
  <c r="I86" i="49"/>
  <c r="I87" i="49"/>
  <c r="I88" i="49"/>
  <c r="I89" i="49"/>
  <c r="I90" i="49"/>
  <c r="I91" i="49"/>
  <c r="I92" i="49"/>
  <c r="I93" i="49"/>
  <c r="I94" i="49"/>
  <c r="I95" i="49"/>
  <c r="I96" i="49"/>
  <c r="I97" i="49"/>
  <c r="I98" i="49"/>
  <c r="I99" i="49"/>
  <c r="I100" i="49"/>
  <c r="I101" i="49"/>
  <c r="I102" i="49"/>
  <c r="I103" i="49"/>
  <c r="I104" i="49"/>
  <c r="I105" i="49"/>
  <c r="I106" i="49"/>
  <c r="I107" i="49"/>
  <c r="I108" i="49"/>
  <c r="I109" i="49"/>
  <c r="I110" i="49"/>
  <c r="I111" i="49"/>
  <c r="I112" i="49"/>
  <c r="I113" i="49"/>
  <c r="I114" i="49"/>
  <c r="I115" i="49"/>
  <c r="I116" i="49"/>
  <c r="I117" i="49"/>
  <c r="I118" i="49"/>
  <c r="I119" i="49"/>
  <c r="I120" i="49"/>
  <c r="I121" i="49"/>
  <c r="I122" i="49"/>
  <c r="I123" i="49"/>
  <c r="I124" i="49"/>
  <c r="I125" i="49"/>
  <c r="I126" i="49"/>
  <c r="I127" i="49"/>
  <c r="I128" i="49"/>
  <c r="I129" i="49"/>
  <c r="I130" i="49"/>
  <c r="I131" i="49"/>
  <c r="I132" i="49"/>
  <c r="I133" i="49"/>
  <c r="I134" i="49"/>
  <c r="I135" i="49"/>
  <c r="I136" i="49"/>
  <c r="I137" i="49"/>
  <c r="I138" i="49"/>
  <c r="I139" i="49"/>
  <c r="I140" i="49"/>
  <c r="I141" i="49"/>
  <c r="I142" i="49"/>
  <c r="I143" i="49"/>
  <c r="I144" i="49"/>
  <c r="I145" i="49"/>
  <c r="I146" i="49"/>
  <c r="I147" i="49"/>
  <c r="I148" i="49"/>
  <c r="I149" i="49"/>
  <c r="I150" i="49"/>
  <c r="I151" i="49"/>
  <c r="I152" i="49"/>
  <c r="I153" i="49"/>
  <c r="I154" i="49"/>
  <c r="I155" i="49"/>
  <c r="I156" i="49"/>
  <c r="I157" i="49"/>
  <c r="I158" i="49"/>
  <c r="I159" i="49"/>
  <c r="I160" i="49"/>
  <c r="I161" i="49"/>
  <c r="I162" i="49"/>
  <c r="I163" i="49"/>
  <c r="I164" i="49"/>
  <c r="I165" i="49"/>
  <c r="I166" i="49"/>
  <c r="I167" i="49"/>
  <c r="I168" i="49"/>
  <c r="I169" i="49"/>
  <c r="I170" i="49"/>
  <c r="I171" i="49"/>
  <c r="I172" i="49"/>
  <c r="I173" i="49"/>
  <c r="I174" i="49"/>
  <c r="I175" i="49"/>
  <c r="I176" i="49"/>
  <c r="I177" i="49"/>
  <c r="I178" i="49"/>
  <c r="I179" i="49"/>
  <c r="I180" i="49"/>
  <c r="I181" i="49"/>
  <c r="I182" i="49"/>
  <c r="I183" i="49"/>
  <c r="I184" i="49"/>
  <c r="I185" i="49"/>
  <c r="I186" i="49"/>
  <c r="I187" i="49"/>
  <c r="I188" i="49"/>
  <c r="I189" i="49"/>
  <c r="I190" i="49"/>
  <c r="I191" i="49"/>
  <c r="I192" i="49"/>
  <c r="I193" i="49"/>
  <c r="I194" i="49"/>
  <c r="I195" i="49"/>
  <c r="I196" i="49"/>
  <c r="I197" i="49"/>
  <c r="I198" i="49"/>
  <c r="I199" i="49"/>
  <c r="I200" i="49"/>
  <c r="I201" i="49"/>
  <c r="F3" i="49"/>
  <c r="J2" i="55"/>
  <c r="J3" i="55"/>
  <c r="J4" i="55"/>
  <c r="J5" i="55"/>
  <c r="J6" i="55"/>
  <c r="J7" i="55"/>
  <c r="J8" i="55"/>
  <c r="J9" i="55"/>
  <c r="J10" i="55"/>
  <c r="J11" i="55"/>
  <c r="J12" i="55"/>
  <c r="J13" i="55"/>
  <c r="J14" i="55"/>
  <c r="J15" i="55"/>
  <c r="J16" i="55"/>
  <c r="J17" i="55"/>
  <c r="J18" i="55"/>
  <c r="J19" i="55"/>
  <c r="J20" i="55"/>
  <c r="J21" i="55"/>
  <c r="J22" i="55"/>
  <c r="J23" i="55"/>
  <c r="J24" i="55"/>
  <c r="J25" i="55"/>
  <c r="J26" i="55"/>
  <c r="J27" i="55"/>
  <c r="J28" i="55"/>
  <c r="J29" i="55"/>
  <c r="J30" i="55"/>
  <c r="J31" i="55"/>
  <c r="J32" i="55"/>
  <c r="J33" i="55"/>
  <c r="J34" i="55"/>
  <c r="J35" i="55"/>
  <c r="J36" i="55"/>
  <c r="J37" i="55"/>
  <c r="J38" i="55"/>
  <c r="J39" i="55"/>
  <c r="J40" i="55"/>
  <c r="J41" i="55"/>
  <c r="J42" i="55"/>
  <c r="J43" i="55"/>
  <c r="J44" i="55"/>
  <c r="J45" i="55"/>
  <c r="J46" i="55"/>
  <c r="J47" i="55"/>
  <c r="J48" i="55"/>
  <c r="J49" i="55"/>
  <c r="J50" i="55"/>
  <c r="J51" i="55"/>
  <c r="J52" i="55"/>
  <c r="J53" i="55"/>
  <c r="J54" i="55"/>
  <c r="J55" i="55"/>
  <c r="J56" i="55"/>
  <c r="J57" i="55"/>
  <c r="J58" i="55"/>
  <c r="J59" i="55"/>
  <c r="J60" i="55"/>
  <c r="J61" i="55"/>
  <c r="J62" i="55"/>
  <c r="J63" i="55"/>
  <c r="J64" i="55"/>
  <c r="J65" i="55"/>
  <c r="J66" i="55"/>
  <c r="J67" i="55"/>
  <c r="J68" i="55"/>
  <c r="J69" i="55"/>
  <c r="J70" i="55"/>
  <c r="J71" i="55"/>
  <c r="J72" i="55"/>
  <c r="J73" i="55"/>
  <c r="J74" i="55"/>
  <c r="J75" i="55"/>
  <c r="J76" i="55"/>
  <c r="J77" i="55"/>
  <c r="J78" i="55"/>
  <c r="J79" i="55"/>
  <c r="J80" i="55"/>
  <c r="J81" i="55"/>
  <c r="J82" i="55"/>
  <c r="J83" i="55"/>
  <c r="J84" i="55"/>
  <c r="J85" i="55"/>
  <c r="J86" i="55"/>
  <c r="J87" i="55"/>
  <c r="J88" i="55"/>
  <c r="J89" i="55"/>
  <c r="J90" i="55"/>
  <c r="J91" i="55"/>
  <c r="J92" i="55"/>
  <c r="J93" i="55"/>
  <c r="J94" i="55"/>
  <c r="J95" i="55"/>
  <c r="J96" i="55"/>
  <c r="J97" i="55"/>
  <c r="J98" i="55"/>
  <c r="J99" i="55"/>
  <c r="J100" i="55"/>
  <c r="J101" i="55"/>
  <c r="J102" i="55"/>
  <c r="J103" i="55"/>
  <c r="J104" i="55"/>
  <c r="J105" i="55"/>
  <c r="J106" i="55"/>
  <c r="J107" i="55"/>
  <c r="J108" i="55"/>
  <c r="J109" i="55"/>
  <c r="J110" i="55"/>
  <c r="J111" i="55"/>
  <c r="J112" i="55"/>
  <c r="J113" i="55"/>
  <c r="J114" i="55"/>
  <c r="J115" i="55"/>
  <c r="J116" i="55"/>
  <c r="J117" i="55"/>
  <c r="J118" i="55"/>
  <c r="J119" i="55"/>
  <c r="J120" i="55"/>
  <c r="J121" i="55"/>
  <c r="J122" i="55"/>
  <c r="J123" i="55"/>
  <c r="J124" i="55"/>
  <c r="J125" i="55"/>
  <c r="J126" i="55"/>
  <c r="J127" i="55"/>
  <c r="J128" i="55"/>
  <c r="J129" i="55"/>
  <c r="J130" i="55"/>
  <c r="J131" i="55"/>
  <c r="J132" i="55"/>
  <c r="J133" i="55"/>
  <c r="J134" i="55"/>
  <c r="J135" i="55"/>
  <c r="J136" i="55"/>
  <c r="J137" i="55"/>
  <c r="J138" i="55"/>
  <c r="J139" i="55"/>
  <c r="J140" i="55"/>
  <c r="J141" i="55"/>
  <c r="J142" i="55"/>
  <c r="J143" i="55"/>
  <c r="J144" i="55"/>
  <c r="J145" i="55"/>
  <c r="J146" i="55"/>
  <c r="J147" i="55"/>
  <c r="J148" i="55"/>
  <c r="J149" i="55"/>
  <c r="J150" i="55"/>
  <c r="J151" i="55"/>
  <c r="J152" i="55"/>
  <c r="J153" i="55"/>
  <c r="J154" i="55"/>
  <c r="J155" i="55"/>
  <c r="J156" i="55"/>
  <c r="J157" i="55"/>
  <c r="J158" i="55"/>
  <c r="J159" i="55"/>
  <c r="J160" i="55"/>
  <c r="J161" i="55"/>
  <c r="J162" i="55"/>
  <c r="J163" i="55"/>
  <c r="J164" i="55"/>
  <c r="J165" i="55"/>
  <c r="J166" i="55"/>
  <c r="J167" i="55"/>
  <c r="J168" i="55"/>
  <c r="J169" i="55"/>
  <c r="J170" i="55"/>
  <c r="J171" i="55"/>
  <c r="J172" i="55"/>
  <c r="J173" i="55"/>
  <c r="J174" i="55"/>
  <c r="J175" i="55"/>
  <c r="J176" i="55"/>
  <c r="J177" i="55"/>
  <c r="J178" i="55"/>
  <c r="J179" i="55"/>
  <c r="J180" i="55"/>
  <c r="J181" i="55"/>
  <c r="J182" i="55"/>
  <c r="J183" i="55"/>
  <c r="J184" i="55"/>
  <c r="J185" i="55"/>
  <c r="J186" i="55"/>
  <c r="J187" i="55"/>
  <c r="J188" i="55"/>
  <c r="J189" i="55"/>
  <c r="J190" i="55"/>
  <c r="J191" i="55"/>
  <c r="J192" i="55"/>
  <c r="J193" i="55"/>
  <c r="J194" i="55"/>
  <c r="J195" i="55"/>
  <c r="J196" i="55"/>
  <c r="J197" i="55"/>
  <c r="J198" i="55"/>
  <c r="J199" i="55"/>
  <c r="J200" i="55"/>
  <c r="J201" i="55"/>
  <c r="E2" i="55"/>
  <c r="G2" i="55" s="1"/>
  <c r="E3" i="55"/>
  <c r="G3" i="55" s="1"/>
  <c r="E4" i="55"/>
  <c r="G4" i="55" s="1"/>
  <c r="E5" i="55"/>
  <c r="G5" i="55" s="1"/>
  <c r="E6" i="55"/>
  <c r="G6" i="55" s="1"/>
  <c r="E7" i="55"/>
  <c r="G7" i="55" s="1"/>
  <c r="E8" i="55"/>
  <c r="G8" i="55" s="1"/>
  <c r="E9" i="55"/>
  <c r="G9" i="55" s="1"/>
  <c r="E10" i="55"/>
  <c r="G10" i="55" s="1"/>
  <c r="E11" i="55"/>
  <c r="G11" i="55" s="1"/>
  <c r="E12" i="55"/>
  <c r="G12" i="55" s="1"/>
  <c r="E13" i="55"/>
  <c r="G13" i="55" s="1"/>
  <c r="E14" i="55"/>
  <c r="G14" i="55" s="1"/>
  <c r="E15" i="55"/>
  <c r="G15" i="55" s="1"/>
  <c r="E16" i="55"/>
  <c r="G16" i="55" s="1"/>
  <c r="E17" i="55"/>
  <c r="G17" i="55" s="1"/>
  <c r="E18" i="55"/>
  <c r="G18" i="55" s="1"/>
  <c r="E19" i="55"/>
  <c r="G19" i="55" s="1"/>
  <c r="E20" i="55"/>
  <c r="G20" i="55" s="1"/>
  <c r="E21" i="55"/>
  <c r="G21" i="55" s="1"/>
  <c r="E22" i="55"/>
  <c r="G22" i="55" s="1"/>
  <c r="E23" i="55"/>
  <c r="G23" i="55" s="1"/>
  <c r="E24" i="55"/>
  <c r="G24" i="55" s="1"/>
  <c r="E25" i="55"/>
  <c r="G25" i="55" s="1"/>
  <c r="E26" i="55"/>
  <c r="G26" i="55" s="1"/>
  <c r="E27" i="55"/>
  <c r="G27" i="55" s="1"/>
  <c r="E28" i="55"/>
  <c r="G28" i="55" s="1"/>
  <c r="E29" i="55"/>
  <c r="G29" i="55" s="1"/>
  <c r="E30" i="55"/>
  <c r="G30" i="55" s="1"/>
  <c r="E31" i="55"/>
  <c r="G31" i="55" s="1"/>
  <c r="E32" i="55"/>
  <c r="G32" i="55" s="1"/>
  <c r="E33" i="55"/>
  <c r="G33" i="55" s="1"/>
  <c r="E34" i="55"/>
  <c r="G34" i="55" s="1"/>
  <c r="E35" i="55"/>
  <c r="G35" i="55" s="1"/>
  <c r="E36" i="55"/>
  <c r="G36" i="55" s="1"/>
  <c r="E37" i="55"/>
  <c r="G37" i="55" s="1"/>
  <c r="E38" i="55"/>
  <c r="G38" i="55" s="1"/>
  <c r="E39" i="55"/>
  <c r="G39" i="55" s="1"/>
  <c r="E40" i="55"/>
  <c r="G40" i="55" s="1"/>
  <c r="E41" i="55"/>
  <c r="G41" i="55" s="1"/>
  <c r="E42" i="55"/>
  <c r="G42" i="55" s="1"/>
  <c r="E43" i="55"/>
  <c r="G43" i="55" s="1"/>
  <c r="E44" i="55"/>
  <c r="G44" i="55" s="1"/>
  <c r="E45" i="55"/>
  <c r="G45" i="55" s="1"/>
  <c r="E46" i="55"/>
  <c r="G46" i="55" s="1"/>
  <c r="E47" i="55"/>
  <c r="G47" i="55" s="1"/>
  <c r="E48" i="55"/>
  <c r="G48" i="55" s="1"/>
  <c r="E49" i="55"/>
  <c r="G49" i="55" s="1"/>
  <c r="E50" i="55"/>
  <c r="G50" i="55" s="1"/>
  <c r="E51" i="55"/>
  <c r="G51" i="55" s="1"/>
  <c r="E52" i="55"/>
  <c r="G52" i="55" s="1"/>
  <c r="E53" i="55"/>
  <c r="G53" i="55" s="1"/>
  <c r="E54" i="55"/>
  <c r="G54" i="55" s="1"/>
  <c r="E55" i="55"/>
  <c r="G55" i="55" s="1"/>
  <c r="E56" i="55"/>
  <c r="G56" i="55" s="1"/>
  <c r="E57" i="55"/>
  <c r="G57" i="55" s="1"/>
  <c r="E58" i="55"/>
  <c r="G58" i="55" s="1"/>
  <c r="E59" i="55"/>
  <c r="G59" i="55" s="1"/>
  <c r="E60" i="55"/>
  <c r="G60" i="55" s="1"/>
  <c r="E61" i="55"/>
  <c r="G61" i="55" s="1"/>
  <c r="E62" i="55"/>
  <c r="G62" i="55" s="1"/>
  <c r="E63" i="55"/>
  <c r="G63" i="55" s="1"/>
  <c r="E64" i="55"/>
  <c r="G64" i="55" s="1"/>
  <c r="E65" i="55"/>
  <c r="G65" i="55" s="1"/>
  <c r="E66" i="55"/>
  <c r="G66" i="55" s="1"/>
  <c r="E67" i="55"/>
  <c r="G67" i="55" s="1"/>
  <c r="E68" i="55"/>
  <c r="G68" i="55" s="1"/>
  <c r="E69" i="55"/>
  <c r="G69" i="55" s="1"/>
  <c r="E70" i="55"/>
  <c r="G70" i="55" s="1"/>
  <c r="E71" i="55"/>
  <c r="G71" i="55" s="1"/>
  <c r="E72" i="55"/>
  <c r="G72" i="55" s="1"/>
  <c r="E73" i="55"/>
  <c r="G73" i="55" s="1"/>
  <c r="E74" i="55"/>
  <c r="G74" i="55" s="1"/>
  <c r="E75" i="55"/>
  <c r="G75" i="55" s="1"/>
  <c r="E76" i="55"/>
  <c r="G76" i="55" s="1"/>
  <c r="E77" i="55"/>
  <c r="G77" i="55" s="1"/>
  <c r="E78" i="55"/>
  <c r="G78" i="55" s="1"/>
  <c r="E79" i="55"/>
  <c r="G79" i="55" s="1"/>
  <c r="E80" i="55"/>
  <c r="G80" i="55" s="1"/>
  <c r="E81" i="55"/>
  <c r="G81" i="55" s="1"/>
  <c r="E82" i="55"/>
  <c r="G82" i="55" s="1"/>
  <c r="E83" i="55"/>
  <c r="G83" i="55" s="1"/>
  <c r="E84" i="55"/>
  <c r="G84" i="55" s="1"/>
  <c r="E85" i="55"/>
  <c r="G85" i="55" s="1"/>
  <c r="E86" i="55"/>
  <c r="G86" i="55" s="1"/>
  <c r="E87" i="55"/>
  <c r="G87" i="55" s="1"/>
  <c r="E88" i="55"/>
  <c r="G88" i="55" s="1"/>
  <c r="E89" i="55"/>
  <c r="G89" i="55" s="1"/>
  <c r="E90" i="55"/>
  <c r="G90" i="55" s="1"/>
  <c r="E91" i="55"/>
  <c r="G91" i="55" s="1"/>
  <c r="E92" i="55"/>
  <c r="G92" i="55" s="1"/>
  <c r="E93" i="55"/>
  <c r="G93" i="55" s="1"/>
  <c r="E94" i="55"/>
  <c r="G94" i="55" s="1"/>
  <c r="E95" i="55"/>
  <c r="G95" i="55" s="1"/>
  <c r="E96" i="55"/>
  <c r="G96" i="55" s="1"/>
  <c r="E97" i="55"/>
  <c r="G97" i="55" s="1"/>
  <c r="E98" i="55"/>
  <c r="G98" i="55" s="1"/>
  <c r="E99" i="55"/>
  <c r="G99" i="55" s="1"/>
  <c r="E100" i="55"/>
  <c r="G100" i="55" s="1"/>
  <c r="E101" i="55"/>
  <c r="G101" i="55" s="1"/>
  <c r="E102" i="55"/>
  <c r="G102" i="55" s="1"/>
  <c r="E103" i="55"/>
  <c r="G103" i="55" s="1"/>
  <c r="E104" i="55"/>
  <c r="G104" i="55" s="1"/>
  <c r="E105" i="55"/>
  <c r="G105" i="55" s="1"/>
  <c r="E106" i="55"/>
  <c r="G106" i="55" s="1"/>
  <c r="E107" i="55"/>
  <c r="G107" i="55" s="1"/>
  <c r="E108" i="55"/>
  <c r="G108" i="55" s="1"/>
  <c r="E109" i="55"/>
  <c r="G109" i="55" s="1"/>
  <c r="E110" i="55"/>
  <c r="G110" i="55" s="1"/>
  <c r="E111" i="55"/>
  <c r="G111" i="55" s="1"/>
  <c r="E112" i="55"/>
  <c r="G112" i="55" s="1"/>
  <c r="E113" i="55"/>
  <c r="G113" i="55" s="1"/>
  <c r="E114" i="55"/>
  <c r="G114" i="55" s="1"/>
  <c r="E115" i="55"/>
  <c r="G115" i="55" s="1"/>
  <c r="E116" i="55"/>
  <c r="G116" i="55" s="1"/>
  <c r="E117" i="55"/>
  <c r="G117" i="55" s="1"/>
  <c r="E118" i="55"/>
  <c r="G118" i="55" s="1"/>
  <c r="E119" i="55"/>
  <c r="G119" i="55" s="1"/>
  <c r="E120" i="55"/>
  <c r="G120" i="55" s="1"/>
  <c r="E121" i="55"/>
  <c r="G121" i="55" s="1"/>
  <c r="E122" i="55"/>
  <c r="G122" i="55" s="1"/>
  <c r="E123" i="55"/>
  <c r="G123" i="55" s="1"/>
  <c r="E124" i="55"/>
  <c r="G124" i="55" s="1"/>
  <c r="E125" i="55"/>
  <c r="G125" i="55" s="1"/>
  <c r="E126" i="55"/>
  <c r="G126" i="55" s="1"/>
  <c r="E127" i="55"/>
  <c r="G127" i="55" s="1"/>
  <c r="E128" i="55"/>
  <c r="G128" i="55" s="1"/>
  <c r="E129" i="55"/>
  <c r="G129" i="55" s="1"/>
  <c r="E130" i="55"/>
  <c r="G130" i="55" s="1"/>
  <c r="E131" i="55"/>
  <c r="G131" i="55" s="1"/>
  <c r="E132" i="55"/>
  <c r="G132" i="55" s="1"/>
  <c r="E133" i="55"/>
  <c r="G133" i="55" s="1"/>
  <c r="E134" i="55"/>
  <c r="G134" i="55" s="1"/>
  <c r="E135" i="55"/>
  <c r="G135" i="55" s="1"/>
  <c r="E136" i="55"/>
  <c r="G136" i="55" s="1"/>
  <c r="E137" i="55"/>
  <c r="G137" i="55" s="1"/>
  <c r="E138" i="55"/>
  <c r="G138" i="55" s="1"/>
  <c r="E139" i="55"/>
  <c r="G139" i="55" s="1"/>
  <c r="E140" i="55"/>
  <c r="G140" i="55" s="1"/>
  <c r="E141" i="55"/>
  <c r="G141" i="55" s="1"/>
  <c r="E142" i="55"/>
  <c r="G142" i="55" s="1"/>
  <c r="E143" i="55"/>
  <c r="G143" i="55" s="1"/>
  <c r="E144" i="55"/>
  <c r="G144" i="55" s="1"/>
  <c r="E145" i="55"/>
  <c r="G145" i="55" s="1"/>
  <c r="E146" i="55"/>
  <c r="G146" i="55" s="1"/>
  <c r="E147" i="55"/>
  <c r="G147" i="55" s="1"/>
  <c r="E148" i="55"/>
  <c r="G148" i="55" s="1"/>
  <c r="E149" i="55"/>
  <c r="G149" i="55" s="1"/>
  <c r="E150" i="55"/>
  <c r="G150" i="55" s="1"/>
  <c r="E151" i="55"/>
  <c r="G151" i="55" s="1"/>
  <c r="E152" i="55"/>
  <c r="G152" i="55" s="1"/>
  <c r="E153" i="55"/>
  <c r="G153" i="55" s="1"/>
  <c r="E154" i="55"/>
  <c r="G154" i="55" s="1"/>
  <c r="E155" i="55"/>
  <c r="G155" i="55" s="1"/>
  <c r="E156" i="55"/>
  <c r="G156" i="55" s="1"/>
  <c r="E157" i="55"/>
  <c r="G157" i="55" s="1"/>
  <c r="E158" i="55"/>
  <c r="G158" i="55" s="1"/>
  <c r="E159" i="55"/>
  <c r="G159" i="55" s="1"/>
  <c r="E160" i="55"/>
  <c r="G160" i="55" s="1"/>
  <c r="E161" i="55"/>
  <c r="G161" i="55" s="1"/>
  <c r="E162" i="55"/>
  <c r="G162" i="55" s="1"/>
  <c r="E163" i="55"/>
  <c r="G163" i="55" s="1"/>
  <c r="E164" i="55"/>
  <c r="G164" i="55" s="1"/>
  <c r="E165" i="55"/>
  <c r="G165" i="55" s="1"/>
  <c r="E166" i="55"/>
  <c r="G166" i="55" s="1"/>
  <c r="E167" i="55"/>
  <c r="G167" i="55" s="1"/>
  <c r="E168" i="55"/>
  <c r="G168" i="55" s="1"/>
  <c r="E169" i="55"/>
  <c r="G169" i="55" s="1"/>
  <c r="E170" i="55"/>
  <c r="G170" i="55" s="1"/>
  <c r="E171" i="55"/>
  <c r="G171" i="55" s="1"/>
  <c r="E172" i="55"/>
  <c r="G172" i="55" s="1"/>
  <c r="E173" i="55"/>
  <c r="G173" i="55" s="1"/>
  <c r="E174" i="55"/>
  <c r="G174" i="55" s="1"/>
  <c r="E175" i="55"/>
  <c r="G175" i="55" s="1"/>
  <c r="E176" i="55"/>
  <c r="G176" i="55" s="1"/>
  <c r="E177" i="55"/>
  <c r="G177" i="55" s="1"/>
  <c r="E178" i="55"/>
  <c r="G178" i="55" s="1"/>
  <c r="E179" i="55"/>
  <c r="G179" i="55" s="1"/>
  <c r="E180" i="55"/>
  <c r="G180" i="55" s="1"/>
  <c r="E181" i="55"/>
  <c r="G181" i="55" s="1"/>
  <c r="E182" i="55"/>
  <c r="G182" i="55" s="1"/>
  <c r="E183" i="55"/>
  <c r="G183" i="55" s="1"/>
  <c r="E184" i="55"/>
  <c r="G184" i="55" s="1"/>
  <c r="E185" i="55"/>
  <c r="G185" i="55" s="1"/>
  <c r="E186" i="55"/>
  <c r="G186" i="55" s="1"/>
  <c r="E187" i="55"/>
  <c r="G187" i="55" s="1"/>
  <c r="E188" i="55"/>
  <c r="G188" i="55" s="1"/>
  <c r="E189" i="55"/>
  <c r="G189" i="55" s="1"/>
  <c r="E190" i="55"/>
  <c r="G190" i="55" s="1"/>
  <c r="E191" i="55"/>
  <c r="G191" i="55" s="1"/>
  <c r="E192" i="55"/>
  <c r="G192" i="55" s="1"/>
  <c r="E193" i="55"/>
  <c r="G193" i="55" s="1"/>
  <c r="E194" i="55"/>
  <c r="G194" i="55" s="1"/>
  <c r="E195" i="55"/>
  <c r="G195" i="55" s="1"/>
  <c r="E196" i="55"/>
  <c r="G196" i="55" s="1"/>
  <c r="E197" i="55"/>
  <c r="G197" i="55" s="1"/>
  <c r="E198" i="55"/>
  <c r="G198" i="55" s="1"/>
  <c r="E199" i="55"/>
  <c r="G199" i="55" s="1"/>
  <c r="E200" i="55"/>
  <c r="G200" i="55" s="1"/>
  <c r="E201" i="55"/>
  <c r="G201" i="55" s="1"/>
  <c r="I2" i="55"/>
  <c r="C2" i="53"/>
  <c r="H201" i="55"/>
  <c r="F201" i="55"/>
  <c r="D201" i="55"/>
  <c r="B201" i="55"/>
  <c r="H200" i="55"/>
  <c r="F200" i="55"/>
  <c r="D200" i="55"/>
  <c r="B200" i="55"/>
  <c r="H199" i="55"/>
  <c r="F199" i="55"/>
  <c r="D199" i="55"/>
  <c r="B199" i="55"/>
  <c r="H198" i="55"/>
  <c r="F198" i="55"/>
  <c r="D198" i="55"/>
  <c r="B198" i="55"/>
  <c r="H197" i="55"/>
  <c r="F197" i="55"/>
  <c r="D197" i="55"/>
  <c r="B197" i="55"/>
  <c r="H196" i="55"/>
  <c r="F196" i="55"/>
  <c r="D196" i="55"/>
  <c r="B196" i="55"/>
  <c r="H195" i="55"/>
  <c r="F195" i="55"/>
  <c r="D195" i="55"/>
  <c r="B195" i="55"/>
  <c r="H194" i="55"/>
  <c r="F194" i="55"/>
  <c r="D194" i="55"/>
  <c r="B194" i="55"/>
  <c r="H193" i="55"/>
  <c r="F193" i="55"/>
  <c r="D193" i="55"/>
  <c r="B193" i="55"/>
  <c r="H192" i="55"/>
  <c r="F192" i="55"/>
  <c r="D192" i="55"/>
  <c r="B192" i="55"/>
  <c r="H191" i="55"/>
  <c r="F191" i="55"/>
  <c r="D191" i="55"/>
  <c r="B191" i="55"/>
  <c r="H190" i="55"/>
  <c r="F190" i="55"/>
  <c r="D190" i="55"/>
  <c r="B190" i="55"/>
  <c r="H189" i="55"/>
  <c r="F189" i="55"/>
  <c r="D189" i="55"/>
  <c r="B189" i="55"/>
  <c r="H188" i="55"/>
  <c r="F188" i="55"/>
  <c r="D188" i="55"/>
  <c r="B188" i="55"/>
  <c r="H187" i="55"/>
  <c r="F187" i="55"/>
  <c r="D187" i="55"/>
  <c r="B187" i="55"/>
  <c r="H186" i="55"/>
  <c r="F186" i="55"/>
  <c r="D186" i="55"/>
  <c r="B186" i="55"/>
  <c r="H185" i="55"/>
  <c r="F185" i="55"/>
  <c r="D185" i="55"/>
  <c r="B185" i="55"/>
  <c r="H184" i="55"/>
  <c r="F184" i="55"/>
  <c r="D184" i="55"/>
  <c r="B184" i="55"/>
  <c r="H183" i="55"/>
  <c r="F183" i="55"/>
  <c r="D183" i="55"/>
  <c r="B183" i="55"/>
  <c r="H182" i="55"/>
  <c r="F182" i="55"/>
  <c r="D182" i="55"/>
  <c r="B182" i="55"/>
  <c r="H181" i="55"/>
  <c r="F181" i="55"/>
  <c r="D181" i="55"/>
  <c r="B181" i="55"/>
  <c r="H180" i="55"/>
  <c r="F180" i="55"/>
  <c r="D180" i="55"/>
  <c r="B180" i="55"/>
  <c r="H179" i="55"/>
  <c r="F179" i="55"/>
  <c r="D179" i="55"/>
  <c r="B179" i="55"/>
  <c r="H178" i="55"/>
  <c r="F178" i="55"/>
  <c r="D178" i="55"/>
  <c r="B178" i="55"/>
  <c r="H177" i="55"/>
  <c r="F177" i="55"/>
  <c r="D177" i="55"/>
  <c r="B177" i="55"/>
  <c r="H176" i="55"/>
  <c r="F176" i="55"/>
  <c r="D176" i="55"/>
  <c r="B176" i="55"/>
  <c r="H175" i="55"/>
  <c r="F175" i="55"/>
  <c r="D175" i="55"/>
  <c r="B175" i="55"/>
  <c r="H174" i="55"/>
  <c r="F174" i="55"/>
  <c r="D174" i="55"/>
  <c r="B174" i="55"/>
  <c r="H173" i="55"/>
  <c r="F173" i="55"/>
  <c r="D173" i="55"/>
  <c r="B173" i="55"/>
  <c r="H172" i="55"/>
  <c r="F172" i="55"/>
  <c r="D172" i="55"/>
  <c r="B172" i="55"/>
  <c r="H171" i="55"/>
  <c r="F171" i="55"/>
  <c r="D171" i="55"/>
  <c r="B171" i="55"/>
  <c r="H170" i="55"/>
  <c r="F170" i="55"/>
  <c r="D170" i="55"/>
  <c r="B170" i="55"/>
  <c r="H169" i="55"/>
  <c r="F169" i="55"/>
  <c r="D169" i="55"/>
  <c r="B169" i="55"/>
  <c r="H168" i="55"/>
  <c r="F168" i="55"/>
  <c r="D168" i="55"/>
  <c r="B168" i="55"/>
  <c r="H167" i="55"/>
  <c r="F167" i="55"/>
  <c r="D167" i="55"/>
  <c r="B167" i="55"/>
  <c r="H166" i="55"/>
  <c r="F166" i="55"/>
  <c r="D166" i="55"/>
  <c r="B166" i="55"/>
  <c r="H165" i="55"/>
  <c r="F165" i="55"/>
  <c r="D165" i="55"/>
  <c r="B165" i="55"/>
  <c r="H164" i="55"/>
  <c r="F164" i="55"/>
  <c r="D164" i="55"/>
  <c r="B164" i="55"/>
  <c r="H163" i="55"/>
  <c r="F163" i="55"/>
  <c r="D163" i="55"/>
  <c r="B163" i="55"/>
  <c r="H162" i="55"/>
  <c r="F162" i="55"/>
  <c r="D162" i="55"/>
  <c r="B162" i="55"/>
  <c r="H161" i="55"/>
  <c r="F161" i="55"/>
  <c r="D161" i="55"/>
  <c r="B161" i="55"/>
  <c r="H160" i="55"/>
  <c r="F160" i="55"/>
  <c r="D160" i="55"/>
  <c r="B160" i="55"/>
  <c r="H159" i="55"/>
  <c r="F159" i="55"/>
  <c r="D159" i="55"/>
  <c r="B159" i="55"/>
  <c r="H158" i="55"/>
  <c r="F158" i="55"/>
  <c r="D158" i="55"/>
  <c r="B158" i="55"/>
  <c r="H157" i="55"/>
  <c r="F157" i="55"/>
  <c r="D157" i="55"/>
  <c r="B157" i="55"/>
  <c r="H156" i="55"/>
  <c r="F156" i="55"/>
  <c r="D156" i="55"/>
  <c r="B156" i="55"/>
  <c r="H155" i="55"/>
  <c r="F155" i="55"/>
  <c r="D155" i="55"/>
  <c r="B155" i="55"/>
  <c r="H154" i="55"/>
  <c r="F154" i="55"/>
  <c r="D154" i="55"/>
  <c r="B154" i="55"/>
  <c r="H153" i="55"/>
  <c r="F153" i="55"/>
  <c r="D153" i="55"/>
  <c r="B153" i="55"/>
  <c r="H152" i="55"/>
  <c r="F152" i="55"/>
  <c r="D152" i="55"/>
  <c r="B152" i="55"/>
  <c r="H151" i="55"/>
  <c r="F151" i="55"/>
  <c r="D151" i="55"/>
  <c r="B151" i="55"/>
  <c r="H150" i="55"/>
  <c r="F150" i="55"/>
  <c r="D150" i="55"/>
  <c r="B150" i="55"/>
  <c r="H149" i="55"/>
  <c r="F149" i="55"/>
  <c r="D149" i="55"/>
  <c r="B149" i="55"/>
  <c r="H148" i="55"/>
  <c r="F148" i="55"/>
  <c r="D148" i="55"/>
  <c r="B148" i="55"/>
  <c r="H147" i="55"/>
  <c r="F147" i="55"/>
  <c r="D147" i="55"/>
  <c r="B147" i="55"/>
  <c r="H146" i="55"/>
  <c r="F146" i="55"/>
  <c r="D146" i="55"/>
  <c r="B146" i="55"/>
  <c r="H145" i="55"/>
  <c r="F145" i="55"/>
  <c r="D145" i="55"/>
  <c r="B145" i="55"/>
  <c r="H144" i="55"/>
  <c r="F144" i="55"/>
  <c r="D144" i="55"/>
  <c r="B144" i="55"/>
  <c r="H143" i="55"/>
  <c r="F143" i="55"/>
  <c r="D143" i="55"/>
  <c r="B143" i="55"/>
  <c r="H142" i="55"/>
  <c r="F142" i="55"/>
  <c r="D142" i="55"/>
  <c r="B142" i="55"/>
  <c r="H141" i="55"/>
  <c r="F141" i="55"/>
  <c r="D141" i="55"/>
  <c r="B141" i="55"/>
  <c r="H140" i="55"/>
  <c r="F140" i="55"/>
  <c r="D140" i="55"/>
  <c r="B140" i="55"/>
  <c r="H139" i="55"/>
  <c r="F139" i="55"/>
  <c r="D139" i="55"/>
  <c r="B139" i="55"/>
  <c r="H138" i="55"/>
  <c r="F138" i="55"/>
  <c r="D138" i="55"/>
  <c r="B138" i="55"/>
  <c r="H137" i="55"/>
  <c r="F137" i="55"/>
  <c r="D137" i="55"/>
  <c r="B137" i="55"/>
  <c r="H136" i="55"/>
  <c r="F136" i="55"/>
  <c r="D136" i="55"/>
  <c r="B136" i="55"/>
  <c r="H135" i="55"/>
  <c r="F135" i="55"/>
  <c r="D135" i="55"/>
  <c r="B135" i="55"/>
  <c r="H134" i="55"/>
  <c r="F134" i="55"/>
  <c r="D134" i="55"/>
  <c r="B134" i="55"/>
  <c r="H133" i="55"/>
  <c r="F133" i="55"/>
  <c r="D133" i="55"/>
  <c r="B133" i="55"/>
  <c r="H132" i="55"/>
  <c r="F132" i="55"/>
  <c r="D132" i="55"/>
  <c r="B132" i="55"/>
  <c r="H131" i="55"/>
  <c r="F131" i="55"/>
  <c r="D131" i="55"/>
  <c r="B131" i="55"/>
  <c r="H130" i="55"/>
  <c r="F130" i="55"/>
  <c r="D130" i="55"/>
  <c r="B130" i="55"/>
  <c r="H129" i="55"/>
  <c r="F129" i="55"/>
  <c r="D129" i="55"/>
  <c r="B129" i="55"/>
  <c r="H128" i="55"/>
  <c r="F128" i="55"/>
  <c r="D128" i="55"/>
  <c r="B128" i="55"/>
  <c r="H127" i="55"/>
  <c r="F127" i="55"/>
  <c r="D127" i="55"/>
  <c r="B127" i="55"/>
  <c r="H126" i="55"/>
  <c r="F126" i="55"/>
  <c r="D126" i="55"/>
  <c r="B126" i="55"/>
  <c r="H125" i="55"/>
  <c r="F125" i="55"/>
  <c r="D125" i="55"/>
  <c r="B125" i="55"/>
  <c r="H124" i="55"/>
  <c r="F124" i="55"/>
  <c r="D124" i="55"/>
  <c r="B124" i="55"/>
  <c r="H123" i="55"/>
  <c r="F123" i="55"/>
  <c r="D123" i="55"/>
  <c r="B123" i="55"/>
  <c r="H122" i="55"/>
  <c r="F122" i="55"/>
  <c r="D122" i="55"/>
  <c r="B122" i="55"/>
  <c r="H121" i="55"/>
  <c r="F121" i="55"/>
  <c r="D121" i="55"/>
  <c r="B121" i="55"/>
  <c r="H120" i="55"/>
  <c r="F120" i="55"/>
  <c r="D120" i="55"/>
  <c r="B120" i="55"/>
  <c r="H119" i="55"/>
  <c r="F119" i="55"/>
  <c r="D119" i="55"/>
  <c r="B119" i="55"/>
  <c r="H118" i="55"/>
  <c r="F118" i="55"/>
  <c r="D118" i="55"/>
  <c r="B118" i="55"/>
  <c r="H117" i="55"/>
  <c r="F117" i="55"/>
  <c r="D117" i="55"/>
  <c r="B117" i="55"/>
  <c r="H116" i="55"/>
  <c r="F116" i="55"/>
  <c r="D116" i="55"/>
  <c r="B116" i="55"/>
  <c r="H115" i="55"/>
  <c r="F115" i="55"/>
  <c r="D115" i="55"/>
  <c r="B115" i="55"/>
  <c r="H114" i="55"/>
  <c r="F114" i="55"/>
  <c r="D114" i="55"/>
  <c r="B114" i="55"/>
  <c r="H113" i="55"/>
  <c r="F113" i="55"/>
  <c r="D113" i="55"/>
  <c r="B113" i="55"/>
  <c r="H112" i="55"/>
  <c r="F112" i="55"/>
  <c r="D112" i="55"/>
  <c r="B112" i="55"/>
  <c r="H111" i="55"/>
  <c r="F111" i="55"/>
  <c r="D111" i="55"/>
  <c r="B111" i="55"/>
  <c r="H110" i="55"/>
  <c r="F110" i="55"/>
  <c r="D110" i="55"/>
  <c r="B110" i="55"/>
  <c r="H109" i="55"/>
  <c r="F109" i="55"/>
  <c r="D109" i="55"/>
  <c r="B109" i="55"/>
  <c r="H108" i="55"/>
  <c r="F108" i="55"/>
  <c r="D108" i="55"/>
  <c r="B108" i="55"/>
  <c r="H107" i="55"/>
  <c r="F107" i="55"/>
  <c r="D107" i="55"/>
  <c r="B107" i="55"/>
  <c r="H106" i="55"/>
  <c r="F106" i="55"/>
  <c r="D106" i="55"/>
  <c r="B106" i="55"/>
  <c r="H105" i="55"/>
  <c r="F105" i="55"/>
  <c r="D105" i="55"/>
  <c r="B105" i="55"/>
  <c r="H104" i="55"/>
  <c r="F104" i="55"/>
  <c r="D104" i="55"/>
  <c r="B104" i="55"/>
  <c r="H103" i="55"/>
  <c r="F103" i="55"/>
  <c r="D103" i="55"/>
  <c r="B103" i="55"/>
  <c r="H102" i="55"/>
  <c r="F102" i="55"/>
  <c r="D102" i="55"/>
  <c r="B102" i="55"/>
  <c r="H101" i="55"/>
  <c r="F101" i="55"/>
  <c r="D101" i="55"/>
  <c r="B101" i="55"/>
  <c r="H100" i="55"/>
  <c r="F100" i="55"/>
  <c r="D100" i="55"/>
  <c r="B100" i="55"/>
  <c r="H99" i="55"/>
  <c r="F99" i="55"/>
  <c r="D99" i="55"/>
  <c r="B99" i="55"/>
  <c r="H98" i="55"/>
  <c r="F98" i="55"/>
  <c r="D98" i="55"/>
  <c r="B98" i="55"/>
  <c r="H97" i="55"/>
  <c r="F97" i="55"/>
  <c r="D97" i="55"/>
  <c r="B97" i="55"/>
  <c r="H96" i="55"/>
  <c r="F96" i="55"/>
  <c r="D96" i="55"/>
  <c r="B96" i="55"/>
  <c r="H95" i="55"/>
  <c r="F95" i="55"/>
  <c r="D95" i="55"/>
  <c r="B95" i="55"/>
  <c r="H94" i="55"/>
  <c r="F94" i="55"/>
  <c r="D94" i="55"/>
  <c r="B94" i="55"/>
  <c r="H93" i="55"/>
  <c r="F93" i="55"/>
  <c r="D93" i="55"/>
  <c r="B93" i="55"/>
  <c r="H92" i="55"/>
  <c r="F92" i="55"/>
  <c r="D92" i="55"/>
  <c r="B92" i="55"/>
  <c r="H91" i="55"/>
  <c r="F91" i="55"/>
  <c r="D91" i="55"/>
  <c r="B91" i="55"/>
  <c r="H90" i="55"/>
  <c r="F90" i="55"/>
  <c r="D90" i="55"/>
  <c r="B90" i="55"/>
  <c r="H89" i="55"/>
  <c r="F89" i="55"/>
  <c r="D89" i="55"/>
  <c r="B89" i="55"/>
  <c r="H88" i="55"/>
  <c r="F88" i="55"/>
  <c r="D88" i="55"/>
  <c r="B88" i="55"/>
  <c r="H87" i="55"/>
  <c r="F87" i="55"/>
  <c r="D87" i="55"/>
  <c r="B87" i="55"/>
  <c r="H86" i="55"/>
  <c r="F86" i="55"/>
  <c r="D86" i="55"/>
  <c r="B86" i="55"/>
  <c r="H85" i="55"/>
  <c r="F85" i="55"/>
  <c r="D85" i="55"/>
  <c r="B85" i="55"/>
  <c r="H84" i="55"/>
  <c r="F84" i="55"/>
  <c r="D84" i="55"/>
  <c r="B84" i="55"/>
  <c r="H83" i="55"/>
  <c r="F83" i="55"/>
  <c r="D83" i="55"/>
  <c r="B83" i="55"/>
  <c r="H82" i="55"/>
  <c r="F82" i="55"/>
  <c r="D82" i="55"/>
  <c r="B82" i="55"/>
  <c r="H81" i="55"/>
  <c r="F81" i="55"/>
  <c r="D81" i="55"/>
  <c r="B81" i="55"/>
  <c r="H80" i="55"/>
  <c r="F80" i="55"/>
  <c r="D80" i="55"/>
  <c r="B80" i="55"/>
  <c r="H79" i="55"/>
  <c r="F79" i="55"/>
  <c r="D79" i="55"/>
  <c r="B79" i="55"/>
  <c r="H78" i="55"/>
  <c r="F78" i="55"/>
  <c r="D78" i="55"/>
  <c r="B78" i="55"/>
  <c r="H77" i="55"/>
  <c r="F77" i="55"/>
  <c r="D77" i="55"/>
  <c r="B77" i="55"/>
  <c r="H76" i="55"/>
  <c r="F76" i="55"/>
  <c r="D76" i="55"/>
  <c r="B76" i="55"/>
  <c r="H75" i="55"/>
  <c r="F75" i="55"/>
  <c r="D75" i="55"/>
  <c r="B75" i="55"/>
  <c r="H74" i="55"/>
  <c r="F74" i="55"/>
  <c r="D74" i="55"/>
  <c r="B74" i="55"/>
  <c r="H73" i="55"/>
  <c r="F73" i="55"/>
  <c r="D73" i="55"/>
  <c r="B73" i="55"/>
  <c r="H72" i="55"/>
  <c r="F72" i="55"/>
  <c r="D72" i="55"/>
  <c r="B72" i="55"/>
  <c r="H71" i="55"/>
  <c r="F71" i="55"/>
  <c r="D71" i="55"/>
  <c r="B71" i="55"/>
  <c r="H70" i="55"/>
  <c r="F70" i="55"/>
  <c r="D70" i="55"/>
  <c r="B70" i="55"/>
  <c r="H69" i="55"/>
  <c r="F69" i="55"/>
  <c r="D69" i="55"/>
  <c r="B69" i="55"/>
  <c r="H68" i="55"/>
  <c r="F68" i="55"/>
  <c r="D68" i="55"/>
  <c r="B68" i="55"/>
  <c r="H67" i="55"/>
  <c r="F67" i="55"/>
  <c r="D67" i="55"/>
  <c r="B67" i="55"/>
  <c r="H66" i="55"/>
  <c r="F66" i="55"/>
  <c r="D66" i="55"/>
  <c r="B66" i="55"/>
  <c r="H65" i="55"/>
  <c r="F65" i="55"/>
  <c r="D65" i="55"/>
  <c r="B65" i="55"/>
  <c r="H64" i="55"/>
  <c r="F64" i="55"/>
  <c r="D64" i="55"/>
  <c r="B64" i="55"/>
  <c r="H63" i="55"/>
  <c r="F63" i="55"/>
  <c r="D63" i="55"/>
  <c r="B63" i="55"/>
  <c r="H62" i="55"/>
  <c r="F62" i="55"/>
  <c r="D62" i="55"/>
  <c r="B62" i="55"/>
  <c r="H61" i="55"/>
  <c r="F61" i="55"/>
  <c r="D61" i="55"/>
  <c r="B61" i="55"/>
  <c r="H60" i="55"/>
  <c r="F60" i="55"/>
  <c r="D60" i="55"/>
  <c r="B60" i="55"/>
  <c r="H59" i="55"/>
  <c r="F59" i="55"/>
  <c r="D59" i="55"/>
  <c r="B59" i="55"/>
  <c r="H58" i="55"/>
  <c r="F58" i="55"/>
  <c r="D58" i="55"/>
  <c r="B58" i="55"/>
  <c r="H57" i="55"/>
  <c r="F57" i="55"/>
  <c r="D57" i="55"/>
  <c r="B57" i="55"/>
  <c r="H56" i="55"/>
  <c r="F56" i="55"/>
  <c r="D56" i="55"/>
  <c r="B56" i="55"/>
  <c r="H55" i="55"/>
  <c r="F55" i="55"/>
  <c r="D55" i="55"/>
  <c r="B55" i="55"/>
  <c r="H54" i="55"/>
  <c r="F54" i="55"/>
  <c r="D54" i="55"/>
  <c r="B54" i="55"/>
  <c r="H53" i="55"/>
  <c r="F53" i="55"/>
  <c r="D53" i="55"/>
  <c r="B53" i="55"/>
  <c r="H52" i="55"/>
  <c r="F52" i="55"/>
  <c r="D52" i="55"/>
  <c r="B52" i="55"/>
  <c r="H51" i="55"/>
  <c r="F51" i="55"/>
  <c r="D51" i="55"/>
  <c r="B51" i="55"/>
  <c r="H50" i="55"/>
  <c r="F50" i="55"/>
  <c r="D50" i="55"/>
  <c r="B50" i="55"/>
  <c r="H49" i="55"/>
  <c r="F49" i="55"/>
  <c r="D49" i="55"/>
  <c r="B49" i="55"/>
  <c r="H48" i="55"/>
  <c r="F48" i="55"/>
  <c r="D48" i="55"/>
  <c r="B48" i="55"/>
  <c r="H47" i="55"/>
  <c r="F47" i="55"/>
  <c r="D47" i="55"/>
  <c r="B47" i="55"/>
  <c r="H46" i="55"/>
  <c r="F46" i="55"/>
  <c r="D46" i="55"/>
  <c r="B46" i="55"/>
  <c r="H45" i="55"/>
  <c r="F45" i="55"/>
  <c r="D45" i="55"/>
  <c r="B45" i="55"/>
  <c r="H44" i="55"/>
  <c r="F44" i="55"/>
  <c r="D44" i="55"/>
  <c r="B44" i="55"/>
  <c r="H43" i="55"/>
  <c r="F43" i="55"/>
  <c r="D43" i="55"/>
  <c r="B43" i="55"/>
  <c r="H42" i="55"/>
  <c r="F42" i="55"/>
  <c r="D42" i="55"/>
  <c r="B42" i="55"/>
  <c r="H41" i="55"/>
  <c r="F41" i="55"/>
  <c r="D41" i="55"/>
  <c r="B41" i="55"/>
  <c r="H40" i="55"/>
  <c r="F40" i="55"/>
  <c r="D40" i="55"/>
  <c r="B40" i="55"/>
  <c r="H39" i="55"/>
  <c r="F39" i="55"/>
  <c r="D39" i="55"/>
  <c r="B39" i="55"/>
  <c r="H38" i="55"/>
  <c r="F38" i="55"/>
  <c r="D38" i="55"/>
  <c r="B38" i="55"/>
  <c r="H37" i="55"/>
  <c r="F37" i="55"/>
  <c r="D37" i="55"/>
  <c r="B37" i="55"/>
  <c r="H36" i="55"/>
  <c r="F36" i="55"/>
  <c r="D36" i="55"/>
  <c r="B36" i="55"/>
  <c r="H35" i="55"/>
  <c r="F35" i="55"/>
  <c r="D35" i="55"/>
  <c r="B35" i="55"/>
  <c r="H34" i="55"/>
  <c r="F34" i="55"/>
  <c r="D34" i="55"/>
  <c r="B34" i="55"/>
  <c r="H33" i="55"/>
  <c r="F33" i="55"/>
  <c r="D33" i="55"/>
  <c r="B33" i="55"/>
  <c r="H32" i="55"/>
  <c r="F32" i="55"/>
  <c r="D32" i="55"/>
  <c r="B32" i="55"/>
  <c r="H31" i="55"/>
  <c r="F31" i="55"/>
  <c r="D31" i="55"/>
  <c r="B31" i="55"/>
  <c r="H30" i="55"/>
  <c r="F30" i="55"/>
  <c r="D30" i="55"/>
  <c r="B30" i="55"/>
  <c r="H29" i="55"/>
  <c r="F29" i="55"/>
  <c r="D29" i="55"/>
  <c r="B29" i="55"/>
  <c r="H28" i="55"/>
  <c r="F28" i="55"/>
  <c r="D28" i="55"/>
  <c r="B28" i="55"/>
  <c r="H27" i="55"/>
  <c r="F27" i="55"/>
  <c r="D27" i="55"/>
  <c r="B27" i="55"/>
  <c r="H26" i="55"/>
  <c r="F26" i="55"/>
  <c r="D26" i="55"/>
  <c r="B26" i="55"/>
  <c r="H25" i="55"/>
  <c r="F25" i="55"/>
  <c r="D25" i="55"/>
  <c r="B25" i="55"/>
  <c r="H24" i="55"/>
  <c r="F24" i="55"/>
  <c r="D24" i="55"/>
  <c r="B24" i="55"/>
  <c r="H23" i="55"/>
  <c r="F23" i="55"/>
  <c r="D23" i="55"/>
  <c r="B23" i="55"/>
  <c r="H22" i="55"/>
  <c r="F22" i="55"/>
  <c r="D22" i="55"/>
  <c r="B22" i="55"/>
  <c r="H21" i="55"/>
  <c r="F21" i="55"/>
  <c r="D21" i="55"/>
  <c r="B21" i="55"/>
  <c r="H20" i="55"/>
  <c r="F20" i="55"/>
  <c r="D20" i="55"/>
  <c r="B20" i="55"/>
  <c r="H19" i="55"/>
  <c r="F19" i="55"/>
  <c r="D19" i="55"/>
  <c r="B19" i="55"/>
  <c r="H18" i="55"/>
  <c r="F18" i="55"/>
  <c r="D18" i="55"/>
  <c r="B18" i="55"/>
  <c r="H17" i="55"/>
  <c r="F17" i="55"/>
  <c r="D17" i="55"/>
  <c r="B17" i="55"/>
  <c r="H16" i="55"/>
  <c r="F16" i="55"/>
  <c r="D16" i="55"/>
  <c r="B16" i="55"/>
  <c r="H15" i="55"/>
  <c r="F15" i="55"/>
  <c r="D15" i="55"/>
  <c r="B15" i="55"/>
  <c r="H14" i="55"/>
  <c r="F14" i="55"/>
  <c r="D14" i="55"/>
  <c r="B14" i="55"/>
  <c r="H13" i="55"/>
  <c r="F13" i="55"/>
  <c r="D13" i="55"/>
  <c r="B13" i="55"/>
  <c r="H12" i="55"/>
  <c r="F12" i="55"/>
  <c r="D12" i="55"/>
  <c r="B12" i="55"/>
  <c r="H11" i="55"/>
  <c r="F11" i="55"/>
  <c r="D11" i="55"/>
  <c r="B11" i="55"/>
  <c r="H10" i="55"/>
  <c r="F10" i="55"/>
  <c r="D10" i="55"/>
  <c r="B10" i="55"/>
  <c r="H9" i="55"/>
  <c r="F9" i="55"/>
  <c r="D9" i="55"/>
  <c r="B9" i="55"/>
  <c r="H8" i="55"/>
  <c r="F8" i="55"/>
  <c r="D8" i="55"/>
  <c r="B8" i="55"/>
  <c r="H7" i="55"/>
  <c r="F7" i="55"/>
  <c r="D7" i="55"/>
  <c r="B7" i="55"/>
  <c r="H6" i="55"/>
  <c r="F6" i="55"/>
  <c r="D6" i="55"/>
  <c r="B6" i="55"/>
  <c r="H5" i="55"/>
  <c r="F5" i="55"/>
  <c r="D5" i="55"/>
  <c r="B5" i="55"/>
  <c r="H4" i="55"/>
  <c r="F4" i="55"/>
  <c r="D4" i="55"/>
  <c r="B4" i="55"/>
  <c r="H3" i="55"/>
  <c r="F3" i="55"/>
  <c r="D3" i="55"/>
  <c r="B3" i="55"/>
  <c r="H2" i="55"/>
  <c r="F2" i="55"/>
  <c r="D2" i="55"/>
  <c r="B2" i="55"/>
  <c r="B2" i="53"/>
  <c r="B3" i="53"/>
  <c r="B4" i="53"/>
  <c r="B5" i="53"/>
  <c r="B6" i="53"/>
  <c r="B7" i="53"/>
  <c r="B8" i="53"/>
  <c r="B9" i="53"/>
  <c r="B10"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45" i="53"/>
  <c r="B46" i="53"/>
  <c r="B47" i="53"/>
  <c r="B48" i="53"/>
  <c r="B49" i="53"/>
  <c r="B50" i="53"/>
  <c r="B51" i="53"/>
  <c r="B52" i="53"/>
  <c r="B53" i="53"/>
  <c r="B54" i="53"/>
  <c r="B55" i="53"/>
  <c r="B56" i="53"/>
  <c r="B57" i="53"/>
  <c r="B58" i="53"/>
  <c r="B59" i="53"/>
  <c r="B60" i="53"/>
  <c r="B61" i="53"/>
  <c r="B62" i="53"/>
  <c r="B63" i="53"/>
  <c r="B64" i="53"/>
  <c r="B65" i="53"/>
  <c r="B66" i="53"/>
  <c r="B67" i="53"/>
  <c r="B68" i="53"/>
  <c r="B69" i="53"/>
  <c r="B70" i="53"/>
  <c r="B71" i="53"/>
  <c r="B72" i="53"/>
  <c r="B73" i="53"/>
  <c r="B74" i="53"/>
  <c r="B75" i="53"/>
  <c r="B76" i="53"/>
  <c r="B77" i="53"/>
  <c r="B78" i="53"/>
  <c r="B79" i="53"/>
  <c r="B80" i="53"/>
  <c r="B81" i="53"/>
  <c r="B82" i="53"/>
  <c r="B83" i="53"/>
  <c r="B84" i="53"/>
  <c r="B85" i="53"/>
  <c r="B86" i="53"/>
  <c r="B87" i="53"/>
  <c r="B88" i="53"/>
  <c r="B89" i="53"/>
  <c r="B90" i="53"/>
  <c r="B91" i="53"/>
  <c r="B92" i="53"/>
  <c r="B93" i="53"/>
  <c r="B94" i="53"/>
  <c r="B95" i="53"/>
  <c r="B96" i="53"/>
  <c r="B97" i="53"/>
  <c r="B98" i="53"/>
  <c r="B99" i="53"/>
  <c r="B100" i="53"/>
  <c r="B101" i="53"/>
  <c r="B102" i="53"/>
  <c r="B103" i="53"/>
  <c r="B104" i="53"/>
  <c r="B105" i="53"/>
  <c r="B106" i="53"/>
  <c r="B107" i="53"/>
  <c r="B108" i="53"/>
  <c r="B109" i="53"/>
  <c r="B110" i="53"/>
  <c r="B111" i="53"/>
  <c r="B112" i="53"/>
  <c r="B113" i="53"/>
  <c r="B114" i="53"/>
  <c r="B115" i="53"/>
  <c r="B116" i="53"/>
  <c r="B117" i="53"/>
  <c r="B118" i="53"/>
  <c r="B119" i="53"/>
  <c r="B120" i="53"/>
  <c r="B121" i="53"/>
  <c r="B122" i="53"/>
  <c r="B123" i="53"/>
  <c r="B124" i="53"/>
  <c r="B125" i="53"/>
  <c r="B126" i="53"/>
  <c r="B127" i="53"/>
  <c r="B128" i="53"/>
  <c r="B129" i="53"/>
  <c r="B130" i="53"/>
  <c r="B131" i="53"/>
  <c r="B132" i="53"/>
  <c r="B133" i="53"/>
  <c r="B134" i="53"/>
  <c r="B135" i="53"/>
  <c r="B136" i="53"/>
  <c r="B137" i="53"/>
  <c r="B138" i="53"/>
  <c r="B139" i="53"/>
  <c r="B140" i="53"/>
  <c r="B141" i="53"/>
  <c r="B142" i="53"/>
  <c r="B143" i="53"/>
  <c r="B144" i="53"/>
  <c r="B145" i="53"/>
  <c r="B146" i="53"/>
  <c r="B147" i="53"/>
  <c r="B148" i="53"/>
  <c r="B149" i="53"/>
  <c r="B150" i="53"/>
  <c r="B151" i="53"/>
  <c r="B152" i="53"/>
  <c r="B153" i="53"/>
  <c r="B154" i="53"/>
  <c r="B155" i="53"/>
  <c r="B156" i="53"/>
  <c r="B157" i="53"/>
  <c r="B158" i="53"/>
  <c r="B159" i="53"/>
  <c r="B160" i="53"/>
  <c r="B161" i="53"/>
  <c r="B162" i="53"/>
  <c r="B163" i="53"/>
  <c r="B164" i="53"/>
  <c r="B165" i="53"/>
  <c r="B166" i="53"/>
  <c r="B167" i="53"/>
  <c r="B168" i="53"/>
  <c r="B169" i="53"/>
  <c r="B170" i="53"/>
  <c r="B171" i="53"/>
  <c r="B172" i="53"/>
  <c r="B173" i="53"/>
  <c r="B174" i="53"/>
  <c r="B175" i="53"/>
  <c r="B176" i="53"/>
  <c r="B177" i="53"/>
  <c r="B178" i="53"/>
  <c r="B179" i="53"/>
  <c r="B180" i="53"/>
  <c r="B181" i="53"/>
  <c r="B182" i="53"/>
  <c r="B183" i="53"/>
  <c r="B184" i="53"/>
  <c r="B185" i="53"/>
  <c r="B186" i="53"/>
  <c r="B187" i="53"/>
  <c r="B188" i="53"/>
  <c r="B189" i="53"/>
  <c r="B190" i="53"/>
  <c r="B191" i="53"/>
  <c r="B192" i="53"/>
  <c r="B193" i="53"/>
  <c r="B194" i="53"/>
  <c r="B195" i="53"/>
  <c r="B196" i="53"/>
  <c r="B197" i="53"/>
  <c r="B198" i="53"/>
  <c r="B199" i="53"/>
  <c r="B200" i="53"/>
  <c r="B201" i="53"/>
  <c r="E2" i="52"/>
  <c r="E3" i="52"/>
  <c r="E4" i="52"/>
  <c r="E5" i="52"/>
  <c r="E6" i="52"/>
  <c r="E7" i="52"/>
  <c r="E8" i="52"/>
  <c r="E9" i="52"/>
  <c r="E10" i="52"/>
  <c r="E11" i="52"/>
  <c r="E12" i="52"/>
  <c r="E13" i="52"/>
  <c r="E14" i="52"/>
  <c r="E15" i="52"/>
  <c r="E16" i="52"/>
  <c r="E17" i="52"/>
  <c r="E18" i="52"/>
  <c r="E19" i="52"/>
  <c r="E20" i="52"/>
  <c r="E21" i="52"/>
  <c r="E22" i="52"/>
  <c r="E23" i="52"/>
  <c r="E24" i="52"/>
  <c r="E25" i="52"/>
  <c r="E26" i="52"/>
  <c r="E27" i="52"/>
  <c r="E28" i="52"/>
  <c r="E29" i="52"/>
  <c r="E30" i="52"/>
  <c r="E31" i="52"/>
  <c r="E32" i="52"/>
  <c r="E33" i="52"/>
  <c r="E34" i="52"/>
  <c r="E35" i="52"/>
  <c r="E36" i="52"/>
  <c r="E37" i="52"/>
  <c r="E38" i="52"/>
  <c r="E39" i="52"/>
  <c r="E40" i="52"/>
  <c r="E41" i="52"/>
  <c r="E42" i="52"/>
  <c r="E43" i="52"/>
  <c r="E44" i="52"/>
  <c r="E45" i="52"/>
  <c r="E46" i="52"/>
  <c r="E47" i="52"/>
  <c r="E48" i="52"/>
  <c r="E49" i="52"/>
  <c r="E50" i="52"/>
  <c r="E51" i="52"/>
  <c r="E52" i="52"/>
  <c r="E53" i="52"/>
  <c r="E54" i="52"/>
  <c r="E55" i="52"/>
  <c r="E56" i="52"/>
  <c r="E57" i="52"/>
  <c r="E58" i="52"/>
  <c r="E59" i="52"/>
  <c r="E60" i="52"/>
  <c r="E61" i="52"/>
  <c r="E62" i="52"/>
  <c r="E63" i="52"/>
  <c r="E64" i="52"/>
  <c r="E65" i="52"/>
  <c r="E66" i="52"/>
  <c r="E67" i="52"/>
  <c r="E68" i="52"/>
  <c r="E69" i="52"/>
  <c r="E70" i="52"/>
  <c r="E71" i="52"/>
  <c r="E72" i="52"/>
  <c r="E73" i="52"/>
  <c r="E74" i="52"/>
  <c r="E75" i="52"/>
  <c r="E76" i="52"/>
  <c r="E77" i="52"/>
  <c r="E78" i="52"/>
  <c r="E79" i="52"/>
  <c r="E80" i="52"/>
  <c r="E81" i="52"/>
  <c r="E82" i="52"/>
  <c r="E83" i="52"/>
  <c r="E84" i="52"/>
  <c r="E85" i="52"/>
  <c r="E86" i="52"/>
  <c r="E87" i="52"/>
  <c r="E88" i="52"/>
  <c r="E89" i="52"/>
  <c r="E90" i="52"/>
  <c r="E91" i="52"/>
  <c r="E92" i="52"/>
  <c r="E93" i="52"/>
  <c r="E94" i="52"/>
  <c r="E95" i="52"/>
  <c r="E96" i="52"/>
  <c r="E97" i="52"/>
  <c r="E98" i="52"/>
  <c r="E99" i="52"/>
  <c r="E100" i="52"/>
  <c r="E101" i="52"/>
  <c r="E102" i="52"/>
  <c r="E103" i="52"/>
  <c r="E104" i="52"/>
  <c r="E105" i="52"/>
  <c r="E106" i="52"/>
  <c r="E107" i="52"/>
  <c r="E108" i="52"/>
  <c r="E109" i="52"/>
  <c r="E110" i="52"/>
  <c r="E111" i="52"/>
  <c r="E112" i="52"/>
  <c r="E113" i="52"/>
  <c r="E114" i="52"/>
  <c r="E115" i="52"/>
  <c r="E116" i="52"/>
  <c r="E117" i="52"/>
  <c r="E118" i="52"/>
  <c r="E119" i="52"/>
  <c r="E120" i="52"/>
  <c r="E121" i="52"/>
  <c r="E122" i="52"/>
  <c r="E123" i="52"/>
  <c r="E124" i="52"/>
  <c r="E125" i="52"/>
  <c r="E126" i="52"/>
  <c r="E127" i="52"/>
  <c r="E128" i="52"/>
  <c r="E129" i="52"/>
  <c r="E130" i="52"/>
  <c r="E131" i="52"/>
  <c r="E132" i="52"/>
  <c r="E133" i="52"/>
  <c r="E134" i="52"/>
  <c r="E135" i="52"/>
  <c r="E136" i="52"/>
  <c r="E137" i="52"/>
  <c r="E138" i="52"/>
  <c r="E139" i="52"/>
  <c r="E140" i="52"/>
  <c r="E141" i="52"/>
  <c r="E142" i="52"/>
  <c r="E143" i="52"/>
  <c r="E144" i="52"/>
  <c r="E145" i="52"/>
  <c r="E146" i="52"/>
  <c r="E147" i="52"/>
  <c r="E148" i="52"/>
  <c r="E149" i="52"/>
  <c r="E150" i="52"/>
  <c r="E151" i="52"/>
  <c r="E152" i="52"/>
  <c r="E153" i="52"/>
  <c r="E154" i="52"/>
  <c r="E155" i="52"/>
  <c r="E156" i="52"/>
  <c r="E157" i="52"/>
  <c r="E158" i="52"/>
  <c r="E159" i="52"/>
  <c r="E160" i="52"/>
  <c r="E161" i="52"/>
  <c r="E162" i="52"/>
  <c r="E163" i="52"/>
  <c r="E164" i="52"/>
  <c r="E165" i="52"/>
  <c r="E166" i="52"/>
  <c r="E167" i="52"/>
  <c r="E168" i="52"/>
  <c r="E169" i="52"/>
  <c r="E170" i="52"/>
  <c r="E171" i="52"/>
  <c r="E172" i="52"/>
  <c r="E173" i="52"/>
  <c r="E174" i="52"/>
  <c r="E175" i="52"/>
  <c r="E176" i="52"/>
  <c r="E177" i="52"/>
  <c r="E178" i="52"/>
  <c r="E179" i="52"/>
  <c r="E180" i="52"/>
  <c r="E181" i="52"/>
  <c r="E182" i="52"/>
  <c r="E183" i="52"/>
  <c r="E184" i="52"/>
  <c r="E185" i="52"/>
  <c r="E186" i="52"/>
  <c r="E187" i="52"/>
  <c r="E188" i="52"/>
  <c r="E189" i="52"/>
  <c r="E190" i="52"/>
  <c r="E191" i="52"/>
  <c r="E192" i="52"/>
  <c r="E193" i="52"/>
  <c r="E194" i="52"/>
  <c r="E195" i="52"/>
  <c r="E196" i="52"/>
  <c r="E197" i="52"/>
  <c r="E198" i="52"/>
  <c r="E199" i="52"/>
  <c r="E200" i="52"/>
  <c r="E201" i="52"/>
  <c r="I2" i="52"/>
  <c r="I3" i="52"/>
  <c r="I4" i="52"/>
  <c r="I5" i="52"/>
  <c r="I6" i="52"/>
  <c r="I7" i="52"/>
  <c r="I8" i="52"/>
  <c r="I9" i="52"/>
  <c r="I10" i="52"/>
  <c r="I11" i="52"/>
  <c r="I12" i="52"/>
  <c r="I13" i="52"/>
  <c r="I14" i="52"/>
  <c r="I15" i="52"/>
  <c r="I16" i="52"/>
  <c r="I17" i="52"/>
  <c r="I18" i="52"/>
  <c r="I19" i="52"/>
  <c r="I20" i="52"/>
  <c r="I21" i="52"/>
  <c r="I22" i="52"/>
  <c r="I23" i="52"/>
  <c r="I24" i="52"/>
  <c r="I25" i="52"/>
  <c r="I26" i="52"/>
  <c r="I27" i="52"/>
  <c r="I28" i="52"/>
  <c r="I29" i="52"/>
  <c r="I30" i="52"/>
  <c r="I31" i="52"/>
  <c r="I32" i="52"/>
  <c r="I33" i="52"/>
  <c r="I34" i="52"/>
  <c r="I35" i="52"/>
  <c r="I36" i="52"/>
  <c r="I37" i="52"/>
  <c r="I38" i="52"/>
  <c r="I39" i="52"/>
  <c r="I40" i="52"/>
  <c r="I41" i="52"/>
  <c r="I42" i="52"/>
  <c r="I43" i="52"/>
  <c r="I44" i="52"/>
  <c r="I45" i="52"/>
  <c r="I46" i="52"/>
  <c r="I47" i="52"/>
  <c r="I48" i="52"/>
  <c r="I49" i="52"/>
  <c r="I50" i="52"/>
  <c r="I51" i="52"/>
  <c r="I52" i="52"/>
  <c r="I53" i="52"/>
  <c r="I54" i="52"/>
  <c r="I55" i="52"/>
  <c r="I56" i="52"/>
  <c r="I57" i="52"/>
  <c r="I58" i="52"/>
  <c r="I59" i="52"/>
  <c r="I60" i="52"/>
  <c r="I61" i="52"/>
  <c r="I62" i="52"/>
  <c r="I63" i="52"/>
  <c r="I64" i="52"/>
  <c r="I65" i="52"/>
  <c r="I66" i="52"/>
  <c r="I67" i="52"/>
  <c r="I68" i="52"/>
  <c r="I69" i="52"/>
  <c r="I70" i="52"/>
  <c r="I71" i="52"/>
  <c r="I72" i="52"/>
  <c r="I73" i="52"/>
  <c r="I74" i="52"/>
  <c r="I75" i="52"/>
  <c r="I76" i="52"/>
  <c r="I77" i="52"/>
  <c r="I78" i="52"/>
  <c r="I79" i="52"/>
  <c r="I80" i="52"/>
  <c r="I81" i="52"/>
  <c r="I82" i="52"/>
  <c r="I83" i="52"/>
  <c r="I84" i="52"/>
  <c r="I85" i="52"/>
  <c r="I86" i="52"/>
  <c r="I87" i="52"/>
  <c r="I88" i="52"/>
  <c r="I89" i="52"/>
  <c r="I90" i="52"/>
  <c r="I91" i="52"/>
  <c r="I92" i="52"/>
  <c r="I93" i="52"/>
  <c r="I94" i="52"/>
  <c r="I95" i="52"/>
  <c r="I96" i="52"/>
  <c r="I97" i="52"/>
  <c r="I98" i="52"/>
  <c r="I99" i="52"/>
  <c r="I100" i="52"/>
  <c r="I101" i="52"/>
  <c r="I102" i="52"/>
  <c r="I103" i="52"/>
  <c r="I104" i="52"/>
  <c r="I105" i="52"/>
  <c r="I106" i="52"/>
  <c r="I107" i="52"/>
  <c r="I108" i="52"/>
  <c r="I109" i="52"/>
  <c r="I110" i="52"/>
  <c r="I111" i="52"/>
  <c r="I112" i="52"/>
  <c r="I113" i="52"/>
  <c r="I114" i="52"/>
  <c r="I115" i="52"/>
  <c r="I116" i="52"/>
  <c r="I117" i="52"/>
  <c r="I118" i="52"/>
  <c r="I119" i="52"/>
  <c r="I120" i="52"/>
  <c r="I121" i="52"/>
  <c r="I122" i="52"/>
  <c r="I123" i="52"/>
  <c r="I124" i="52"/>
  <c r="I125" i="52"/>
  <c r="I126" i="52"/>
  <c r="I127" i="52"/>
  <c r="I128" i="52"/>
  <c r="I129" i="52"/>
  <c r="I130" i="52"/>
  <c r="I131" i="52"/>
  <c r="I132" i="52"/>
  <c r="I133" i="52"/>
  <c r="I134" i="52"/>
  <c r="I135" i="52"/>
  <c r="I136" i="52"/>
  <c r="I137" i="52"/>
  <c r="I138" i="52"/>
  <c r="I139" i="52"/>
  <c r="I140" i="52"/>
  <c r="I141" i="52"/>
  <c r="I142" i="52"/>
  <c r="I143" i="52"/>
  <c r="I144" i="52"/>
  <c r="I145" i="52"/>
  <c r="I146" i="52"/>
  <c r="I147" i="52"/>
  <c r="I148" i="52"/>
  <c r="I149" i="52"/>
  <c r="I150" i="52"/>
  <c r="I151" i="52"/>
  <c r="I152" i="52"/>
  <c r="I153" i="52"/>
  <c r="I154" i="52"/>
  <c r="I155" i="52"/>
  <c r="I156" i="52"/>
  <c r="I157" i="52"/>
  <c r="I158" i="52"/>
  <c r="I159" i="52"/>
  <c r="I160" i="52"/>
  <c r="I161" i="52"/>
  <c r="I162" i="52"/>
  <c r="I163" i="52"/>
  <c r="I164" i="52"/>
  <c r="I165" i="52"/>
  <c r="I166" i="52"/>
  <c r="I167" i="52"/>
  <c r="I168" i="52"/>
  <c r="I169" i="52"/>
  <c r="I170" i="52"/>
  <c r="I171" i="52"/>
  <c r="I172" i="52"/>
  <c r="I173" i="52"/>
  <c r="I174" i="52"/>
  <c r="I175" i="52"/>
  <c r="I176" i="52"/>
  <c r="I177" i="52"/>
  <c r="I178" i="52"/>
  <c r="I179" i="52"/>
  <c r="I180" i="52"/>
  <c r="I181" i="52"/>
  <c r="I182" i="52"/>
  <c r="I183" i="52"/>
  <c r="I184" i="52"/>
  <c r="I185" i="52"/>
  <c r="I186" i="52"/>
  <c r="I187" i="52"/>
  <c r="I188" i="52"/>
  <c r="I189" i="52"/>
  <c r="I190" i="52"/>
  <c r="I191" i="52"/>
  <c r="I192" i="52"/>
  <c r="I193" i="52"/>
  <c r="I194" i="52"/>
  <c r="I195" i="52"/>
  <c r="I196" i="52"/>
  <c r="I197" i="52"/>
  <c r="I198" i="52"/>
  <c r="I199" i="52"/>
  <c r="I200" i="52"/>
  <c r="I201" i="52"/>
  <c r="C2"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3" i="52"/>
  <c r="C44" i="52"/>
  <c r="C45" i="52"/>
  <c r="C46" i="52"/>
  <c r="C47" i="52"/>
  <c r="C48" i="52"/>
  <c r="C49" i="52"/>
  <c r="C50" i="52"/>
  <c r="C51" i="52"/>
  <c r="C52" i="52"/>
  <c r="C53" i="52"/>
  <c r="C54" i="52"/>
  <c r="C55" i="52"/>
  <c r="C56" i="52"/>
  <c r="C57" i="52"/>
  <c r="C58" i="52"/>
  <c r="C59" i="52"/>
  <c r="C60" i="52"/>
  <c r="C61" i="52"/>
  <c r="C62" i="52"/>
  <c r="C63" i="52"/>
  <c r="C64" i="52"/>
  <c r="C65" i="52"/>
  <c r="C66" i="52"/>
  <c r="C67" i="52"/>
  <c r="C68" i="52"/>
  <c r="C69" i="52"/>
  <c r="C70" i="52"/>
  <c r="C71" i="52"/>
  <c r="C72" i="52"/>
  <c r="C73" i="52"/>
  <c r="C74" i="52"/>
  <c r="C75" i="52"/>
  <c r="C76" i="52"/>
  <c r="C77" i="52"/>
  <c r="C78" i="52"/>
  <c r="C79" i="52"/>
  <c r="C80" i="52"/>
  <c r="C81" i="52"/>
  <c r="C82" i="52"/>
  <c r="C83" i="52"/>
  <c r="C84" i="52"/>
  <c r="C85" i="52"/>
  <c r="C86" i="52"/>
  <c r="C87" i="52"/>
  <c r="C88" i="52"/>
  <c r="C89" i="52"/>
  <c r="C90" i="52"/>
  <c r="C91" i="52"/>
  <c r="C92" i="52"/>
  <c r="C93" i="52"/>
  <c r="C94" i="52"/>
  <c r="C95" i="52"/>
  <c r="C96" i="52"/>
  <c r="C97" i="52"/>
  <c r="C98" i="52"/>
  <c r="C99" i="52"/>
  <c r="C100" i="52"/>
  <c r="C101" i="52"/>
  <c r="C102" i="52"/>
  <c r="C103" i="52"/>
  <c r="C104" i="52"/>
  <c r="C105" i="52"/>
  <c r="C106" i="52"/>
  <c r="C107" i="52"/>
  <c r="C108" i="52"/>
  <c r="C109" i="52"/>
  <c r="C110" i="52"/>
  <c r="C111" i="52"/>
  <c r="C112" i="52"/>
  <c r="C113" i="52"/>
  <c r="C114" i="52"/>
  <c r="C115" i="52"/>
  <c r="C116" i="52"/>
  <c r="C117" i="52"/>
  <c r="C118" i="52"/>
  <c r="C119" i="52"/>
  <c r="C120" i="52"/>
  <c r="C121" i="52"/>
  <c r="C122" i="52"/>
  <c r="C123" i="52"/>
  <c r="C124" i="52"/>
  <c r="C125" i="52"/>
  <c r="C126" i="52"/>
  <c r="C127" i="52"/>
  <c r="C128" i="52"/>
  <c r="C129" i="52"/>
  <c r="C130" i="52"/>
  <c r="C131" i="52"/>
  <c r="C132" i="52"/>
  <c r="C133" i="52"/>
  <c r="C134" i="52"/>
  <c r="C135" i="52"/>
  <c r="C136" i="52"/>
  <c r="C137" i="52"/>
  <c r="C138" i="52"/>
  <c r="C139" i="52"/>
  <c r="C140" i="52"/>
  <c r="C141" i="52"/>
  <c r="C142" i="52"/>
  <c r="C143" i="52"/>
  <c r="C144" i="52"/>
  <c r="C145" i="52"/>
  <c r="C146" i="52"/>
  <c r="C147" i="52"/>
  <c r="C148" i="52"/>
  <c r="C149" i="52"/>
  <c r="C150" i="52"/>
  <c r="C151" i="52"/>
  <c r="C152" i="52"/>
  <c r="C153" i="52"/>
  <c r="C154" i="52"/>
  <c r="C155" i="52"/>
  <c r="C156" i="52"/>
  <c r="C157" i="52"/>
  <c r="C158" i="52"/>
  <c r="C159" i="52"/>
  <c r="C160" i="52"/>
  <c r="C161" i="52"/>
  <c r="C162" i="52"/>
  <c r="C163" i="52"/>
  <c r="C164" i="52"/>
  <c r="C165" i="52"/>
  <c r="C166" i="52"/>
  <c r="C167" i="52"/>
  <c r="C168" i="52"/>
  <c r="C169" i="52"/>
  <c r="C170" i="52"/>
  <c r="C171" i="52"/>
  <c r="C172" i="52"/>
  <c r="C173" i="52"/>
  <c r="C174" i="52"/>
  <c r="C175" i="52"/>
  <c r="C176" i="52"/>
  <c r="C177" i="52"/>
  <c r="C178" i="52"/>
  <c r="C179" i="52"/>
  <c r="C180" i="52"/>
  <c r="C181" i="52"/>
  <c r="C182" i="52"/>
  <c r="C183" i="52"/>
  <c r="C184" i="52"/>
  <c r="C185" i="52"/>
  <c r="C186" i="52"/>
  <c r="C187" i="52"/>
  <c r="C188" i="52"/>
  <c r="C189" i="52"/>
  <c r="C190" i="52"/>
  <c r="C191" i="52"/>
  <c r="C192" i="52"/>
  <c r="C193" i="52"/>
  <c r="C194" i="52"/>
  <c r="C195" i="52"/>
  <c r="C196" i="52"/>
  <c r="C197" i="52"/>
  <c r="C198" i="52"/>
  <c r="C199" i="52"/>
  <c r="C200" i="52"/>
  <c r="C201" i="52"/>
  <c r="D4" i="52"/>
  <c r="D5" i="52"/>
  <c r="D6" i="52"/>
  <c r="D7" i="52"/>
  <c r="D8" i="52"/>
  <c r="D9" i="52"/>
  <c r="D10" i="52"/>
  <c r="D11" i="52"/>
  <c r="D12" i="52"/>
  <c r="D13" i="52"/>
  <c r="D14" i="52"/>
  <c r="D15" i="52"/>
  <c r="D16" i="52"/>
  <c r="D17" i="52"/>
  <c r="D18" i="52"/>
  <c r="D19" i="52"/>
  <c r="D20" i="52"/>
  <c r="D21" i="52"/>
  <c r="D22" i="52"/>
  <c r="D23" i="52"/>
  <c r="D24" i="52"/>
  <c r="D25" i="52"/>
  <c r="D26" i="52"/>
  <c r="D27" i="52"/>
  <c r="D28" i="52"/>
  <c r="D29" i="52"/>
  <c r="D30" i="52"/>
  <c r="D31" i="52"/>
  <c r="D32" i="52"/>
  <c r="D33" i="52"/>
  <c r="D34" i="52"/>
  <c r="D35" i="52"/>
  <c r="D36" i="52"/>
  <c r="D37" i="52"/>
  <c r="D38" i="52"/>
  <c r="D39" i="52"/>
  <c r="D40" i="52"/>
  <c r="D41" i="52"/>
  <c r="D42" i="52"/>
  <c r="D43" i="52"/>
  <c r="D44" i="52"/>
  <c r="D45" i="52"/>
  <c r="D46" i="52"/>
  <c r="D47" i="52"/>
  <c r="D48" i="52"/>
  <c r="D49" i="52"/>
  <c r="D50" i="52"/>
  <c r="D51" i="52"/>
  <c r="D52" i="52"/>
  <c r="D53" i="52"/>
  <c r="D54" i="52"/>
  <c r="D55" i="52"/>
  <c r="D56" i="52"/>
  <c r="D57" i="52"/>
  <c r="D58" i="52"/>
  <c r="D59" i="52"/>
  <c r="D60" i="52"/>
  <c r="D61" i="52"/>
  <c r="D62" i="52"/>
  <c r="D63" i="52"/>
  <c r="D64" i="52"/>
  <c r="D65" i="52"/>
  <c r="D66" i="52"/>
  <c r="D67" i="52"/>
  <c r="D68" i="52"/>
  <c r="D69" i="52"/>
  <c r="D70" i="52"/>
  <c r="D71" i="52"/>
  <c r="D72" i="52"/>
  <c r="D73" i="52"/>
  <c r="D74" i="52"/>
  <c r="D75" i="52"/>
  <c r="D76" i="52"/>
  <c r="D77" i="52"/>
  <c r="D78" i="52"/>
  <c r="D79" i="52"/>
  <c r="D80" i="52"/>
  <c r="D81" i="52"/>
  <c r="D82" i="52"/>
  <c r="D83" i="52"/>
  <c r="D84" i="52"/>
  <c r="D85" i="52"/>
  <c r="D86" i="52"/>
  <c r="D87" i="52"/>
  <c r="D88" i="52"/>
  <c r="D89" i="52"/>
  <c r="D90" i="52"/>
  <c r="D91" i="52"/>
  <c r="D92" i="52"/>
  <c r="D93" i="52"/>
  <c r="D94" i="52"/>
  <c r="D95" i="52"/>
  <c r="D96" i="52"/>
  <c r="D97" i="52"/>
  <c r="D98" i="52"/>
  <c r="D99" i="52"/>
  <c r="D100" i="52"/>
  <c r="D101" i="52"/>
  <c r="D102" i="52"/>
  <c r="D103" i="52"/>
  <c r="D104" i="52"/>
  <c r="D105" i="52"/>
  <c r="D106" i="52"/>
  <c r="D107" i="52"/>
  <c r="D108" i="52"/>
  <c r="D109" i="52"/>
  <c r="D110" i="52"/>
  <c r="D111" i="52"/>
  <c r="D112" i="52"/>
  <c r="D113" i="52"/>
  <c r="D114" i="52"/>
  <c r="D115" i="52"/>
  <c r="D116" i="52"/>
  <c r="D117" i="52"/>
  <c r="D118" i="52"/>
  <c r="D119" i="52"/>
  <c r="D120" i="52"/>
  <c r="D121" i="52"/>
  <c r="D122" i="52"/>
  <c r="D123" i="52"/>
  <c r="D124" i="52"/>
  <c r="D125" i="52"/>
  <c r="D126" i="52"/>
  <c r="D127" i="52"/>
  <c r="D128" i="52"/>
  <c r="D129" i="52"/>
  <c r="D130" i="52"/>
  <c r="D131" i="52"/>
  <c r="D132" i="52"/>
  <c r="D133" i="52"/>
  <c r="D134" i="52"/>
  <c r="D135" i="52"/>
  <c r="D136" i="52"/>
  <c r="D137" i="52"/>
  <c r="D138" i="52"/>
  <c r="D139" i="52"/>
  <c r="D140" i="52"/>
  <c r="D141" i="52"/>
  <c r="D142" i="52"/>
  <c r="D143" i="52"/>
  <c r="D144" i="52"/>
  <c r="D145" i="52"/>
  <c r="D146" i="52"/>
  <c r="D147" i="52"/>
  <c r="D148" i="52"/>
  <c r="D149" i="52"/>
  <c r="D150" i="52"/>
  <c r="D151" i="52"/>
  <c r="D152" i="52"/>
  <c r="D153" i="52"/>
  <c r="D154" i="52"/>
  <c r="D155" i="52"/>
  <c r="D156" i="52"/>
  <c r="D157" i="52"/>
  <c r="D158" i="52"/>
  <c r="D159" i="52"/>
  <c r="D160" i="52"/>
  <c r="D161" i="52"/>
  <c r="D162" i="52"/>
  <c r="D163" i="52"/>
  <c r="D164" i="52"/>
  <c r="D165" i="52"/>
  <c r="D166" i="52"/>
  <c r="D167" i="52"/>
  <c r="D168" i="52"/>
  <c r="D169" i="52"/>
  <c r="D170" i="52"/>
  <c r="D171" i="52"/>
  <c r="D172" i="52"/>
  <c r="D173" i="52"/>
  <c r="D174" i="52"/>
  <c r="D175" i="52"/>
  <c r="D176" i="52"/>
  <c r="D177" i="52"/>
  <c r="D178" i="52"/>
  <c r="D179" i="52"/>
  <c r="D180" i="52"/>
  <c r="D181" i="52"/>
  <c r="D182" i="52"/>
  <c r="D183" i="52"/>
  <c r="D184" i="52"/>
  <c r="D185" i="52"/>
  <c r="D186" i="52"/>
  <c r="D187" i="52"/>
  <c r="D188" i="52"/>
  <c r="D189" i="52"/>
  <c r="D190" i="52"/>
  <c r="D191" i="52"/>
  <c r="D192" i="52"/>
  <c r="D193" i="52"/>
  <c r="D194" i="52"/>
  <c r="D195" i="52"/>
  <c r="D196" i="52"/>
  <c r="D197" i="52"/>
  <c r="D198" i="52"/>
  <c r="D199" i="52"/>
  <c r="D200" i="52"/>
  <c r="D201" i="52"/>
  <c r="C3" i="52"/>
  <c r="D2" i="52"/>
  <c r="D3" i="52"/>
  <c r="C193" i="53" l="1"/>
  <c r="C129" i="53"/>
  <c r="C65" i="53"/>
  <c r="C185" i="53"/>
  <c r="C121" i="53"/>
  <c r="C57" i="53"/>
  <c r="C177" i="53"/>
  <c r="C113" i="53"/>
  <c r="C49" i="53"/>
  <c r="C169" i="53"/>
  <c r="C105" i="53"/>
  <c r="C41" i="53"/>
  <c r="C161" i="53"/>
  <c r="C97" i="53"/>
  <c r="C33" i="53"/>
  <c r="C153" i="53"/>
  <c r="C89" i="53"/>
  <c r="C25" i="53"/>
  <c r="C145" i="53"/>
  <c r="C81" i="53"/>
  <c r="C17" i="53"/>
  <c r="C201" i="53"/>
  <c r="C137" i="53"/>
  <c r="C73" i="53"/>
  <c r="C9" i="53"/>
  <c r="C200" i="53"/>
  <c r="C192" i="53"/>
  <c r="C184" i="53"/>
  <c r="C176" i="53"/>
  <c r="C168" i="53"/>
  <c r="C160" i="53"/>
  <c r="C152" i="53"/>
  <c r="C144" i="53"/>
  <c r="C136" i="53"/>
  <c r="C128" i="53"/>
  <c r="C120" i="53"/>
  <c r="C112" i="53"/>
  <c r="C104" i="53"/>
  <c r="C96" i="53"/>
  <c r="C88" i="53"/>
  <c r="C80" i="53"/>
  <c r="C72" i="53"/>
  <c r="C64" i="53"/>
  <c r="C56" i="53"/>
  <c r="C48" i="53"/>
  <c r="C40" i="53"/>
  <c r="C32" i="53"/>
  <c r="C24" i="53"/>
  <c r="C16" i="53"/>
  <c r="C8" i="53"/>
  <c r="C199" i="53"/>
  <c r="C191" i="53"/>
  <c r="C183" i="53"/>
  <c r="C175" i="53"/>
  <c r="C167" i="53"/>
  <c r="C159" i="53"/>
  <c r="C151" i="53"/>
  <c r="C143" i="53"/>
  <c r="C135" i="53"/>
  <c r="C127" i="53"/>
  <c r="C119" i="53"/>
  <c r="C111" i="53"/>
  <c r="C103" i="53"/>
  <c r="C95" i="53"/>
  <c r="C87" i="53"/>
  <c r="C79" i="53"/>
  <c r="C71" i="53"/>
  <c r="C63" i="53"/>
  <c r="C55" i="53"/>
  <c r="C47" i="53"/>
  <c r="C39" i="53"/>
  <c r="C31" i="53"/>
  <c r="C23" i="53"/>
  <c r="C15" i="53"/>
  <c r="C7" i="53"/>
  <c r="C198" i="53"/>
  <c r="C190" i="53"/>
  <c r="C182" i="53"/>
  <c r="C174" i="53"/>
  <c r="C166" i="53"/>
  <c r="C158" i="53"/>
  <c r="C150" i="53"/>
  <c r="C142" i="53"/>
  <c r="C134" i="53"/>
  <c r="C126" i="53"/>
  <c r="C118" i="53"/>
  <c r="C110" i="53"/>
  <c r="C102" i="53"/>
  <c r="C94" i="53"/>
  <c r="C86" i="53"/>
  <c r="C78" i="53"/>
  <c r="C70" i="53"/>
  <c r="C62" i="53"/>
  <c r="C54" i="53"/>
  <c r="C46" i="53"/>
  <c r="C38" i="53"/>
  <c r="C30" i="53"/>
  <c r="C22" i="53"/>
  <c r="C14" i="53"/>
  <c r="C6" i="53"/>
  <c r="C197" i="53"/>
  <c r="C189" i="53"/>
  <c r="C181" i="53"/>
  <c r="C173" i="53"/>
  <c r="C165" i="53"/>
  <c r="C157" i="53"/>
  <c r="C149" i="53"/>
  <c r="C141" i="53"/>
  <c r="C133" i="53"/>
  <c r="C125" i="53"/>
  <c r="C117" i="53"/>
  <c r="C109" i="53"/>
  <c r="C101" i="53"/>
  <c r="C93" i="53"/>
  <c r="C85" i="53"/>
  <c r="C77" i="53"/>
  <c r="C69" i="53"/>
  <c r="C61" i="53"/>
  <c r="C53" i="53"/>
  <c r="C45" i="53"/>
  <c r="C37" i="53"/>
  <c r="C29" i="53"/>
  <c r="C21" i="53"/>
  <c r="C13" i="53"/>
  <c r="C5" i="53"/>
  <c r="C196" i="53"/>
  <c r="C188" i="53"/>
  <c r="C180" i="53"/>
  <c r="C172" i="53"/>
  <c r="C164" i="53"/>
  <c r="C156" i="53"/>
  <c r="C148" i="53"/>
  <c r="C140" i="53"/>
  <c r="C132" i="53"/>
  <c r="C124" i="53"/>
  <c r="C116" i="53"/>
  <c r="C108" i="53"/>
  <c r="C100" i="53"/>
  <c r="C92" i="53"/>
  <c r="C84" i="53"/>
  <c r="C76" i="53"/>
  <c r="C68" i="53"/>
  <c r="C60" i="53"/>
  <c r="C52" i="53"/>
  <c r="C44" i="53"/>
  <c r="C36" i="53"/>
  <c r="C28" i="53"/>
  <c r="C20" i="53"/>
  <c r="C12" i="53"/>
  <c r="C4" i="53"/>
  <c r="C195" i="53"/>
  <c r="C187" i="53"/>
  <c r="C179" i="53"/>
  <c r="C171" i="53"/>
  <c r="C163" i="53"/>
  <c r="C155" i="53"/>
  <c r="C147" i="53"/>
  <c r="C139" i="53"/>
  <c r="C131" i="53"/>
  <c r="C123" i="53"/>
  <c r="C115" i="53"/>
  <c r="C107" i="53"/>
  <c r="C99" i="53"/>
  <c r="C91" i="53"/>
  <c r="C83" i="53"/>
  <c r="C75" i="53"/>
  <c r="C67" i="53"/>
  <c r="C59" i="53"/>
  <c r="C51" i="53"/>
  <c r="C43" i="53"/>
  <c r="C35" i="53"/>
  <c r="C27" i="53"/>
  <c r="C19" i="53"/>
  <c r="C11" i="53"/>
  <c r="C3" i="53"/>
  <c r="C194" i="53"/>
  <c r="C186" i="53"/>
  <c r="C178" i="53"/>
  <c r="C170" i="53"/>
  <c r="C162" i="53"/>
  <c r="C154" i="53"/>
  <c r="C146" i="53"/>
  <c r="C138" i="53"/>
  <c r="C130" i="53"/>
  <c r="C122" i="53"/>
  <c r="C114" i="53"/>
  <c r="C106" i="53"/>
  <c r="C98" i="53"/>
  <c r="C90" i="53"/>
  <c r="C82" i="53"/>
  <c r="C74" i="53"/>
  <c r="C66" i="53"/>
  <c r="C58" i="53"/>
  <c r="C50" i="53"/>
  <c r="C42" i="53"/>
  <c r="C34" i="53"/>
  <c r="C26" i="53"/>
  <c r="C18" i="53"/>
  <c r="C10" i="53"/>
  <c r="B42" i="42"/>
  <c r="B43" i="42"/>
  <c r="B44" i="42"/>
  <c r="B45" i="42"/>
  <c r="B46" i="42"/>
  <c r="B47" i="42"/>
  <c r="B48" i="42"/>
  <c r="B49" i="42"/>
  <c r="B50" i="42"/>
  <c r="B51" i="42"/>
  <c r="B52" i="42"/>
  <c r="B53" i="42"/>
  <c r="B54" i="42"/>
  <c r="B55" i="42"/>
  <c r="B56" i="42"/>
  <c r="B57" i="42"/>
  <c r="B58" i="42"/>
  <c r="B59" i="42"/>
  <c r="B60" i="42"/>
  <c r="B61" i="42"/>
  <c r="B62" i="42"/>
  <c r="B63" i="42"/>
  <c r="B64" i="42"/>
  <c r="B65" i="42"/>
  <c r="B66" i="42"/>
  <c r="B67" i="42"/>
  <c r="B68" i="42"/>
  <c r="B69" i="42"/>
  <c r="B70" i="42"/>
  <c r="B71" i="42"/>
  <c r="B72" i="42"/>
  <c r="B73" i="42"/>
  <c r="B74" i="42"/>
  <c r="B75" i="42"/>
  <c r="B76" i="42"/>
  <c r="B77" i="42"/>
  <c r="B78" i="42"/>
  <c r="B79" i="42"/>
  <c r="B80" i="42"/>
  <c r="B81" i="42"/>
  <c r="B82" i="42"/>
  <c r="B83" i="42"/>
  <c r="B84" i="42"/>
  <c r="B85"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B116" i="42"/>
  <c r="B117" i="42"/>
  <c r="B118" i="42"/>
  <c r="B119" i="42"/>
  <c r="B120" i="42"/>
  <c r="B121" i="42"/>
  <c r="B122" i="42"/>
  <c r="B123" i="42"/>
  <c r="B124" i="42"/>
  <c r="B125" i="42"/>
  <c r="B126" i="42"/>
  <c r="B127" i="42"/>
  <c r="B128" i="42"/>
  <c r="B129" i="42"/>
  <c r="B130" i="42"/>
  <c r="B131" i="42"/>
  <c r="B132" i="42"/>
  <c r="B133" i="42"/>
  <c r="B134" i="42"/>
  <c r="B135" i="42"/>
  <c r="B136" i="42"/>
  <c r="B137" i="42"/>
  <c r="B138" i="42"/>
  <c r="B139" i="42"/>
  <c r="B140" i="42"/>
  <c r="B141" i="42"/>
  <c r="B142" i="42"/>
  <c r="B143" i="42"/>
  <c r="B144" i="42"/>
  <c r="B145" i="42"/>
  <c r="B146" i="42"/>
  <c r="B147" i="42"/>
  <c r="B148" i="42"/>
  <c r="B149" i="42"/>
  <c r="B150" i="42"/>
  <c r="B151" i="42"/>
  <c r="B152" i="42"/>
  <c r="B153" i="42"/>
  <c r="B154" i="42"/>
  <c r="B155" i="42"/>
  <c r="B156" i="42"/>
  <c r="B157" i="42"/>
  <c r="B158" i="42"/>
  <c r="B159" i="42"/>
  <c r="B160" i="42"/>
  <c r="B161" i="42"/>
  <c r="B162" i="42"/>
  <c r="B163" i="42"/>
  <c r="B164" i="42"/>
  <c r="B165" i="42"/>
  <c r="B166" i="42"/>
  <c r="B167" i="42"/>
  <c r="B168" i="42"/>
  <c r="B169" i="42"/>
  <c r="B170" i="42"/>
  <c r="B171" i="42"/>
  <c r="B172" i="42"/>
  <c r="B173" i="42"/>
  <c r="B174" i="42"/>
  <c r="B175" i="42"/>
  <c r="B176" i="42"/>
  <c r="B177" i="42"/>
  <c r="B178" i="42"/>
  <c r="B179" i="42"/>
  <c r="B180" i="42"/>
  <c r="B181" i="42"/>
  <c r="B182" i="42"/>
  <c r="B183" i="42"/>
  <c r="B184" i="42"/>
  <c r="B185" i="42"/>
  <c r="B186" i="42"/>
  <c r="B187" i="42"/>
  <c r="B188" i="42"/>
  <c r="B189" i="42"/>
  <c r="B190" i="42"/>
  <c r="B191" i="42"/>
  <c r="B192" i="42"/>
  <c r="B193" i="42"/>
  <c r="B194" i="42"/>
  <c r="B195" i="42"/>
  <c r="B196" i="42"/>
  <c r="B197" i="42"/>
  <c r="B198" i="42"/>
  <c r="B199" i="42"/>
  <c r="B200" i="42"/>
  <c r="B201" i="42"/>
  <c r="C42" i="42"/>
  <c r="C43" i="42"/>
  <c r="C44" i="42"/>
  <c r="C45" i="42"/>
  <c r="C46" i="42"/>
  <c r="C47" i="42"/>
  <c r="C4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78" i="42"/>
  <c r="C79" i="42"/>
  <c r="C80" i="42"/>
  <c r="C81" i="42"/>
  <c r="C82" i="42"/>
  <c r="C83" i="42"/>
  <c r="C84" i="42"/>
  <c r="C85" i="42"/>
  <c r="C86" i="42"/>
  <c r="C87" i="42"/>
  <c r="C88" i="42"/>
  <c r="C89" i="42"/>
  <c r="C90" i="42"/>
  <c r="C91" i="42"/>
  <c r="C92" i="42"/>
  <c r="C93" i="42"/>
  <c r="C94" i="42"/>
  <c r="C95" i="42"/>
  <c r="C96" i="42"/>
  <c r="C97" i="42"/>
  <c r="C98" i="42"/>
  <c r="C99" i="42"/>
  <c r="C100" i="42"/>
  <c r="C101" i="42"/>
  <c r="C102" i="42"/>
  <c r="C103" i="42"/>
  <c r="C104" i="42"/>
  <c r="C105" i="42"/>
  <c r="C106" i="42"/>
  <c r="C107" i="42"/>
  <c r="C108" i="42"/>
  <c r="C109" i="42"/>
  <c r="C110" i="42"/>
  <c r="C111" i="42"/>
  <c r="C112" i="42"/>
  <c r="C113" i="42"/>
  <c r="C114" i="42"/>
  <c r="C115" i="42"/>
  <c r="C116" i="42"/>
  <c r="C117" i="42"/>
  <c r="C118" i="42"/>
  <c r="C119" i="42"/>
  <c r="C120" i="42"/>
  <c r="C121" i="42"/>
  <c r="C122" i="42"/>
  <c r="C123" i="42"/>
  <c r="C124" i="42"/>
  <c r="C125" i="42"/>
  <c r="C126" i="42"/>
  <c r="C127" i="42"/>
  <c r="C128" i="42"/>
  <c r="C129" i="42"/>
  <c r="C130" i="42"/>
  <c r="C131" i="42"/>
  <c r="C132" i="42"/>
  <c r="C133" i="42"/>
  <c r="C134" i="42"/>
  <c r="C135" i="42"/>
  <c r="C136" i="42"/>
  <c r="C137" i="42"/>
  <c r="C138" i="42"/>
  <c r="C139" i="42"/>
  <c r="C140" i="42"/>
  <c r="C141" i="42"/>
  <c r="C142" i="42"/>
  <c r="C143" i="42"/>
  <c r="C144" i="42"/>
  <c r="C145" i="42"/>
  <c r="C146" i="42"/>
  <c r="C147" i="42"/>
  <c r="C148" i="42"/>
  <c r="C149" i="42"/>
  <c r="C150" i="42"/>
  <c r="C151" i="42"/>
  <c r="C152" i="42"/>
  <c r="C153" i="42"/>
  <c r="C154" i="42"/>
  <c r="C155" i="42"/>
  <c r="C156" i="42"/>
  <c r="C157" i="42"/>
  <c r="C158" i="42"/>
  <c r="C159" i="42"/>
  <c r="C160" i="42"/>
  <c r="C161" i="42"/>
  <c r="C162" i="42"/>
  <c r="C163" i="42"/>
  <c r="C164" i="42"/>
  <c r="C165" i="42"/>
  <c r="C166" i="42"/>
  <c r="C167" i="42"/>
  <c r="C168" i="42"/>
  <c r="C169" i="42"/>
  <c r="C170" i="42"/>
  <c r="C171" i="42"/>
  <c r="C172" i="42"/>
  <c r="C173" i="42"/>
  <c r="C174" i="42"/>
  <c r="C175" i="42"/>
  <c r="C176" i="42"/>
  <c r="C177" i="42"/>
  <c r="C178" i="42"/>
  <c r="C179" i="42"/>
  <c r="C180" i="42"/>
  <c r="C181" i="42"/>
  <c r="C182" i="42"/>
  <c r="C183" i="42"/>
  <c r="C184" i="42"/>
  <c r="C185" i="42"/>
  <c r="C186" i="42"/>
  <c r="C187" i="42"/>
  <c r="C188" i="42"/>
  <c r="C189" i="42"/>
  <c r="C190" i="42"/>
  <c r="C191" i="42"/>
  <c r="C192" i="42"/>
  <c r="C193" i="42"/>
  <c r="C194" i="42"/>
  <c r="C195" i="42"/>
  <c r="C196" i="42"/>
  <c r="C197" i="42"/>
  <c r="C198" i="42"/>
  <c r="C199" i="42"/>
  <c r="C200" i="42"/>
  <c r="C201" i="42"/>
  <c r="D42" i="42"/>
  <c r="D43" i="42"/>
  <c r="D44" i="42"/>
  <c r="D45" i="42"/>
  <c r="D46" i="42"/>
  <c r="D47" i="42"/>
  <c r="D48" i="42"/>
  <c r="D49" i="42"/>
  <c r="D50" i="42"/>
  <c r="D51" i="42"/>
  <c r="D52" i="42"/>
  <c r="D53" i="42"/>
  <c r="D54" i="42"/>
  <c r="D55" i="42"/>
  <c r="D56" i="42"/>
  <c r="D57" i="42"/>
  <c r="D58" i="42"/>
  <c r="D59" i="42"/>
  <c r="D60" i="42"/>
  <c r="D61" i="42"/>
  <c r="D62" i="42"/>
  <c r="D63" i="42"/>
  <c r="D64" i="42"/>
  <c r="D65" i="42"/>
  <c r="D66" i="42"/>
  <c r="D67" i="42"/>
  <c r="D68" i="42"/>
  <c r="D69" i="42"/>
  <c r="D70" i="42"/>
  <c r="D71" i="42"/>
  <c r="D72" i="42"/>
  <c r="D73" i="42"/>
  <c r="D74" i="42"/>
  <c r="D75" i="42"/>
  <c r="D76" i="42"/>
  <c r="D77" i="42"/>
  <c r="D78" i="42"/>
  <c r="D79" i="42"/>
  <c r="D80" i="42"/>
  <c r="D81" i="42"/>
  <c r="D82" i="42"/>
  <c r="D83" i="42"/>
  <c r="D84" i="42"/>
  <c r="D85" i="42"/>
  <c r="D86" i="42"/>
  <c r="D87" i="42"/>
  <c r="D88" i="42"/>
  <c r="D89" i="42"/>
  <c r="D90" i="42"/>
  <c r="D91" i="42"/>
  <c r="D92" i="42"/>
  <c r="D93" i="42"/>
  <c r="D94" i="42"/>
  <c r="D95" i="42"/>
  <c r="D96" i="42"/>
  <c r="D97" i="42"/>
  <c r="D98" i="42"/>
  <c r="D99" i="42"/>
  <c r="D100" i="42"/>
  <c r="D101" i="42"/>
  <c r="D102" i="42"/>
  <c r="D103" i="42"/>
  <c r="D104" i="42"/>
  <c r="D105" i="42"/>
  <c r="D106" i="42"/>
  <c r="D107" i="42"/>
  <c r="D108" i="42"/>
  <c r="D109" i="42"/>
  <c r="D110" i="42"/>
  <c r="D111" i="42"/>
  <c r="D112" i="42"/>
  <c r="D113" i="42"/>
  <c r="D114" i="42"/>
  <c r="D115" i="42"/>
  <c r="D116" i="42"/>
  <c r="D117" i="42"/>
  <c r="D118" i="42"/>
  <c r="D119" i="42"/>
  <c r="D120" i="42"/>
  <c r="D121" i="42"/>
  <c r="D122" i="42"/>
  <c r="D123" i="42"/>
  <c r="D124" i="42"/>
  <c r="D125" i="42"/>
  <c r="D126" i="42"/>
  <c r="D127" i="42"/>
  <c r="D128" i="42"/>
  <c r="D129" i="42"/>
  <c r="D130" i="42"/>
  <c r="D131" i="42"/>
  <c r="D132" i="42"/>
  <c r="D133" i="42"/>
  <c r="D134" i="42"/>
  <c r="D135" i="42"/>
  <c r="D136" i="42"/>
  <c r="D137" i="42"/>
  <c r="D138" i="42"/>
  <c r="D139" i="42"/>
  <c r="D140" i="42"/>
  <c r="D141" i="42"/>
  <c r="D142" i="42"/>
  <c r="D143" i="42"/>
  <c r="D144" i="42"/>
  <c r="D145" i="42"/>
  <c r="D146" i="42"/>
  <c r="D147" i="42"/>
  <c r="D148" i="42"/>
  <c r="D149" i="42"/>
  <c r="D150" i="42"/>
  <c r="D151" i="42"/>
  <c r="D152" i="42"/>
  <c r="D153" i="42"/>
  <c r="D154" i="42"/>
  <c r="D155" i="42"/>
  <c r="D156" i="42"/>
  <c r="D157" i="42"/>
  <c r="D158" i="42"/>
  <c r="D159" i="42"/>
  <c r="D160" i="42"/>
  <c r="D161" i="42"/>
  <c r="D162" i="42"/>
  <c r="D163" i="42"/>
  <c r="D164" i="42"/>
  <c r="D165" i="42"/>
  <c r="D166" i="42"/>
  <c r="D167" i="42"/>
  <c r="D168" i="42"/>
  <c r="D169" i="42"/>
  <c r="D170" i="42"/>
  <c r="D171" i="42"/>
  <c r="D172" i="42"/>
  <c r="D173" i="42"/>
  <c r="D174" i="42"/>
  <c r="D175" i="42"/>
  <c r="D176" i="42"/>
  <c r="D177" i="42"/>
  <c r="D178" i="42"/>
  <c r="D179" i="42"/>
  <c r="D180" i="42"/>
  <c r="D181" i="42"/>
  <c r="D182" i="42"/>
  <c r="D183" i="42"/>
  <c r="D184" i="42"/>
  <c r="D185" i="42"/>
  <c r="D186" i="42"/>
  <c r="D187" i="42"/>
  <c r="D188" i="42"/>
  <c r="D189" i="42"/>
  <c r="D190" i="42"/>
  <c r="D191" i="42"/>
  <c r="D192" i="42"/>
  <c r="D193" i="42"/>
  <c r="D194" i="42"/>
  <c r="D195" i="42"/>
  <c r="D196" i="42"/>
  <c r="D197" i="42"/>
  <c r="D198" i="42"/>
  <c r="D199" i="42"/>
  <c r="D200" i="42"/>
  <c r="D201" i="42"/>
  <c r="E42" i="42"/>
  <c r="E43" i="42"/>
  <c r="E44" i="42"/>
  <c r="E45" i="42"/>
  <c r="E46" i="42"/>
  <c r="E47" i="42"/>
  <c r="E48" i="42"/>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79" i="42"/>
  <c r="E80" i="42"/>
  <c r="E81" i="42"/>
  <c r="E82" i="42"/>
  <c r="E83" i="42"/>
  <c r="E84" i="42"/>
  <c r="E85" i="42"/>
  <c r="E86" i="42"/>
  <c r="E87" i="42"/>
  <c r="E88" i="42"/>
  <c r="E89" i="42"/>
  <c r="E90" i="42"/>
  <c r="E91" i="42"/>
  <c r="E92" i="42"/>
  <c r="E93" i="42"/>
  <c r="E94" i="42"/>
  <c r="E95" i="42"/>
  <c r="E96" i="42"/>
  <c r="E97" i="42"/>
  <c r="E98" i="42"/>
  <c r="E99" i="42"/>
  <c r="E100" i="42"/>
  <c r="E101" i="42"/>
  <c r="E102" i="42"/>
  <c r="E103" i="42"/>
  <c r="E104" i="42"/>
  <c r="E105" i="42"/>
  <c r="E106" i="42"/>
  <c r="E107" i="42"/>
  <c r="E108" i="42"/>
  <c r="E109" i="42"/>
  <c r="E110" i="42"/>
  <c r="E111" i="42"/>
  <c r="E112" i="42"/>
  <c r="E113" i="42"/>
  <c r="E114" i="42"/>
  <c r="E115" i="42"/>
  <c r="E116" i="42"/>
  <c r="E117" i="42"/>
  <c r="E118" i="42"/>
  <c r="E119" i="42"/>
  <c r="E120" i="42"/>
  <c r="E121" i="42"/>
  <c r="E122" i="42"/>
  <c r="E123" i="42"/>
  <c r="E124" i="42"/>
  <c r="E125" i="42"/>
  <c r="E126" i="42"/>
  <c r="E127" i="42"/>
  <c r="E128" i="42"/>
  <c r="E129" i="42"/>
  <c r="E130" i="42"/>
  <c r="E131" i="42"/>
  <c r="E132" i="42"/>
  <c r="E133" i="42"/>
  <c r="E134" i="42"/>
  <c r="E135" i="42"/>
  <c r="E136" i="42"/>
  <c r="E137" i="42"/>
  <c r="E138" i="42"/>
  <c r="E139" i="42"/>
  <c r="E140" i="42"/>
  <c r="E141" i="42"/>
  <c r="E142" i="42"/>
  <c r="E143" i="42"/>
  <c r="E144" i="42"/>
  <c r="E145" i="42"/>
  <c r="E146" i="42"/>
  <c r="E147" i="42"/>
  <c r="E148" i="42"/>
  <c r="E149" i="42"/>
  <c r="E150" i="42"/>
  <c r="E151" i="42"/>
  <c r="E152" i="42"/>
  <c r="E153" i="42"/>
  <c r="E154" i="42"/>
  <c r="E155" i="42"/>
  <c r="E156" i="42"/>
  <c r="E157" i="42"/>
  <c r="E158" i="42"/>
  <c r="E159" i="42"/>
  <c r="E160" i="42"/>
  <c r="E161" i="42"/>
  <c r="E162" i="42"/>
  <c r="E163" i="42"/>
  <c r="E164" i="42"/>
  <c r="E165" i="42"/>
  <c r="E166" i="42"/>
  <c r="E167" i="42"/>
  <c r="E168" i="42"/>
  <c r="E169" i="42"/>
  <c r="E170" i="42"/>
  <c r="E171" i="42"/>
  <c r="E172" i="42"/>
  <c r="E173" i="42"/>
  <c r="E174" i="42"/>
  <c r="E175" i="42"/>
  <c r="E176" i="42"/>
  <c r="E177" i="42"/>
  <c r="E178" i="42"/>
  <c r="E179" i="42"/>
  <c r="E180" i="42"/>
  <c r="E181" i="42"/>
  <c r="E182" i="42"/>
  <c r="E183" i="42"/>
  <c r="E184" i="42"/>
  <c r="E185" i="42"/>
  <c r="E186" i="42"/>
  <c r="E187" i="42"/>
  <c r="E188" i="42"/>
  <c r="E189" i="42"/>
  <c r="E190" i="42"/>
  <c r="E191" i="42"/>
  <c r="E192" i="42"/>
  <c r="E193" i="42"/>
  <c r="E194" i="42"/>
  <c r="E195" i="42"/>
  <c r="E196" i="42"/>
  <c r="E197" i="42"/>
  <c r="E198" i="42"/>
  <c r="E199" i="42"/>
  <c r="E200" i="42"/>
  <c r="E201" i="42"/>
  <c r="F42" i="42"/>
  <c r="F43" i="42"/>
  <c r="F44" i="42"/>
  <c r="F45" i="42"/>
  <c r="F46" i="42"/>
  <c r="F47" i="42"/>
  <c r="F48" i="42"/>
  <c r="F49" i="42"/>
  <c r="F50" i="42"/>
  <c r="F51" i="42"/>
  <c r="F52" i="42"/>
  <c r="F53" i="42"/>
  <c r="F54" i="42"/>
  <c r="F55" i="42"/>
  <c r="F56" i="42"/>
  <c r="F57" i="42"/>
  <c r="F58" i="42"/>
  <c r="F59" i="42"/>
  <c r="F60" i="42"/>
  <c r="F61" i="42"/>
  <c r="F62" i="42"/>
  <c r="F63" i="42"/>
  <c r="F64" i="42"/>
  <c r="F65" i="42"/>
  <c r="F66" i="42"/>
  <c r="F67" i="42"/>
  <c r="F68" i="42"/>
  <c r="F69" i="42"/>
  <c r="F70" i="42"/>
  <c r="F71" i="42"/>
  <c r="F72" i="42"/>
  <c r="F73" i="42"/>
  <c r="F74" i="42"/>
  <c r="F75" i="42"/>
  <c r="F76" i="42"/>
  <c r="F77" i="42"/>
  <c r="F78" i="42"/>
  <c r="F79" i="42"/>
  <c r="F80" i="42"/>
  <c r="F81" i="42"/>
  <c r="F82" i="42"/>
  <c r="F83" i="42"/>
  <c r="F84" i="42"/>
  <c r="F85" i="42"/>
  <c r="F86" i="42"/>
  <c r="F87" i="42"/>
  <c r="F88" i="42"/>
  <c r="F89" i="42"/>
  <c r="F90" i="42"/>
  <c r="F91" i="42"/>
  <c r="F92" i="42"/>
  <c r="F93" i="42"/>
  <c r="F94" i="42"/>
  <c r="F95" i="42"/>
  <c r="F96" i="42"/>
  <c r="F97" i="42"/>
  <c r="F98" i="42"/>
  <c r="F99" i="42"/>
  <c r="F100" i="42"/>
  <c r="F101" i="42"/>
  <c r="F102" i="42"/>
  <c r="F103" i="42"/>
  <c r="F104" i="42"/>
  <c r="F105" i="42"/>
  <c r="F106" i="42"/>
  <c r="F107" i="42"/>
  <c r="F108" i="42"/>
  <c r="F109" i="42"/>
  <c r="F110" i="42"/>
  <c r="F111" i="42"/>
  <c r="F112" i="42"/>
  <c r="F113" i="42"/>
  <c r="F114" i="42"/>
  <c r="F115" i="42"/>
  <c r="F116" i="42"/>
  <c r="F117" i="42"/>
  <c r="F118" i="42"/>
  <c r="F119" i="42"/>
  <c r="F120" i="42"/>
  <c r="F121" i="42"/>
  <c r="F122" i="42"/>
  <c r="F123" i="42"/>
  <c r="F124" i="42"/>
  <c r="F125" i="42"/>
  <c r="F126" i="42"/>
  <c r="F127" i="42"/>
  <c r="F128" i="42"/>
  <c r="F129" i="42"/>
  <c r="F130" i="42"/>
  <c r="F131" i="42"/>
  <c r="F132" i="42"/>
  <c r="F133" i="42"/>
  <c r="F134" i="42"/>
  <c r="F135" i="42"/>
  <c r="F136" i="42"/>
  <c r="F137" i="42"/>
  <c r="F138" i="42"/>
  <c r="F139" i="42"/>
  <c r="F140" i="42"/>
  <c r="F141" i="42"/>
  <c r="F142" i="42"/>
  <c r="F143" i="42"/>
  <c r="F144" i="42"/>
  <c r="F145" i="42"/>
  <c r="F146" i="42"/>
  <c r="F147" i="42"/>
  <c r="F148" i="42"/>
  <c r="F149" i="42"/>
  <c r="F150" i="42"/>
  <c r="F151" i="42"/>
  <c r="F152" i="42"/>
  <c r="F153" i="42"/>
  <c r="F154" i="42"/>
  <c r="F155" i="42"/>
  <c r="F156" i="42"/>
  <c r="F157" i="42"/>
  <c r="F158" i="42"/>
  <c r="F159" i="42"/>
  <c r="F160" i="42"/>
  <c r="F161" i="42"/>
  <c r="F162" i="42"/>
  <c r="F163" i="42"/>
  <c r="F164" i="42"/>
  <c r="F165" i="42"/>
  <c r="F166" i="42"/>
  <c r="F167" i="42"/>
  <c r="F168" i="42"/>
  <c r="F169" i="42"/>
  <c r="F170" i="42"/>
  <c r="F171" i="42"/>
  <c r="F172" i="42"/>
  <c r="F173" i="42"/>
  <c r="F174" i="42"/>
  <c r="F175" i="42"/>
  <c r="F176" i="42"/>
  <c r="F177" i="42"/>
  <c r="F178" i="42"/>
  <c r="F179" i="42"/>
  <c r="F180" i="42"/>
  <c r="F181" i="42"/>
  <c r="F182" i="42"/>
  <c r="F183" i="42"/>
  <c r="F184" i="42"/>
  <c r="F185" i="42"/>
  <c r="F186" i="42"/>
  <c r="F187" i="42"/>
  <c r="F188" i="42"/>
  <c r="F189" i="42"/>
  <c r="F190" i="42"/>
  <c r="F191" i="42"/>
  <c r="F192" i="42"/>
  <c r="F193" i="42"/>
  <c r="F194" i="42"/>
  <c r="F195" i="42"/>
  <c r="F196" i="42"/>
  <c r="F197" i="42"/>
  <c r="F198" i="42"/>
  <c r="F199" i="42"/>
  <c r="F200" i="42"/>
  <c r="F201" i="42"/>
  <c r="G42" i="42"/>
  <c r="G43" i="42"/>
  <c r="G44" i="42"/>
  <c r="G45" i="42"/>
  <c r="G46" i="42"/>
  <c r="G47" i="42"/>
  <c r="G48" i="42"/>
  <c r="G49" i="42"/>
  <c r="G50" i="42"/>
  <c r="G51" i="42"/>
  <c r="G52" i="42"/>
  <c r="G53" i="42"/>
  <c r="G54" i="42"/>
  <c r="G55" i="42"/>
  <c r="G56" i="42"/>
  <c r="G57" i="42"/>
  <c r="G58" i="42"/>
  <c r="G59" i="42"/>
  <c r="G60" i="42"/>
  <c r="G61" i="42"/>
  <c r="G62" i="42"/>
  <c r="G63" i="42"/>
  <c r="G64" i="42"/>
  <c r="G65" i="42"/>
  <c r="G66" i="42"/>
  <c r="G67" i="42"/>
  <c r="G68" i="42"/>
  <c r="G69" i="42"/>
  <c r="G70" i="42"/>
  <c r="G71" i="42"/>
  <c r="G72" i="42"/>
  <c r="G73" i="42"/>
  <c r="G74" i="42"/>
  <c r="G75" i="42"/>
  <c r="G76" i="42"/>
  <c r="G77" i="42"/>
  <c r="G78" i="42"/>
  <c r="G79" i="42"/>
  <c r="G80" i="42"/>
  <c r="G81" i="42"/>
  <c r="G82" i="42"/>
  <c r="G83" i="42"/>
  <c r="G84" i="42"/>
  <c r="G85" i="42"/>
  <c r="G86" i="42"/>
  <c r="G87" i="42"/>
  <c r="G88" i="42"/>
  <c r="G89" i="42"/>
  <c r="G90" i="42"/>
  <c r="G91" i="42"/>
  <c r="G92" i="42"/>
  <c r="G93" i="42"/>
  <c r="G94" i="42"/>
  <c r="G95" i="42"/>
  <c r="G96" i="42"/>
  <c r="G97" i="42"/>
  <c r="G98" i="42"/>
  <c r="G99" i="42"/>
  <c r="G100" i="42"/>
  <c r="G101" i="42"/>
  <c r="G102" i="42"/>
  <c r="G103" i="42"/>
  <c r="G104" i="42"/>
  <c r="G105" i="42"/>
  <c r="G106" i="42"/>
  <c r="G107" i="42"/>
  <c r="G108" i="42"/>
  <c r="G109" i="42"/>
  <c r="G110" i="42"/>
  <c r="G111" i="42"/>
  <c r="G112" i="42"/>
  <c r="G113" i="42"/>
  <c r="G114" i="42"/>
  <c r="G115" i="42"/>
  <c r="G116" i="42"/>
  <c r="G117" i="42"/>
  <c r="G118" i="42"/>
  <c r="G119" i="42"/>
  <c r="G120" i="42"/>
  <c r="G121" i="42"/>
  <c r="G122" i="42"/>
  <c r="G123" i="42"/>
  <c r="G124" i="42"/>
  <c r="G125" i="42"/>
  <c r="G126" i="42"/>
  <c r="G127" i="42"/>
  <c r="G128" i="42"/>
  <c r="G129" i="42"/>
  <c r="G130" i="42"/>
  <c r="G131" i="42"/>
  <c r="G132" i="42"/>
  <c r="G133" i="42"/>
  <c r="G134" i="42"/>
  <c r="G135" i="42"/>
  <c r="G136" i="42"/>
  <c r="G137" i="42"/>
  <c r="G138" i="42"/>
  <c r="G139" i="42"/>
  <c r="G140" i="42"/>
  <c r="G141" i="42"/>
  <c r="G142" i="42"/>
  <c r="G143" i="42"/>
  <c r="G144" i="42"/>
  <c r="G145" i="42"/>
  <c r="G146" i="42"/>
  <c r="G147" i="42"/>
  <c r="G148" i="42"/>
  <c r="G149" i="42"/>
  <c r="G150" i="42"/>
  <c r="G151" i="42"/>
  <c r="G152" i="42"/>
  <c r="G153" i="42"/>
  <c r="G154" i="42"/>
  <c r="G155" i="42"/>
  <c r="G156" i="42"/>
  <c r="G157" i="42"/>
  <c r="G158" i="42"/>
  <c r="G159" i="42"/>
  <c r="G160" i="42"/>
  <c r="G161" i="42"/>
  <c r="G162" i="42"/>
  <c r="G163" i="42"/>
  <c r="G164" i="42"/>
  <c r="G165" i="42"/>
  <c r="G166" i="42"/>
  <c r="G167" i="42"/>
  <c r="G168" i="42"/>
  <c r="G169" i="42"/>
  <c r="G170" i="42"/>
  <c r="G171" i="42"/>
  <c r="G172" i="42"/>
  <c r="G173" i="42"/>
  <c r="G174" i="42"/>
  <c r="G175" i="42"/>
  <c r="G176" i="42"/>
  <c r="G177" i="42"/>
  <c r="G178" i="42"/>
  <c r="G179" i="42"/>
  <c r="G180" i="42"/>
  <c r="G181" i="42"/>
  <c r="G182" i="42"/>
  <c r="G183" i="42"/>
  <c r="G184" i="42"/>
  <c r="G185" i="42"/>
  <c r="G186" i="42"/>
  <c r="G187" i="42"/>
  <c r="G188" i="42"/>
  <c r="G189" i="42"/>
  <c r="G190" i="42"/>
  <c r="G191" i="42"/>
  <c r="G192" i="42"/>
  <c r="G193" i="42"/>
  <c r="G194" i="42"/>
  <c r="G195" i="42"/>
  <c r="G196" i="42"/>
  <c r="G197" i="42"/>
  <c r="G198" i="42"/>
  <c r="G199" i="42"/>
  <c r="G200" i="42"/>
  <c r="G201" i="42"/>
  <c r="H42" i="42"/>
  <c r="H43" i="42"/>
  <c r="H44" i="42"/>
  <c r="H45" i="42"/>
  <c r="H46" i="42"/>
  <c r="H47" i="42"/>
  <c r="H48" i="42"/>
  <c r="H49" i="42"/>
  <c r="H50" i="42"/>
  <c r="H51" i="42"/>
  <c r="H52" i="42"/>
  <c r="H53" i="42"/>
  <c r="H54" i="42"/>
  <c r="H55" i="42"/>
  <c r="H56" i="42"/>
  <c r="H57" i="42"/>
  <c r="H58" i="42"/>
  <c r="H59" i="42"/>
  <c r="H60" i="42"/>
  <c r="H61" i="42"/>
  <c r="H62" i="42"/>
  <c r="H63" i="42"/>
  <c r="H64" i="42"/>
  <c r="H65" i="42"/>
  <c r="H66" i="42"/>
  <c r="H67" i="42"/>
  <c r="H68" i="42"/>
  <c r="H69" i="42"/>
  <c r="H70" i="42"/>
  <c r="H71" i="42"/>
  <c r="H72" i="42"/>
  <c r="H73" i="42"/>
  <c r="H74" i="42"/>
  <c r="H75" i="42"/>
  <c r="H76" i="42"/>
  <c r="H77" i="42"/>
  <c r="H78" i="42"/>
  <c r="H79" i="42"/>
  <c r="H80" i="42"/>
  <c r="H81" i="42"/>
  <c r="H82" i="42"/>
  <c r="H83" i="42"/>
  <c r="H84" i="42"/>
  <c r="H85" i="42"/>
  <c r="H86" i="42"/>
  <c r="H87" i="42"/>
  <c r="H88" i="42"/>
  <c r="H89" i="42"/>
  <c r="H90" i="42"/>
  <c r="H91" i="42"/>
  <c r="H92" i="42"/>
  <c r="H93" i="42"/>
  <c r="H94" i="42"/>
  <c r="H95" i="42"/>
  <c r="H96" i="42"/>
  <c r="H97" i="42"/>
  <c r="H98" i="42"/>
  <c r="H99" i="42"/>
  <c r="H100" i="42"/>
  <c r="H101" i="42"/>
  <c r="H102" i="42"/>
  <c r="H103" i="42"/>
  <c r="H104" i="42"/>
  <c r="H105" i="42"/>
  <c r="H106" i="42"/>
  <c r="H107" i="42"/>
  <c r="H108" i="42"/>
  <c r="H109" i="42"/>
  <c r="H110" i="42"/>
  <c r="H111" i="42"/>
  <c r="H112" i="42"/>
  <c r="H113" i="42"/>
  <c r="H114" i="42"/>
  <c r="H115" i="42"/>
  <c r="H116" i="42"/>
  <c r="H117" i="42"/>
  <c r="H118" i="42"/>
  <c r="H119" i="42"/>
  <c r="H120" i="42"/>
  <c r="H121" i="42"/>
  <c r="H122" i="42"/>
  <c r="H123" i="42"/>
  <c r="H124" i="42"/>
  <c r="H125" i="42"/>
  <c r="H126" i="42"/>
  <c r="H127" i="42"/>
  <c r="H128" i="42"/>
  <c r="H129" i="42"/>
  <c r="H130" i="42"/>
  <c r="H131" i="42"/>
  <c r="H132" i="42"/>
  <c r="H133" i="42"/>
  <c r="H134" i="42"/>
  <c r="H135" i="42"/>
  <c r="H136" i="42"/>
  <c r="H137" i="42"/>
  <c r="H138" i="42"/>
  <c r="H139" i="42"/>
  <c r="H140" i="42"/>
  <c r="H141" i="42"/>
  <c r="H142" i="42"/>
  <c r="H143" i="42"/>
  <c r="H144" i="42"/>
  <c r="H145" i="42"/>
  <c r="H146" i="42"/>
  <c r="H147" i="42"/>
  <c r="H148" i="42"/>
  <c r="H149" i="42"/>
  <c r="H150" i="42"/>
  <c r="H151" i="42"/>
  <c r="H152" i="42"/>
  <c r="H153" i="42"/>
  <c r="H154" i="42"/>
  <c r="H155" i="42"/>
  <c r="H156" i="42"/>
  <c r="H157" i="42"/>
  <c r="H158" i="42"/>
  <c r="H159" i="42"/>
  <c r="H160" i="42"/>
  <c r="H161" i="42"/>
  <c r="H162" i="42"/>
  <c r="H163" i="42"/>
  <c r="H164" i="42"/>
  <c r="H165" i="42"/>
  <c r="H166" i="42"/>
  <c r="H167" i="42"/>
  <c r="H168" i="42"/>
  <c r="H169" i="42"/>
  <c r="H170" i="42"/>
  <c r="H171" i="42"/>
  <c r="H172" i="42"/>
  <c r="H173" i="42"/>
  <c r="H174" i="42"/>
  <c r="H175" i="42"/>
  <c r="H176" i="42"/>
  <c r="H177" i="42"/>
  <c r="H178" i="42"/>
  <c r="H179" i="42"/>
  <c r="H180" i="42"/>
  <c r="H181" i="42"/>
  <c r="H182" i="42"/>
  <c r="H183" i="42"/>
  <c r="H184" i="42"/>
  <c r="H185" i="42"/>
  <c r="H186" i="42"/>
  <c r="H187" i="42"/>
  <c r="H188" i="42"/>
  <c r="H189" i="42"/>
  <c r="H190" i="42"/>
  <c r="H191" i="42"/>
  <c r="H192" i="42"/>
  <c r="H193" i="42"/>
  <c r="H194" i="42"/>
  <c r="H195" i="42"/>
  <c r="H196" i="42"/>
  <c r="H197" i="42"/>
  <c r="H198" i="42"/>
  <c r="H199" i="42"/>
  <c r="H200" i="42"/>
  <c r="H201" i="42"/>
  <c r="I42" i="42"/>
  <c r="I43" i="42"/>
  <c r="I44" i="42"/>
  <c r="I45" i="42"/>
  <c r="I46" i="42"/>
  <c r="I47" i="42"/>
  <c r="I48" i="42"/>
  <c r="I49" i="42"/>
  <c r="I50" i="42"/>
  <c r="I51" i="42"/>
  <c r="I52" i="42"/>
  <c r="I53" i="42"/>
  <c r="I54" i="42"/>
  <c r="I55" i="42"/>
  <c r="I56" i="42"/>
  <c r="I57" i="42"/>
  <c r="I58" i="42"/>
  <c r="I59" i="42"/>
  <c r="I60" i="42"/>
  <c r="I61" i="42"/>
  <c r="I62" i="42"/>
  <c r="I63" i="42"/>
  <c r="I64" i="42"/>
  <c r="I65" i="42"/>
  <c r="I66" i="42"/>
  <c r="I67" i="42"/>
  <c r="I68" i="42"/>
  <c r="I69" i="42"/>
  <c r="I70" i="42"/>
  <c r="I71" i="42"/>
  <c r="I72" i="42"/>
  <c r="I73" i="42"/>
  <c r="I74" i="42"/>
  <c r="I75" i="42"/>
  <c r="I76" i="42"/>
  <c r="I77" i="42"/>
  <c r="I78" i="42"/>
  <c r="I79" i="42"/>
  <c r="I80" i="42"/>
  <c r="I81" i="42"/>
  <c r="I82" i="42"/>
  <c r="I83" i="42"/>
  <c r="I84" i="42"/>
  <c r="I85" i="42"/>
  <c r="I86" i="42"/>
  <c r="I87" i="42"/>
  <c r="I88" i="42"/>
  <c r="I89" i="42"/>
  <c r="I90" i="42"/>
  <c r="I91" i="42"/>
  <c r="I92" i="42"/>
  <c r="I93" i="42"/>
  <c r="I94" i="42"/>
  <c r="I95" i="42"/>
  <c r="I96" i="42"/>
  <c r="I97" i="42"/>
  <c r="I98" i="42"/>
  <c r="I99" i="42"/>
  <c r="I100" i="42"/>
  <c r="I101" i="42"/>
  <c r="I102" i="42"/>
  <c r="I103" i="42"/>
  <c r="I104" i="42"/>
  <c r="I105" i="42"/>
  <c r="I106" i="42"/>
  <c r="I107" i="42"/>
  <c r="I108" i="42"/>
  <c r="I109" i="42"/>
  <c r="I110" i="42"/>
  <c r="I111" i="42"/>
  <c r="I112" i="42"/>
  <c r="I113" i="42"/>
  <c r="I114" i="42"/>
  <c r="I115" i="42"/>
  <c r="I116" i="42"/>
  <c r="I117" i="42"/>
  <c r="I118" i="42"/>
  <c r="I119" i="42"/>
  <c r="I120" i="42"/>
  <c r="I121" i="42"/>
  <c r="I122" i="42"/>
  <c r="I123" i="42"/>
  <c r="I124" i="42"/>
  <c r="I125" i="42"/>
  <c r="I126" i="42"/>
  <c r="I127" i="42"/>
  <c r="I128" i="42"/>
  <c r="I129" i="42"/>
  <c r="I130" i="42"/>
  <c r="I131" i="42"/>
  <c r="I132" i="42"/>
  <c r="I133" i="42"/>
  <c r="I134" i="42"/>
  <c r="I135" i="42"/>
  <c r="I136" i="42"/>
  <c r="I137" i="42"/>
  <c r="I138" i="42"/>
  <c r="I139" i="42"/>
  <c r="I140" i="42"/>
  <c r="I141" i="42"/>
  <c r="I142" i="42"/>
  <c r="I143" i="42"/>
  <c r="I144" i="42"/>
  <c r="I145" i="42"/>
  <c r="I146" i="42"/>
  <c r="I147" i="42"/>
  <c r="I148" i="42"/>
  <c r="I149" i="42"/>
  <c r="I150" i="42"/>
  <c r="I151" i="42"/>
  <c r="I152" i="42"/>
  <c r="I153" i="42"/>
  <c r="I154" i="42"/>
  <c r="I155" i="42"/>
  <c r="I156" i="42"/>
  <c r="I157" i="42"/>
  <c r="I158" i="42"/>
  <c r="I159" i="42"/>
  <c r="I160" i="42"/>
  <c r="I161" i="42"/>
  <c r="I162" i="42"/>
  <c r="I163" i="42"/>
  <c r="I164" i="42"/>
  <c r="I165" i="42"/>
  <c r="I166" i="42"/>
  <c r="I167" i="42"/>
  <c r="I168" i="42"/>
  <c r="I169" i="42"/>
  <c r="I170" i="42"/>
  <c r="I171" i="42"/>
  <c r="I172" i="42"/>
  <c r="I173" i="42"/>
  <c r="I174" i="42"/>
  <c r="I175" i="42"/>
  <c r="I176" i="42"/>
  <c r="I177" i="42"/>
  <c r="I178" i="42"/>
  <c r="I179" i="42"/>
  <c r="I180" i="42"/>
  <c r="I181" i="42"/>
  <c r="I182" i="42"/>
  <c r="I183" i="42"/>
  <c r="I184" i="42"/>
  <c r="I185" i="42"/>
  <c r="I186" i="42"/>
  <c r="I187" i="42"/>
  <c r="I188" i="42"/>
  <c r="I189" i="42"/>
  <c r="I190" i="42"/>
  <c r="I191" i="42"/>
  <c r="I192" i="42"/>
  <c r="I193" i="42"/>
  <c r="I194" i="42"/>
  <c r="I195" i="42"/>
  <c r="I196" i="42"/>
  <c r="I197" i="42"/>
  <c r="I198" i="42"/>
  <c r="I199" i="42"/>
  <c r="I200" i="42"/>
  <c r="I201" i="42"/>
  <c r="J42" i="42"/>
  <c r="J43" i="42"/>
  <c r="J44" i="42"/>
  <c r="J45" i="42"/>
  <c r="J46" i="42"/>
  <c r="J47" i="42"/>
  <c r="J48" i="42"/>
  <c r="J49" i="42"/>
  <c r="J50" i="42"/>
  <c r="J51" i="42"/>
  <c r="J52" i="42"/>
  <c r="J53" i="42"/>
  <c r="J54" i="42"/>
  <c r="J55" i="42"/>
  <c r="J56" i="42"/>
  <c r="J57" i="42"/>
  <c r="J58" i="42"/>
  <c r="J59" i="42"/>
  <c r="J60" i="42"/>
  <c r="J61" i="42"/>
  <c r="J62" i="42"/>
  <c r="J63" i="42"/>
  <c r="J64" i="42"/>
  <c r="J65" i="42"/>
  <c r="J66" i="42"/>
  <c r="J67" i="42"/>
  <c r="J68" i="42"/>
  <c r="J69" i="42"/>
  <c r="J70" i="42"/>
  <c r="J71" i="42"/>
  <c r="J72" i="42"/>
  <c r="J73" i="42"/>
  <c r="J74" i="42"/>
  <c r="J75" i="42"/>
  <c r="J76" i="42"/>
  <c r="J77" i="42"/>
  <c r="J78" i="42"/>
  <c r="J79" i="42"/>
  <c r="J80" i="42"/>
  <c r="J81" i="42"/>
  <c r="J82" i="42"/>
  <c r="J83" i="42"/>
  <c r="J84" i="42"/>
  <c r="J85" i="42"/>
  <c r="J86" i="42"/>
  <c r="J87" i="42"/>
  <c r="J88" i="42"/>
  <c r="J89" i="42"/>
  <c r="J90" i="42"/>
  <c r="J91" i="42"/>
  <c r="J92" i="42"/>
  <c r="J93" i="42"/>
  <c r="J94" i="42"/>
  <c r="J95" i="42"/>
  <c r="J96" i="42"/>
  <c r="J97" i="42"/>
  <c r="J98" i="42"/>
  <c r="J99" i="42"/>
  <c r="J100" i="42"/>
  <c r="J101" i="42"/>
  <c r="J102" i="42"/>
  <c r="J103" i="42"/>
  <c r="J104" i="42"/>
  <c r="J105" i="42"/>
  <c r="J106" i="42"/>
  <c r="J107" i="42"/>
  <c r="J108" i="42"/>
  <c r="J109" i="42"/>
  <c r="J110" i="42"/>
  <c r="J111" i="42"/>
  <c r="J112" i="42"/>
  <c r="J113" i="42"/>
  <c r="J114" i="42"/>
  <c r="J115" i="42"/>
  <c r="J116" i="42"/>
  <c r="J117" i="42"/>
  <c r="J118" i="42"/>
  <c r="J119" i="42"/>
  <c r="J120" i="42"/>
  <c r="J121" i="42"/>
  <c r="J122" i="42"/>
  <c r="J123" i="42"/>
  <c r="J124" i="42"/>
  <c r="J125" i="42"/>
  <c r="J126" i="42"/>
  <c r="J127" i="42"/>
  <c r="J128" i="42"/>
  <c r="J129" i="42"/>
  <c r="J130" i="42"/>
  <c r="J131" i="42"/>
  <c r="J132" i="42"/>
  <c r="J133" i="42"/>
  <c r="J134" i="42"/>
  <c r="J135" i="42"/>
  <c r="J136" i="42"/>
  <c r="J137" i="42"/>
  <c r="J138" i="42"/>
  <c r="J139" i="42"/>
  <c r="J140" i="42"/>
  <c r="J141" i="42"/>
  <c r="J142" i="42"/>
  <c r="J143" i="42"/>
  <c r="J144" i="42"/>
  <c r="J145" i="42"/>
  <c r="J146" i="42"/>
  <c r="J147" i="42"/>
  <c r="J148" i="42"/>
  <c r="J149" i="42"/>
  <c r="J150" i="42"/>
  <c r="J151" i="42"/>
  <c r="J152" i="42"/>
  <c r="J153" i="42"/>
  <c r="J154" i="42"/>
  <c r="J155" i="42"/>
  <c r="J156" i="42"/>
  <c r="J157" i="42"/>
  <c r="J158" i="42"/>
  <c r="J159" i="42"/>
  <c r="J160" i="42"/>
  <c r="J161" i="42"/>
  <c r="J162" i="42"/>
  <c r="J163" i="42"/>
  <c r="J164" i="42"/>
  <c r="J165" i="42"/>
  <c r="J166" i="42"/>
  <c r="J167" i="42"/>
  <c r="J168" i="42"/>
  <c r="J169" i="42"/>
  <c r="J170" i="42"/>
  <c r="J171" i="42"/>
  <c r="J172" i="42"/>
  <c r="J173" i="42"/>
  <c r="J174" i="42"/>
  <c r="J175" i="42"/>
  <c r="J176" i="42"/>
  <c r="J177" i="42"/>
  <c r="J178" i="42"/>
  <c r="J179" i="42"/>
  <c r="J180" i="42"/>
  <c r="J181" i="42"/>
  <c r="J182" i="42"/>
  <c r="J183" i="42"/>
  <c r="J184" i="42"/>
  <c r="J185" i="42"/>
  <c r="J186" i="42"/>
  <c r="J187" i="42"/>
  <c r="J188" i="42"/>
  <c r="J189" i="42"/>
  <c r="J190" i="42"/>
  <c r="J191" i="42"/>
  <c r="J192" i="42"/>
  <c r="J193" i="42"/>
  <c r="J194" i="42"/>
  <c r="J195" i="42"/>
  <c r="J196" i="42"/>
  <c r="J197" i="42"/>
  <c r="J198" i="42"/>
  <c r="J199" i="42"/>
  <c r="J200" i="42"/>
  <c r="J201" i="42"/>
  <c r="K42" i="42"/>
  <c r="K43" i="42"/>
  <c r="K44" i="42"/>
  <c r="K45" i="42"/>
  <c r="K46" i="42"/>
  <c r="K47" i="42"/>
  <c r="K48" i="42"/>
  <c r="K49" i="42"/>
  <c r="K50" i="42"/>
  <c r="K51" i="42"/>
  <c r="K52" i="42"/>
  <c r="K53" i="42"/>
  <c r="K54" i="42"/>
  <c r="K55" i="42"/>
  <c r="K56" i="42"/>
  <c r="K57" i="42"/>
  <c r="K58" i="42"/>
  <c r="K59" i="42"/>
  <c r="K60" i="42"/>
  <c r="K61" i="42"/>
  <c r="K62" i="42"/>
  <c r="K63" i="42"/>
  <c r="K64" i="42"/>
  <c r="K65" i="42"/>
  <c r="K66" i="42"/>
  <c r="K67" i="42"/>
  <c r="K68" i="42"/>
  <c r="K69" i="42"/>
  <c r="K70" i="42"/>
  <c r="K71" i="42"/>
  <c r="K72" i="42"/>
  <c r="K73" i="42"/>
  <c r="K74" i="42"/>
  <c r="K75" i="42"/>
  <c r="K76" i="42"/>
  <c r="K77" i="42"/>
  <c r="K78" i="42"/>
  <c r="K79" i="42"/>
  <c r="K80" i="42"/>
  <c r="K81" i="42"/>
  <c r="K82" i="42"/>
  <c r="K83" i="42"/>
  <c r="K84" i="42"/>
  <c r="K85" i="42"/>
  <c r="K86" i="42"/>
  <c r="K87" i="42"/>
  <c r="K88" i="42"/>
  <c r="K89" i="42"/>
  <c r="K90" i="42"/>
  <c r="K91" i="42"/>
  <c r="K92" i="42"/>
  <c r="K93" i="42"/>
  <c r="K94" i="42"/>
  <c r="K95" i="42"/>
  <c r="K96" i="42"/>
  <c r="K97" i="42"/>
  <c r="K98" i="42"/>
  <c r="K99" i="42"/>
  <c r="K100" i="42"/>
  <c r="K101" i="42"/>
  <c r="K102" i="42"/>
  <c r="K103" i="42"/>
  <c r="K104" i="42"/>
  <c r="K105" i="42"/>
  <c r="K106" i="42"/>
  <c r="K107" i="42"/>
  <c r="K108" i="42"/>
  <c r="K109" i="42"/>
  <c r="K110" i="42"/>
  <c r="K111" i="42"/>
  <c r="K112" i="42"/>
  <c r="K113" i="42"/>
  <c r="K114" i="42"/>
  <c r="K115" i="42"/>
  <c r="K116" i="42"/>
  <c r="K117" i="42"/>
  <c r="K118" i="42"/>
  <c r="K119" i="42"/>
  <c r="K120" i="42"/>
  <c r="K121" i="42"/>
  <c r="K122" i="42"/>
  <c r="K123" i="42"/>
  <c r="K124" i="42"/>
  <c r="K125" i="42"/>
  <c r="K126" i="42"/>
  <c r="K127" i="42"/>
  <c r="K128" i="42"/>
  <c r="K129" i="42"/>
  <c r="K130" i="42"/>
  <c r="K131" i="42"/>
  <c r="K132" i="42"/>
  <c r="K133" i="42"/>
  <c r="K134" i="42"/>
  <c r="K135" i="42"/>
  <c r="K136" i="42"/>
  <c r="K137" i="42"/>
  <c r="K138" i="42"/>
  <c r="K139" i="42"/>
  <c r="K140" i="42"/>
  <c r="K141" i="42"/>
  <c r="K142" i="42"/>
  <c r="K143" i="42"/>
  <c r="K144" i="42"/>
  <c r="K145" i="42"/>
  <c r="K146" i="42"/>
  <c r="K147" i="42"/>
  <c r="K148" i="42"/>
  <c r="K149" i="42"/>
  <c r="K150" i="42"/>
  <c r="K151" i="42"/>
  <c r="K152" i="42"/>
  <c r="K153" i="42"/>
  <c r="K154" i="42"/>
  <c r="K155" i="42"/>
  <c r="K156" i="42"/>
  <c r="K157" i="42"/>
  <c r="K158" i="42"/>
  <c r="K159" i="42"/>
  <c r="K160" i="42"/>
  <c r="K161" i="42"/>
  <c r="K162" i="42"/>
  <c r="K163" i="42"/>
  <c r="K164" i="42"/>
  <c r="K165" i="42"/>
  <c r="K166" i="42"/>
  <c r="K167" i="42"/>
  <c r="K168" i="42"/>
  <c r="K169" i="42"/>
  <c r="K170" i="42"/>
  <c r="K171" i="42"/>
  <c r="K172" i="42"/>
  <c r="K173" i="42"/>
  <c r="K174" i="42"/>
  <c r="K175" i="42"/>
  <c r="K176" i="42"/>
  <c r="K177" i="42"/>
  <c r="K178" i="42"/>
  <c r="K179" i="42"/>
  <c r="K180" i="42"/>
  <c r="K181" i="42"/>
  <c r="K182" i="42"/>
  <c r="K183" i="42"/>
  <c r="K184" i="42"/>
  <c r="K185" i="42"/>
  <c r="K186" i="42"/>
  <c r="K187" i="42"/>
  <c r="K188" i="42"/>
  <c r="K189" i="42"/>
  <c r="K190" i="42"/>
  <c r="K191" i="42"/>
  <c r="K192" i="42"/>
  <c r="K193" i="42"/>
  <c r="K194" i="42"/>
  <c r="K195" i="42"/>
  <c r="K196" i="42"/>
  <c r="K197" i="42"/>
  <c r="K198" i="42"/>
  <c r="K199" i="42"/>
  <c r="K200" i="42"/>
  <c r="K201" i="42"/>
  <c r="L42" i="42"/>
  <c r="L43" i="42"/>
  <c r="L44" i="42"/>
  <c r="L45" i="42"/>
  <c r="L46" i="42"/>
  <c r="L47" i="42"/>
  <c r="L48" i="42"/>
  <c r="L49" i="42"/>
  <c r="L50" i="42"/>
  <c r="L51" i="42"/>
  <c r="L52" i="42"/>
  <c r="L53" i="42"/>
  <c r="L54" i="42"/>
  <c r="L55" i="42"/>
  <c r="L56" i="42"/>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L102" i="42"/>
  <c r="L103" i="42"/>
  <c r="L104" i="42"/>
  <c r="L105" i="42"/>
  <c r="L106" i="42"/>
  <c r="L107" i="42"/>
  <c r="L108" i="42"/>
  <c r="L109" i="42"/>
  <c r="L110" i="42"/>
  <c r="L111" i="42"/>
  <c r="L112" i="42"/>
  <c r="L113" i="42"/>
  <c r="L114" i="42"/>
  <c r="L115" i="42"/>
  <c r="L116" i="42"/>
  <c r="L117" i="42"/>
  <c r="L118" i="42"/>
  <c r="L119" i="42"/>
  <c r="L120" i="42"/>
  <c r="L121" i="42"/>
  <c r="L122" i="42"/>
  <c r="L123" i="42"/>
  <c r="L124" i="42"/>
  <c r="L125" i="42"/>
  <c r="L126" i="42"/>
  <c r="L127" i="42"/>
  <c r="L128" i="42"/>
  <c r="L129" i="42"/>
  <c r="L130" i="42"/>
  <c r="L131" i="42"/>
  <c r="L132" i="42"/>
  <c r="L133" i="42"/>
  <c r="L134" i="42"/>
  <c r="L135" i="42"/>
  <c r="L136" i="42"/>
  <c r="L137" i="42"/>
  <c r="L138" i="42"/>
  <c r="L139" i="42"/>
  <c r="L140" i="42"/>
  <c r="L141" i="42"/>
  <c r="L142" i="42"/>
  <c r="L143" i="42"/>
  <c r="L144" i="42"/>
  <c r="L145" i="42"/>
  <c r="L146" i="42"/>
  <c r="L147" i="42"/>
  <c r="L148" i="42"/>
  <c r="L149" i="42"/>
  <c r="L150" i="42"/>
  <c r="L151" i="42"/>
  <c r="L152" i="42"/>
  <c r="L153" i="42"/>
  <c r="L154" i="42"/>
  <c r="L155" i="42"/>
  <c r="L156" i="42"/>
  <c r="L157" i="42"/>
  <c r="L158" i="42"/>
  <c r="L159" i="42"/>
  <c r="L160" i="42"/>
  <c r="L161" i="42"/>
  <c r="L162" i="42"/>
  <c r="L163" i="42"/>
  <c r="L164" i="42"/>
  <c r="L165" i="42"/>
  <c r="L166" i="42"/>
  <c r="L167" i="42"/>
  <c r="L168" i="42"/>
  <c r="L169" i="42"/>
  <c r="L170" i="42"/>
  <c r="L171" i="42"/>
  <c r="L172" i="42"/>
  <c r="L173" i="42"/>
  <c r="L174" i="42"/>
  <c r="L175" i="42"/>
  <c r="L176" i="42"/>
  <c r="L177" i="42"/>
  <c r="L178" i="42"/>
  <c r="L179" i="42"/>
  <c r="L180" i="42"/>
  <c r="L181" i="42"/>
  <c r="L182" i="42"/>
  <c r="L183" i="42"/>
  <c r="L184" i="42"/>
  <c r="L185" i="42"/>
  <c r="L186" i="42"/>
  <c r="L187" i="42"/>
  <c r="L188" i="42"/>
  <c r="L189" i="42"/>
  <c r="L190" i="42"/>
  <c r="L191" i="42"/>
  <c r="L192" i="42"/>
  <c r="L193" i="42"/>
  <c r="L194" i="42"/>
  <c r="L195" i="42"/>
  <c r="L196" i="42"/>
  <c r="L197" i="42"/>
  <c r="L198" i="42"/>
  <c r="L199" i="42"/>
  <c r="L200" i="42"/>
  <c r="L201" i="42"/>
  <c r="M42" i="42"/>
  <c r="M43" i="42"/>
  <c r="M44" i="42"/>
  <c r="M45" i="42"/>
  <c r="M46" i="42"/>
  <c r="M47" i="42"/>
  <c r="M48" i="42"/>
  <c r="M49" i="42"/>
  <c r="M50" i="42"/>
  <c r="M51" i="42"/>
  <c r="M52" i="42"/>
  <c r="M53" i="42"/>
  <c r="M54" i="42"/>
  <c r="M55" i="42"/>
  <c r="M56" i="42"/>
  <c r="M57" i="42"/>
  <c r="M58" i="42"/>
  <c r="M59" i="42"/>
  <c r="M60" i="42"/>
  <c r="M61" i="42"/>
  <c r="M62" i="42"/>
  <c r="M63" i="42"/>
  <c r="M64" i="42"/>
  <c r="M65" i="42"/>
  <c r="M66" i="42"/>
  <c r="M67" i="42"/>
  <c r="M68" i="42"/>
  <c r="M69" i="42"/>
  <c r="M70" i="42"/>
  <c r="M71" i="42"/>
  <c r="M72" i="42"/>
  <c r="M73" i="42"/>
  <c r="M74" i="42"/>
  <c r="M75" i="42"/>
  <c r="M76" i="42"/>
  <c r="M77" i="42"/>
  <c r="M78" i="42"/>
  <c r="M79" i="42"/>
  <c r="M80" i="42"/>
  <c r="M81" i="42"/>
  <c r="M82" i="42"/>
  <c r="M83" i="42"/>
  <c r="M84" i="42"/>
  <c r="M85" i="42"/>
  <c r="M86" i="42"/>
  <c r="M87" i="42"/>
  <c r="M88" i="42"/>
  <c r="M89" i="42"/>
  <c r="M90" i="42"/>
  <c r="M91" i="42"/>
  <c r="M92" i="42"/>
  <c r="M93" i="42"/>
  <c r="M94" i="42"/>
  <c r="M95" i="42"/>
  <c r="M96" i="42"/>
  <c r="M97" i="42"/>
  <c r="M98" i="42"/>
  <c r="M99" i="42"/>
  <c r="M100" i="42"/>
  <c r="M101" i="42"/>
  <c r="M102" i="42"/>
  <c r="M103" i="42"/>
  <c r="M104" i="42"/>
  <c r="M105" i="42"/>
  <c r="M106" i="42"/>
  <c r="M107" i="42"/>
  <c r="M108" i="42"/>
  <c r="M109" i="42"/>
  <c r="M110" i="42"/>
  <c r="M111" i="42"/>
  <c r="M112" i="42"/>
  <c r="M113" i="42"/>
  <c r="M114" i="42"/>
  <c r="M115" i="42"/>
  <c r="M116" i="42"/>
  <c r="M117" i="42"/>
  <c r="M118" i="42"/>
  <c r="M119" i="42"/>
  <c r="M120" i="42"/>
  <c r="M121" i="42"/>
  <c r="M122" i="42"/>
  <c r="M123" i="42"/>
  <c r="M124" i="42"/>
  <c r="M125" i="42"/>
  <c r="M126" i="42"/>
  <c r="M127" i="42"/>
  <c r="M128" i="42"/>
  <c r="M129" i="42"/>
  <c r="M130" i="42"/>
  <c r="M131" i="42"/>
  <c r="M132" i="42"/>
  <c r="M133" i="42"/>
  <c r="M134" i="42"/>
  <c r="M135" i="42"/>
  <c r="M136" i="42"/>
  <c r="M137" i="42"/>
  <c r="M138" i="42"/>
  <c r="M139" i="42"/>
  <c r="M140" i="42"/>
  <c r="M141" i="42"/>
  <c r="M142" i="42"/>
  <c r="M143" i="42"/>
  <c r="M144" i="42"/>
  <c r="M145" i="42"/>
  <c r="M146" i="42"/>
  <c r="M147" i="42"/>
  <c r="M148" i="42"/>
  <c r="M149" i="42"/>
  <c r="M150" i="42"/>
  <c r="M151" i="42"/>
  <c r="M152" i="42"/>
  <c r="M153" i="42"/>
  <c r="M154" i="42"/>
  <c r="M155" i="42"/>
  <c r="M156" i="42"/>
  <c r="M157" i="42"/>
  <c r="M158" i="42"/>
  <c r="M159" i="42"/>
  <c r="M160" i="42"/>
  <c r="M161" i="42"/>
  <c r="M162" i="42"/>
  <c r="M163" i="42"/>
  <c r="M164" i="42"/>
  <c r="M165" i="42"/>
  <c r="M166" i="42"/>
  <c r="M167" i="42"/>
  <c r="M168" i="42"/>
  <c r="M169" i="42"/>
  <c r="M170" i="42"/>
  <c r="M171" i="42"/>
  <c r="M172" i="42"/>
  <c r="M173" i="42"/>
  <c r="M174" i="42"/>
  <c r="M175" i="42"/>
  <c r="M176" i="42"/>
  <c r="M177" i="42"/>
  <c r="M178" i="42"/>
  <c r="M179" i="42"/>
  <c r="M180" i="42"/>
  <c r="M181" i="42"/>
  <c r="M182" i="42"/>
  <c r="M183" i="42"/>
  <c r="M184" i="42"/>
  <c r="M185" i="42"/>
  <c r="M186" i="42"/>
  <c r="M187" i="42"/>
  <c r="M188" i="42"/>
  <c r="M189" i="42"/>
  <c r="M190" i="42"/>
  <c r="M191" i="42"/>
  <c r="M192" i="42"/>
  <c r="M193" i="42"/>
  <c r="M194" i="42"/>
  <c r="M195" i="42"/>
  <c r="M196" i="42"/>
  <c r="M197" i="42"/>
  <c r="M198" i="42"/>
  <c r="M199" i="42"/>
  <c r="M200" i="42"/>
  <c r="M201" i="42"/>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70" i="49"/>
  <c r="B71" i="49"/>
  <c r="B72" i="49"/>
  <c r="B73" i="49"/>
  <c r="B74" i="49"/>
  <c r="B75" i="49"/>
  <c r="B76" i="49"/>
  <c r="B77" i="49"/>
  <c r="B78" i="49"/>
  <c r="B79" i="49"/>
  <c r="B80" i="49"/>
  <c r="B81" i="49"/>
  <c r="B82" i="49"/>
  <c r="B83" i="49"/>
  <c r="B84" i="49"/>
  <c r="B85" i="49"/>
  <c r="B86" i="49"/>
  <c r="B87" i="49"/>
  <c r="B88" i="49"/>
  <c r="B89" i="49"/>
  <c r="B90" i="49"/>
  <c r="B91" i="49"/>
  <c r="B92" i="49"/>
  <c r="B93" i="49"/>
  <c r="B94" i="49"/>
  <c r="B95" i="49"/>
  <c r="B96" i="49"/>
  <c r="B97" i="49"/>
  <c r="B98" i="49"/>
  <c r="B99" i="49"/>
  <c r="B100" i="49"/>
  <c r="B101" i="49"/>
  <c r="B102" i="49"/>
  <c r="B103" i="49"/>
  <c r="B104" i="49"/>
  <c r="B105" i="49"/>
  <c r="B106" i="49"/>
  <c r="B107" i="49"/>
  <c r="B108" i="49"/>
  <c r="B109" i="49"/>
  <c r="B110" i="49"/>
  <c r="B111" i="49"/>
  <c r="B112" i="49"/>
  <c r="B113" i="49"/>
  <c r="B114" i="49"/>
  <c r="B115" i="49"/>
  <c r="B116" i="49"/>
  <c r="B117" i="49"/>
  <c r="B118" i="49"/>
  <c r="B119" i="49"/>
  <c r="B120" i="49"/>
  <c r="B121" i="49"/>
  <c r="B122" i="49"/>
  <c r="B123" i="49"/>
  <c r="B124" i="49"/>
  <c r="B125" i="49"/>
  <c r="B126" i="49"/>
  <c r="B127" i="49"/>
  <c r="B128" i="49"/>
  <c r="B129" i="49"/>
  <c r="B130" i="49"/>
  <c r="B131" i="49"/>
  <c r="B132" i="49"/>
  <c r="B133" i="49"/>
  <c r="B134" i="49"/>
  <c r="B135" i="49"/>
  <c r="B136" i="49"/>
  <c r="B137" i="49"/>
  <c r="B138" i="49"/>
  <c r="B139" i="49"/>
  <c r="B140" i="49"/>
  <c r="B141" i="49"/>
  <c r="B142" i="49"/>
  <c r="B143" i="49"/>
  <c r="B144" i="49"/>
  <c r="B145" i="49"/>
  <c r="B146" i="49"/>
  <c r="B147" i="49"/>
  <c r="B148" i="49"/>
  <c r="B149" i="49"/>
  <c r="B150" i="49"/>
  <c r="B151" i="49"/>
  <c r="B152" i="49"/>
  <c r="B153" i="49"/>
  <c r="B154" i="49"/>
  <c r="B155" i="49"/>
  <c r="B156" i="49"/>
  <c r="B157" i="49"/>
  <c r="B158" i="49"/>
  <c r="B159" i="49"/>
  <c r="B160" i="49"/>
  <c r="B161" i="49"/>
  <c r="B162" i="49"/>
  <c r="B163" i="49"/>
  <c r="B164" i="49"/>
  <c r="B165" i="49"/>
  <c r="B166" i="49"/>
  <c r="B167" i="49"/>
  <c r="B168" i="49"/>
  <c r="B169" i="49"/>
  <c r="B170" i="49"/>
  <c r="B171" i="49"/>
  <c r="B172" i="49"/>
  <c r="B173" i="49"/>
  <c r="B174" i="49"/>
  <c r="B175" i="49"/>
  <c r="B176" i="49"/>
  <c r="B177" i="49"/>
  <c r="B178" i="49"/>
  <c r="B179" i="49"/>
  <c r="B180" i="49"/>
  <c r="B181" i="49"/>
  <c r="B182" i="49"/>
  <c r="B183" i="49"/>
  <c r="B184" i="49"/>
  <c r="B185" i="49"/>
  <c r="B186" i="49"/>
  <c r="B187" i="49"/>
  <c r="B188" i="49"/>
  <c r="B189" i="49"/>
  <c r="B190" i="49"/>
  <c r="B191" i="49"/>
  <c r="B192" i="49"/>
  <c r="B193" i="49"/>
  <c r="B194" i="49"/>
  <c r="B195" i="49"/>
  <c r="B196" i="49"/>
  <c r="B197" i="49"/>
  <c r="B198" i="49"/>
  <c r="B199" i="49"/>
  <c r="B200" i="49"/>
  <c r="B201" i="49"/>
  <c r="C31" i="49"/>
  <c r="C32" i="49"/>
  <c r="C33" i="49"/>
  <c r="C34" i="49"/>
  <c r="C35" i="49"/>
  <c r="C36" i="49"/>
  <c r="C37" i="49"/>
  <c r="C38" i="49"/>
  <c r="C39" i="49"/>
  <c r="C40" i="49"/>
  <c r="C41" i="49"/>
  <c r="C42" i="49"/>
  <c r="C43" i="49"/>
  <c r="C44" i="49"/>
  <c r="C45" i="49"/>
  <c r="C46" i="49"/>
  <c r="C47" i="49"/>
  <c r="C48" i="49"/>
  <c r="C49" i="49"/>
  <c r="C50" i="49"/>
  <c r="C51" i="49"/>
  <c r="C52" i="49"/>
  <c r="C53" i="49"/>
  <c r="C54" i="49"/>
  <c r="C55" i="49"/>
  <c r="C56" i="49"/>
  <c r="C57" i="49"/>
  <c r="C58" i="49"/>
  <c r="C59" i="49"/>
  <c r="C60" i="49"/>
  <c r="C61" i="49"/>
  <c r="C62" i="49"/>
  <c r="C63" i="49"/>
  <c r="C64" i="49"/>
  <c r="C65" i="49"/>
  <c r="C66" i="49"/>
  <c r="C67" i="49"/>
  <c r="C68" i="49"/>
  <c r="C69" i="49"/>
  <c r="C70" i="49"/>
  <c r="C71" i="49"/>
  <c r="C72" i="49"/>
  <c r="C73" i="49"/>
  <c r="C74" i="49"/>
  <c r="C75" i="49"/>
  <c r="C76" i="49"/>
  <c r="C77" i="49"/>
  <c r="C78" i="49"/>
  <c r="C79" i="49"/>
  <c r="C80" i="49"/>
  <c r="C81" i="49"/>
  <c r="C82" i="49"/>
  <c r="C83" i="49"/>
  <c r="C84" i="49"/>
  <c r="C85" i="49"/>
  <c r="C86" i="49"/>
  <c r="C87" i="49"/>
  <c r="C88" i="49"/>
  <c r="C89" i="49"/>
  <c r="C90" i="49"/>
  <c r="C91" i="49"/>
  <c r="C92" i="49"/>
  <c r="C93" i="49"/>
  <c r="C94" i="49"/>
  <c r="C95" i="49"/>
  <c r="C96" i="49"/>
  <c r="C97" i="49"/>
  <c r="C98" i="49"/>
  <c r="C99" i="49"/>
  <c r="C100" i="49"/>
  <c r="C101" i="49"/>
  <c r="C102" i="49"/>
  <c r="C103" i="49"/>
  <c r="C104" i="49"/>
  <c r="C105" i="49"/>
  <c r="C106" i="49"/>
  <c r="C107" i="49"/>
  <c r="C108" i="49"/>
  <c r="C109" i="49"/>
  <c r="C110" i="49"/>
  <c r="C111" i="49"/>
  <c r="C112" i="49"/>
  <c r="C113" i="49"/>
  <c r="C114" i="49"/>
  <c r="C115" i="49"/>
  <c r="C116" i="49"/>
  <c r="C117" i="49"/>
  <c r="C118" i="49"/>
  <c r="C119" i="49"/>
  <c r="C120" i="49"/>
  <c r="C121" i="49"/>
  <c r="C122" i="49"/>
  <c r="C123" i="49"/>
  <c r="C124" i="49"/>
  <c r="C125" i="49"/>
  <c r="C126" i="49"/>
  <c r="C127" i="49"/>
  <c r="C128" i="49"/>
  <c r="C129" i="49"/>
  <c r="C130" i="49"/>
  <c r="C131" i="49"/>
  <c r="C132" i="49"/>
  <c r="C133" i="49"/>
  <c r="C134" i="49"/>
  <c r="C135" i="49"/>
  <c r="C136" i="49"/>
  <c r="C137" i="49"/>
  <c r="C138" i="49"/>
  <c r="C139" i="49"/>
  <c r="C140" i="49"/>
  <c r="C141" i="49"/>
  <c r="C142" i="49"/>
  <c r="C143" i="49"/>
  <c r="C144" i="49"/>
  <c r="C145" i="49"/>
  <c r="C146" i="49"/>
  <c r="C147" i="49"/>
  <c r="C148" i="49"/>
  <c r="C149" i="49"/>
  <c r="C150" i="49"/>
  <c r="C151" i="49"/>
  <c r="C152" i="49"/>
  <c r="C153" i="49"/>
  <c r="C154" i="49"/>
  <c r="C155" i="49"/>
  <c r="C156" i="49"/>
  <c r="C157" i="49"/>
  <c r="C158" i="49"/>
  <c r="C159" i="49"/>
  <c r="C160" i="49"/>
  <c r="C161" i="49"/>
  <c r="C162" i="49"/>
  <c r="C163" i="49"/>
  <c r="C164" i="49"/>
  <c r="C165" i="49"/>
  <c r="C166" i="49"/>
  <c r="C167" i="49"/>
  <c r="C168" i="49"/>
  <c r="C169" i="49"/>
  <c r="C170" i="49"/>
  <c r="C171" i="49"/>
  <c r="C172" i="49"/>
  <c r="C173" i="49"/>
  <c r="C174" i="49"/>
  <c r="C175" i="49"/>
  <c r="C176" i="49"/>
  <c r="C177" i="49"/>
  <c r="C178" i="49"/>
  <c r="C179" i="49"/>
  <c r="C180" i="49"/>
  <c r="C181" i="49"/>
  <c r="C182" i="49"/>
  <c r="C183" i="49"/>
  <c r="C184" i="49"/>
  <c r="C185" i="49"/>
  <c r="C186" i="49"/>
  <c r="C187" i="49"/>
  <c r="C188" i="49"/>
  <c r="C189" i="49"/>
  <c r="C190" i="49"/>
  <c r="C191" i="49"/>
  <c r="C192" i="49"/>
  <c r="C193" i="49"/>
  <c r="C194" i="49"/>
  <c r="C195" i="49"/>
  <c r="C196" i="49"/>
  <c r="C197" i="49"/>
  <c r="C198" i="49"/>
  <c r="C199" i="49"/>
  <c r="C200" i="49"/>
  <c r="C201" i="49"/>
  <c r="D31" i="49"/>
  <c r="D32" i="49"/>
  <c r="D33" i="49"/>
  <c r="D34" i="49"/>
  <c r="D35" i="49"/>
  <c r="D36" i="49"/>
  <c r="D37" i="49"/>
  <c r="D38" i="49"/>
  <c r="D39" i="49"/>
  <c r="D40" i="49"/>
  <c r="D41" i="49"/>
  <c r="D42" i="49"/>
  <c r="D43" i="49"/>
  <c r="D44" i="49"/>
  <c r="D45" i="49"/>
  <c r="D46" i="49"/>
  <c r="D47" i="49"/>
  <c r="D48" i="49"/>
  <c r="D49" i="49"/>
  <c r="D50" i="49"/>
  <c r="D51" i="49"/>
  <c r="D52" i="49"/>
  <c r="D53" i="49"/>
  <c r="D54" i="49"/>
  <c r="D55" i="49"/>
  <c r="D56" i="49"/>
  <c r="D57" i="49"/>
  <c r="D58" i="49"/>
  <c r="D59" i="49"/>
  <c r="D60" i="49"/>
  <c r="D61" i="49"/>
  <c r="D62" i="49"/>
  <c r="D63" i="49"/>
  <c r="D64" i="49"/>
  <c r="D65" i="49"/>
  <c r="D66" i="49"/>
  <c r="D67" i="49"/>
  <c r="D68" i="49"/>
  <c r="D69" i="49"/>
  <c r="D70" i="49"/>
  <c r="D71" i="49"/>
  <c r="D72" i="49"/>
  <c r="D73" i="49"/>
  <c r="D74" i="49"/>
  <c r="D75" i="49"/>
  <c r="D76" i="49"/>
  <c r="D77" i="49"/>
  <c r="D78" i="49"/>
  <c r="D79" i="49"/>
  <c r="D80" i="49"/>
  <c r="D81" i="49"/>
  <c r="D82" i="49"/>
  <c r="D83" i="49"/>
  <c r="D84" i="49"/>
  <c r="D85" i="49"/>
  <c r="D86" i="49"/>
  <c r="D87" i="49"/>
  <c r="D88" i="49"/>
  <c r="D89" i="49"/>
  <c r="D90" i="49"/>
  <c r="D91" i="49"/>
  <c r="D92" i="49"/>
  <c r="D93" i="49"/>
  <c r="D94" i="49"/>
  <c r="D95" i="49"/>
  <c r="D96" i="49"/>
  <c r="D97" i="49"/>
  <c r="D98" i="49"/>
  <c r="D99" i="49"/>
  <c r="D100" i="49"/>
  <c r="D101" i="49"/>
  <c r="D102" i="49"/>
  <c r="D103" i="49"/>
  <c r="D104" i="49"/>
  <c r="D105" i="49"/>
  <c r="D106" i="49"/>
  <c r="D107" i="49"/>
  <c r="D108" i="49"/>
  <c r="D109" i="49"/>
  <c r="D110" i="49"/>
  <c r="D111" i="49"/>
  <c r="D112" i="49"/>
  <c r="D113" i="49"/>
  <c r="D114" i="49"/>
  <c r="D115" i="49"/>
  <c r="D116" i="49"/>
  <c r="D117" i="49"/>
  <c r="D118" i="49"/>
  <c r="D119" i="49"/>
  <c r="D120" i="49"/>
  <c r="D121" i="49"/>
  <c r="D122" i="49"/>
  <c r="D123" i="49"/>
  <c r="D124" i="49"/>
  <c r="D125" i="49"/>
  <c r="D126" i="49"/>
  <c r="D127" i="49"/>
  <c r="D128" i="49"/>
  <c r="D129" i="49"/>
  <c r="D130" i="49"/>
  <c r="D131" i="49"/>
  <c r="D132" i="49"/>
  <c r="D133" i="49"/>
  <c r="D134" i="49"/>
  <c r="D135" i="49"/>
  <c r="D136" i="49"/>
  <c r="D137" i="49"/>
  <c r="D138" i="49"/>
  <c r="D139" i="49"/>
  <c r="D140" i="49"/>
  <c r="D141" i="49"/>
  <c r="D142" i="49"/>
  <c r="D143" i="49"/>
  <c r="D144" i="49"/>
  <c r="D145" i="49"/>
  <c r="D146" i="49"/>
  <c r="D147" i="49"/>
  <c r="D148" i="49"/>
  <c r="D149" i="49"/>
  <c r="D150" i="49"/>
  <c r="D151" i="49"/>
  <c r="D152" i="49"/>
  <c r="D153" i="49"/>
  <c r="D154" i="49"/>
  <c r="D155" i="49"/>
  <c r="D156" i="49"/>
  <c r="D157" i="49"/>
  <c r="D158" i="49"/>
  <c r="D159" i="49"/>
  <c r="D160" i="49"/>
  <c r="D161" i="49"/>
  <c r="D162" i="49"/>
  <c r="D163" i="49"/>
  <c r="D164" i="49"/>
  <c r="D165" i="49"/>
  <c r="D166" i="49"/>
  <c r="D167" i="49"/>
  <c r="D168" i="49"/>
  <c r="D169" i="49"/>
  <c r="D170" i="49"/>
  <c r="D171" i="49"/>
  <c r="D172" i="49"/>
  <c r="D173" i="49"/>
  <c r="D174" i="49"/>
  <c r="D175" i="49"/>
  <c r="D176" i="49"/>
  <c r="D177" i="49"/>
  <c r="D178" i="49"/>
  <c r="D179" i="49"/>
  <c r="D180" i="49"/>
  <c r="D181" i="49"/>
  <c r="D182" i="49"/>
  <c r="D183" i="49"/>
  <c r="D184" i="49"/>
  <c r="D185" i="49"/>
  <c r="D186" i="49"/>
  <c r="D187" i="49"/>
  <c r="D188" i="49"/>
  <c r="D189" i="49"/>
  <c r="D190" i="49"/>
  <c r="D191" i="49"/>
  <c r="D192" i="49"/>
  <c r="D193" i="49"/>
  <c r="D194" i="49"/>
  <c r="D195" i="49"/>
  <c r="D196" i="49"/>
  <c r="D197" i="49"/>
  <c r="D198" i="49"/>
  <c r="D199" i="49"/>
  <c r="D200" i="49"/>
  <c r="D201" i="49"/>
  <c r="E31" i="49"/>
  <c r="E32" i="49"/>
  <c r="E33" i="49"/>
  <c r="E34" i="49"/>
  <c r="E35" i="49"/>
  <c r="E36" i="49"/>
  <c r="E37" i="49"/>
  <c r="E38" i="49"/>
  <c r="E39" i="49"/>
  <c r="E40" i="49"/>
  <c r="E41" i="49"/>
  <c r="E42" i="49"/>
  <c r="E43" i="49"/>
  <c r="E44" i="49"/>
  <c r="E45" i="49"/>
  <c r="E46" i="49"/>
  <c r="E47" i="49"/>
  <c r="E48" i="49"/>
  <c r="E49" i="49"/>
  <c r="E50" i="49"/>
  <c r="E51" i="49"/>
  <c r="E52" i="49"/>
  <c r="E53" i="49"/>
  <c r="E54" i="49"/>
  <c r="E55" i="49"/>
  <c r="E56" i="49"/>
  <c r="E57" i="49"/>
  <c r="E58" i="49"/>
  <c r="E59" i="49"/>
  <c r="E60" i="49"/>
  <c r="E61" i="49"/>
  <c r="E62" i="49"/>
  <c r="E63" i="49"/>
  <c r="E64" i="49"/>
  <c r="E65" i="49"/>
  <c r="E66" i="49"/>
  <c r="E67" i="49"/>
  <c r="E68" i="49"/>
  <c r="E69" i="49"/>
  <c r="E70" i="49"/>
  <c r="E71" i="49"/>
  <c r="E72" i="49"/>
  <c r="E73" i="49"/>
  <c r="E74" i="49"/>
  <c r="E75" i="49"/>
  <c r="E76" i="49"/>
  <c r="E77" i="49"/>
  <c r="E78" i="49"/>
  <c r="E79" i="49"/>
  <c r="E80" i="49"/>
  <c r="E81" i="49"/>
  <c r="E82" i="49"/>
  <c r="E83" i="49"/>
  <c r="E84" i="49"/>
  <c r="E85" i="49"/>
  <c r="E86" i="49"/>
  <c r="E87" i="49"/>
  <c r="E88" i="49"/>
  <c r="E89" i="49"/>
  <c r="E90" i="49"/>
  <c r="E91" i="49"/>
  <c r="E92" i="49"/>
  <c r="E93" i="49"/>
  <c r="E94" i="49"/>
  <c r="E95" i="49"/>
  <c r="E96" i="49"/>
  <c r="E97" i="49"/>
  <c r="E98" i="49"/>
  <c r="E99" i="49"/>
  <c r="E100" i="49"/>
  <c r="E101" i="49"/>
  <c r="E102" i="49"/>
  <c r="E103" i="49"/>
  <c r="E104" i="49"/>
  <c r="E105" i="49"/>
  <c r="E106" i="49"/>
  <c r="E107" i="49"/>
  <c r="E108" i="49"/>
  <c r="E109" i="49"/>
  <c r="E110" i="49"/>
  <c r="E111" i="49"/>
  <c r="E112" i="49"/>
  <c r="E113" i="49"/>
  <c r="E114" i="49"/>
  <c r="E115" i="49"/>
  <c r="E116" i="49"/>
  <c r="E117" i="49"/>
  <c r="E118" i="49"/>
  <c r="E119" i="49"/>
  <c r="E120" i="49"/>
  <c r="E121" i="49"/>
  <c r="E122" i="49"/>
  <c r="E123" i="49"/>
  <c r="E124" i="49"/>
  <c r="E125" i="49"/>
  <c r="E126" i="49"/>
  <c r="E127" i="49"/>
  <c r="E128" i="49"/>
  <c r="E129" i="49"/>
  <c r="E130" i="49"/>
  <c r="E131" i="49"/>
  <c r="E132" i="49"/>
  <c r="E133" i="49"/>
  <c r="E134" i="49"/>
  <c r="E135" i="49"/>
  <c r="E136" i="49"/>
  <c r="E137" i="49"/>
  <c r="E138" i="49"/>
  <c r="E139" i="49"/>
  <c r="E140" i="49"/>
  <c r="E141" i="49"/>
  <c r="E142" i="49"/>
  <c r="E143" i="49"/>
  <c r="E144" i="49"/>
  <c r="E145" i="49"/>
  <c r="E146" i="49"/>
  <c r="E147" i="49"/>
  <c r="E148" i="49"/>
  <c r="E149" i="49"/>
  <c r="E150" i="49"/>
  <c r="E151" i="49"/>
  <c r="E152" i="49"/>
  <c r="E153" i="49"/>
  <c r="E154" i="49"/>
  <c r="E155" i="49"/>
  <c r="E156" i="49"/>
  <c r="E157" i="49"/>
  <c r="E158" i="49"/>
  <c r="E159" i="49"/>
  <c r="E160" i="49"/>
  <c r="E161" i="49"/>
  <c r="E162" i="49"/>
  <c r="E163" i="49"/>
  <c r="E164" i="49"/>
  <c r="E165" i="49"/>
  <c r="E166" i="49"/>
  <c r="E167" i="49"/>
  <c r="E168" i="49"/>
  <c r="E169" i="49"/>
  <c r="E170" i="49"/>
  <c r="E171" i="49"/>
  <c r="E172" i="49"/>
  <c r="E173" i="49"/>
  <c r="E174" i="49"/>
  <c r="E175" i="49"/>
  <c r="E176" i="49"/>
  <c r="E177" i="49"/>
  <c r="E178" i="49"/>
  <c r="E179" i="49"/>
  <c r="E180" i="49"/>
  <c r="E181" i="49"/>
  <c r="E182" i="49"/>
  <c r="E183" i="49"/>
  <c r="E184" i="49"/>
  <c r="E185" i="49"/>
  <c r="E186" i="49"/>
  <c r="E187" i="49"/>
  <c r="E188" i="49"/>
  <c r="E189" i="49"/>
  <c r="E190" i="49"/>
  <c r="E191" i="49"/>
  <c r="E192" i="49"/>
  <c r="E193" i="49"/>
  <c r="E194" i="49"/>
  <c r="E195" i="49"/>
  <c r="E196" i="49"/>
  <c r="E197" i="49"/>
  <c r="E198" i="49"/>
  <c r="E199" i="49"/>
  <c r="E200" i="49"/>
  <c r="E201" i="49"/>
  <c r="F31" i="49"/>
  <c r="F32" i="49"/>
  <c r="F33" i="49"/>
  <c r="F34" i="49"/>
  <c r="F35" i="49"/>
  <c r="F36" i="49"/>
  <c r="F37" i="49"/>
  <c r="F38" i="49"/>
  <c r="F39" i="49"/>
  <c r="F40" i="49"/>
  <c r="F41" i="49"/>
  <c r="F42" i="49"/>
  <c r="F43" i="49"/>
  <c r="F44" i="49"/>
  <c r="F45" i="49"/>
  <c r="F46" i="49"/>
  <c r="F47" i="49"/>
  <c r="F48" i="49"/>
  <c r="F49" i="49"/>
  <c r="F50" i="49"/>
  <c r="F51" i="49"/>
  <c r="F52" i="49"/>
  <c r="F53" i="49"/>
  <c r="F54" i="49"/>
  <c r="F55" i="49"/>
  <c r="F56" i="49"/>
  <c r="F57" i="49"/>
  <c r="F58" i="49"/>
  <c r="F59" i="49"/>
  <c r="F60" i="49"/>
  <c r="F61" i="49"/>
  <c r="F62" i="49"/>
  <c r="F63" i="49"/>
  <c r="F64" i="49"/>
  <c r="F65" i="49"/>
  <c r="F66" i="49"/>
  <c r="F67" i="49"/>
  <c r="F68" i="49"/>
  <c r="F69" i="49"/>
  <c r="F70" i="49"/>
  <c r="F71" i="49"/>
  <c r="F72" i="49"/>
  <c r="F73" i="49"/>
  <c r="F74" i="49"/>
  <c r="F75" i="49"/>
  <c r="F76" i="49"/>
  <c r="F77" i="49"/>
  <c r="F78" i="49"/>
  <c r="F79" i="49"/>
  <c r="F80" i="49"/>
  <c r="F81" i="49"/>
  <c r="F82" i="49"/>
  <c r="F83" i="49"/>
  <c r="F84" i="49"/>
  <c r="F85" i="49"/>
  <c r="F86" i="49"/>
  <c r="F87" i="49"/>
  <c r="F88" i="49"/>
  <c r="F89" i="49"/>
  <c r="F90" i="49"/>
  <c r="F91" i="49"/>
  <c r="F92" i="49"/>
  <c r="F93" i="49"/>
  <c r="F94" i="49"/>
  <c r="F95" i="49"/>
  <c r="F96" i="49"/>
  <c r="F97" i="49"/>
  <c r="F98" i="49"/>
  <c r="F99" i="49"/>
  <c r="F100" i="49"/>
  <c r="F101" i="49"/>
  <c r="F102" i="49"/>
  <c r="F103" i="49"/>
  <c r="F104" i="49"/>
  <c r="F105" i="49"/>
  <c r="F106" i="49"/>
  <c r="F107" i="49"/>
  <c r="F108" i="49"/>
  <c r="F109" i="49"/>
  <c r="F110" i="49"/>
  <c r="F111" i="49"/>
  <c r="F112" i="49"/>
  <c r="F113" i="49"/>
  <c r="F114" i="49"/>
  <c r="F115" i="49"/>
  <c r="F116" i="49"/>
  <c r="F117" i="49"/>
  <c r="F118" i="49"/>
  <c r="F119" i="49"/>
  <c r="F120" i="49"/>
  <c r="F121" i="49"/>
  <c r="F122" i="49"/>
  <c r="F123" i="49"/>
  <c r="F124" i="49"/>
  <c r="F125" i="49"/>
  <c r="F126" i="49"/>
  <c r="F127" i="49"/>
  <c r="F128" i="49"/>
  <c r="F129" i="49"/>
  <c r="F130" i="49"/>
  <c r="F131" i="49"/>
  <c r="F132" i="49"/>
  <c r="F133" i="49"/>
  <c r="F134" i="49"/>
  <c r="F135" i="49"/>
  <c r="F136" i="49"/>
  <c r="F137" i="49"/>
  <c r="F138" i="49"/>
  <c r="F139" i="49"/>
  <c r="F140" i="49"/>
  <c r="F141" i="49"/>
  <c r="F142" i="49"/>
  <c r="F143" i="49"/>
  <c r="F144" i="49"/>
  <c r="F145" i="49"/>
  <c r="F146" i="49"/>
  <c r="F147" i="49"/>
  <c r="F148" i="49"/>
  <c r="F149" i="49"/>
  <c r="F150" i="49"/>
  <c r="F151" i="49"/>
  <c r="F152" i="49"/>
  <c r="F153" i="49"/>
  <c r="F154" i="49"/>
  <c r="F155" i="49"/>
  <c r="F156" i="49"/>
  <c r="F157" i="49"/>
  <c r="F158" i="49"/>
  <c r="F159" i="49"/>
  <c r="F160" i="49"/>
  <c r="F161" i="49"/>
  <c r="F162" i="49"/>
  <c r="F163" i="49"/>
  <c r="F164" i="49"/>
  <c r="F165" i="49"/>
  <c r="F166" i="49"/>
  <c r="F167" i="49"/>
  <c r="F168" i="49"/>
  <c r="F169" i="49"/>
  <c r="F170" i="49"/>
  <c r="F171" i="49"/>
  <c r="F172" i="49"/>
  <c r="F173" i="49"/>
  <c r="F174" i="49"/>
  <c r="F175" i="49"/>
  <c r="F176" i="49"/>
  <c r="F177" i="49"/>
  <c r="F178" i="49"/>
  <c r="F179" i="49"/>
  <c r="F180" i="49"/>
  <c r="F181" i="49"/>
  <c r="F182" i="49"/>
  <c r="F183" i="49"/>
  <c r="F184" i="49"/>
  <c r="F185" i="49"/>
  <c r="F186" i="49"/>
  <c r="F187" i="49"/>
  <c r="F188" i="49"/>
  <c r="F189" i="49"/>
  <c r="F190" i="49"/>
  <c r="F191" i="49"/>
  <c r="F192" i="49"/>
  <c r="F193" i="49"/>
  <c r="F194" i="49"/>
  <c r="F195" i="49"/>
  <c r="F196" i="49"/>
  <c r="F197" i="49"/>
  <c r="F198" i="49"/>
  <c r="F199" i="49"/>
  <c r="F200" i="49"/>
  <c r="F201" i="49"/>
  <c r="G31" i="49"/>
  <c r="G32" i="49"/>
  <c r="G33" i="49"/>
  <c r="G34" i="49"/>
  <c r="G35" i="49"/>
  <c r="G36" i="49"/>
  <c r="G37" i="49"/>
  <c r="G38" i="49"/>
  <c r="G39" i="49"/>
  <c r="G40" i="49"/>
  <c r="G41" i="49"/>
  <c r="G42" i="49"/>
  <c r="G43" i="49"/>
  <c r="G44" i="49"/>
  <c r="G45" i="49"/>
  <c r="G46" i="49"/>
  <c r="G47" i="49"/>
  <c r="G48" i="49"/>
  <c r="G49" i="49"/>
  <c r="G50" i="49"/>
  <c r="G51" i="49"/>
  <c r="G52" i="49"/>
  <c r="G53" i="49"/>
  <c r="G54" i="49"/>
  <c r="G55" i="49"/>
  <c r="G56" i="49"/>
  <c r="G57" i="49"/>
  <c r="G58" i="49"/>
  <c r="G59" i="49"/>
  <c r="G60" i="49"/>
  <c r="G61" i="49"/>
  <c r="G62" i="49"/>
  <c r="G63" i="49"/>
  <c r="G64" i="49"/>
  <c r="G65" i="49"/>
  <c r="G66" i="49"/>
  <c r="G67" i="49"/>
  <c r="G68" i="49"/>
  <c r="G69" i="49"/>
  <c r="G70" i="49"/>
  <c r="G71" i="49"/>
  <c r="G72" i="49"/>
  <c r="G73" i="49"/>
  <c r="G74" i="49"/>
  <c r="G75" i="49"/>
  <c r="G76" i="49"/>
  <c r="G77" i="49"/>
  <c r="G78" i="49"/>
  <c r="G79" i="49"/>
  <c r="G80" i="49"/>
  <c r="G81" i="49"/>
  <c r="G82" i="49"/>
  <c r="G83" i="49"/>
  <c r="G84" i="49"/>
  <c r="G85" i="49"/>
  <c r="G86" i="49"/>
  <c r="G87" i="49"/>
  <c r="G88" i="49"/>
  <c r="G89" i="49"/>
  <c r="G90" i="49"/>
  <c r="G91" i="49"/>
  <c r="G92" i="49"/>
  <c r="G93" i="49"/>
  <c r="G94" i="49"/>
  <c r="G95" i="49"/>
  <c r="G96" i="49"/>
  <c r="G97" i="49"/>
  <c r="G98" i="49"/>
  <c r="G99" i="49"/>
  <c r="G100" i="49"/>
  <c r="G101" i="49"/>
  <c r="G102" i="49"/>
  <c r="G103" i="49"/>
  <c r="G104" i="49"/>
  <c r="G105" i="49"/>
  <c r="G106" i="49"/>
  <c r="G107" i="49"/>
  <c r="G108" i="49"/>
  <c r="G109" i="49"/>
  <c r="G110" i="49"/>
  <c r="G111" i="49"/>
  <c r="G112" i="49"/>
  <c r="G113" i="49"/>
  <c r="G114" i="49"/>
  <c r="G115" i="49"/>
  <c r="G116" i="49"/>
  <c r="G117" i="49"/>
  <c r="G118" i="49"/>
  <c r="G119" i="49"/>
  <c r="G120" i="49"/>
  <c r="G121" i="49"/>
  <c r="G122" i="49"/>
  <c r="G123" i="49"/>
  <c r="G124" i="49"/>
  <c r="G125" i="49"/>
  <c r="G126" i="49"/>
  <c r="G127" i="49"/>
  <c r="G128" i="49"/>
  <c r="G129" i="49"/>
  <c r="G130" i="49"/>
  <c r="G131" i="49"/>
  <c r="G132" i="49"/>
  <c r="G133" i="49"/>
  <c r="G134" i="49"/>
  <c r="G135" i="49"/>
  <c r="G136" i="49"/>
  <c r="G137" i="49"/>
  <c r="G138" i="49"/>
  <c r="G139" i="49"/>
  <c r="G140" i="49"/>
  <c r="G141" i="49"/>
  <c r="G142" i="49"/>
  <c r="G143" i="49"/>
  <c r="G144" i="49"/>
  <c r="G145" i="49"/>
  <c r="G146" i="49"/>
  <c r="G147" i="49"/>
  <c r="G148" i="49"/>
  <c r="G149" i="49"/>
  <c r="G150" i="49"/>
  <c r="G151" i="49"/>
  <c r="G152" i="49"/>
  <c r="G153" i="49"/>
  <c r="G154" i="49"/>
  <c r="G155" i="49"/>
  <c r="G156" i="49"/>
  <c r="G157" i="49"/>
  <c r="G158" i="49"/>
  <c r="G159" i="49"/>
  <c r="G160" i="49"/>
  <c r="G161" i="49"/>
  <c r="G162" i="49"/>
  <c r="G163" i="49"/>
  <c r="G164" i="49"/>
  <c r="G165" i="49"/>
  <c r="G166" i="49"/>
  <c r="G167" i="49"/>
  <c r="G168" i="49"/>
  <c r="G169" i="49"/>
  <c r="G170" i="49"/>
  <c r="G171" i="49"/>
  <c r="G172" i="49"/>
  <c r="G173" i="49"/>
  <c r="G174" i="49"/>
  <c r="G175" i="49"/>
  <c r="G176" i="49"/>
  <c r="G177" i="49"/>
  <c r="G178" i="49"/>
  <c r="G179" i="49"/>
  <c r="G180" i="49"/>
  <c r="G181" i="49"/>
  <c r="G182" i="49"/>
  <c r="G183" i="49"/>
  <c r="G184" i="49"/>
  <c r="G185" i="49"/>
  <c r="G186" i="49"/>
  <c r="G187" i="49"/>
  <c r="G188" i="49"/>
  <c r="G189" i="49"/>
  <c r="G190" i="49"/>
  <c r="G191" i="49"/>
  <c r="G192" i="49"/>
  <c r="G193" i="49"/>
  <c r="G194" i="49"/>
  <c r="G195" i="49"/>
  <c r="G196" i="49"/>
  <c r="G197" i="49"/>
  <c r="G198" i="49"/>
  <c r="G199" i="49"/>
  <c r="G200" i="49"/>
  <c r="G201" i="49"/>
  <c r="B22" i="37"/>
  <c r="B23" i="37"/>
  <c r="B24" i="37"/>
  <c r="B25" i="37"/>
  <c r="B26" i="37"/>
  <c r="B27" i="37"/>
  <c r="B28" i="37"/>
  <c r="B29" i="37"/>
  <c r="B30" i="37"/>
  <c r="B31" i="37"/>
  <c r="B32" i="37"/>
  <c r="B33" i="37"/>
  <c r="B34" i="37"/>
  <c r="B35" i="37"/>
  <c r="B36" i="37"/>
  <c r="B37" i="37"/>
  <c r="B38" i="37"/>
  <c r="B39" i="37"/>
  <c r="B40" i="37"/>
  <c r="B41" i="37"/>
  <c r="B42" i="37"/>
  <c r="B43" i="37"/>
  <c r="B44" i="37"/>
  <c r="B45" i="37"/>
  <c r="B46" i="37"/>
  <c r="B47" i="37"/>
  <c r="B48" i="37"/>
  <c r="B49" i="37"/>
  <c r="B50" i="37"/>
  <c r="B51" i="37"/>
  <c r="B52" i="37"/>
  <c r="B53" i="37"/>
  <c r="B54" i="37"/>
  <c r="B55" i="37"/>
  <c r="B56" i="37"/>
  <c r="B57" i="37"/>
  <c r="B58" i="37"/>
  <c r="B59" i="37"/>
  <c r="B60" i="37"/>
  <c r="B61" i="37"/>
  <c r="B62" i="37"/>
  <c r="B63" i="37"/>
  <c r="B64" i="37"/>
  <c r="B65" i="37"/>
  <c r="B66" i="37"/>
  <c r="B67" i="37"/>
  <c r="B68" i="37"/>
  <c r="B69" i="37"/>
  <c r="B70" i="37"/>
  <c r="B71" i="37"/>
  <c r="B72" i="37"/>
  <c r="B73" i="37"/>
  <c r="B74" i="37"/>
  <c r="B75" i="37"/>
  <c r="B76" i="37"/>
  <c r="B77" i="37"/>
  <c r="B78" i="37"/>
  <c r="B79" i="37"/>
  <c r="B80" i="37"/>
  <c r="B81" i="37"/>
  <c r="B82" i="37"/>
  <c r="B83" i="37"/>
  <c r="B84" i="37"/>
  <c r="B85" i="37"/>
  <c r="B86" i="37"/>
  <c r="B87" i="37"/>
  <c r="B88" i="37"/>
  <c r="B89" i="37"/>
  <c r="B90" i="37"/>
  <c r="B91" i="37"/>
  <c r="B92" i="37"/>
  <c r="B93" i="37"/>
  <c r="B94" i="37"/>
  <c r="B95" i="37"/>
  <c r="B96" i="37"/>
  <c r="B97" i="37"/>
  <c r="B98" i="37"/>
  <c r="B99" i="37"/>
  <c r="B100" i="37"/>
  <c r="B101" i="37"/>
  <c r="B102" i="37"/>
  <c r="B103" i="37"/>
  <c r="B104" i="37"/>
  <c r="B105" i="37"/>
  <c r="B106" i="37"/>
  <c r="B107" i="37"/>
  <c r="B108" i="37"/>
  <c r="B109" i="37"/>
  <c r="B110" i="37"/>
  <c r="B111" i="37"/>
  <c r="B112" i="37"/>
  <c r="B113" i="37"/>
  <c r="B114" i="37"/>
  <c r="B115" i="37"/>
  <c r="B116" i="37"/>
  <c r="B117" i="37"/>
  <c r="B118" i="37"/>
  <c r="B119" i="37"/>
  <c r="B120" i="37"/>
  <c r="B121" i="37"/>
  <c r="B122" i="37"/>
  <c r="B123" i="37"/>
  <c r="B124" i="37"/>
  <c r="B125" i="37"/>
  <c r="B126" i="37"/>
  <c r="B127" i="37"/>
  <c r="B128" i="37"/>
  <c r="B129" i="37"/>
  <c r="B130" i="37"/>
  <c r="B131" i="37"/>
  <c r="B132" i="37"/>
  <c r="B133" i="37"/>
  <c r="B134" i="37"/>
  <c r="B135" i="37"/>
  <c r="B136" i="37"/>
  <c r="B137" i="37"/>
  <c r="B138" i="37"/>
  <c r="B139" i="37"/>
  <c r="B140" i="37"/>
  <c r="B141" i="37"/>
  <c r="B142" i="37"/>
  <c r="B143" i="37"/>
  <c r="B144" i="37"/>
  <c r="B145" i="37"/>
  <c r="B146" i="37"/>
  <c r="B147" i="37"/>
  <c r="B148" i="37"/>
  <c r="B149" i="37"/>
  <c r="B150" i="37"/>
  <c r="B151" i="37"/>
  <c r="B152" i="37"/>
  <c r="B153" i="37"/>
  <c r="B154" i="37"/>
  <c r="B155" i="37"/>
  <c r="B156" i="37"/>
  <c r="B157" i="37"/>
  <c r="B158" i="37"/>
  <c r="B159" i="37"/>
  <c r="B160" i="37"/>
  <c r="B161" i="37"/>
  <c r="B162" i="37"/>
  <c r="B163" i="37"/>
  <c r="B164" i="37"/>
  <c r="B165" i="37"/>
  <c r="B166" i="37"/>
  <c r="B167" i="37"/>
  <c r="B168" i="37"/>
  <c r="B169" i="37"/>
  <c r="B170" i="37"/>
  <c r="B171" i="37"/>
  <c r="B172" i="37"/>
  <c r="B173" i="37"/>
  <c r="B174" i="37"/>
  <c r="B175" i="37"/>
  <c r="B176" i="37"/>
  <c r="B177" i="37"/>
  <c r="B178" i="37"/>
  <c r="B179" i="37"/>
  <c r="B180" i="37"/>
  <c r="B181" i="37"/>
  <c r="B182" i="37"/>
  <c r="B183" i="37"/>
  <c r="B184" i="37"/>
  <c r="B185" i="37"/>
  <c r="B186" i="37"/>
  <c r="B187" i="37"/>
  <c r="B188" i="37"/>
  <c r="B189" i="37"/>
  <c r="B190" i="37"/>
  <c r="B191" i="37"/>
  <c r="B192" i="37"/>
  <c r="B193" i="37"/>
  <c r="B194" i="37"/>
  <c r="B195" i="37"/>
  <c r="B196" i="37"/>
  <c r="B197" i="37"/>
  <c r="B198" i="37"/>
  <c r="B199" i="37"/>
  <c r="B200" i="37"/>
  <c r="B20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C87" i="37"/>
  <c r="C88" i="37"/>
  <c r="C89" i="37"/>
  <c r="C90" i="37"/>
  <c r="C91" i="37"/>
  <c r="C92" i="37"/>
  <c r="C93" i="37"/>
  <c r="C94" i="37"/>
  <c r="C95" i="37"/>
  <c r="C96" i="37"/>
  <c r="C97" i="37"/>
  <c r="C98" i="37"/>
  <c r="C99" i="37"/>
  <c r="C100" i="37"/>
  <c r="C101" i="37"/>
  <c r="C102" i="37"/>
  <c r="C103" i="37"/>
  <c r="C104" i="37"/>
  <c r="C105" i="37"/>
  <c r="C106" i="37"/>
  <c r="C107" i="37"/>
  <c r="C108" i="37"/>
  <c r="C109" i="37"/>
  <c r="C110" i="37"/>
  <c r="C111" i="37"/>
  <c r="C112" i="37"/>
  <c r="C113" i="37"/>
  <c r="C114" i="37"/>
  <c r="C115" i="37"/>
  <c r="C116" i="37"/>
  <c r="C117" i="37"/>
  <c r="C118" i="37"/>
  <c r="C119" i="37"/>
  <c r="C120" i="37"/>
  <c r="C121" i="37"/>
  <c r="C122" i="37"/>
  <c r="C123" i="37"/>
  <c r="C124" i="37"/>
  <c r="C125" i="37"/>
  <c r="C126" i="37"/>
  <c r="C127" i="37"/>
  <c r="C128" i="37"/>
  <c r="C129" i="37"/>
  <c r="C130" i="37"/>
  <c r="C131" i="37"/>
  <c r="C132" i="37"/>
  <c r="C133" i="37"/>
  <c r="C134" i="37"/>
  <c r="C135" i="37"/>
  <c r="C136" i="37"/>
  <c r="C137" i="37"/>
  <c r="C138" i="37"/>
  <c r="C139" i="37"/>
  <c r="C140" i="37"/>
  <c r="C141" i="37"/>
  <c r="C142" i="37"/>
  <c r="C143" i="37"/>
  <c r="C144" i="37"/>
  <c r="C145" i="37"/>
  <c r="C146" i="37"/>
  <c r="C147" i="37"/>
  <c r="C148" i="37"/>
  <c r="C149" i="37"/>
  <c r="C150" i="37"/>
  <c r="C151" i="37"/>
  <c r="C152" i="37"/>
  <c r="C153" i="37"/>
  <c r="C154" i="37"/>
  <c r="C155" i="37"/>
  <c r="C156" i="37"/>
  <c r="C157" i="37"/>
  <c r="C158" i="37"/>
  <c r="C159" i="37"/>
  <c r="C160" i="37"/>
  <c r="C161" i="37"/>
  <c r="C162" i="37"/>
  <c r="C163" i="37"/>
  <c r="C164" i="37"/>
  <c r="C165" i="37"/>
  <c r="C166" i="37"/>
  <c r="C167" i="37"/>
  <c r="C168" i="37"/>
  <c r="C169" i="37"/>
  <c r="C170" i="37"/>
  <c r="C171" i="37"/>
  <c r="C172" i="37"/>
  <c r="C173" i="37"/>
  <c r="C174" i="37"/>
  <c r="C175" i="37"/>
  <c r="C176" i="37"/>
  <c r="C177" i="37"/>
  <c r="C178" i="37"/>
  <c r="C179" i="37"/>
  <c r="C180" i="37"/>
  <c r="C181" i="37"/>
  <c r="C182" i="37"/>
  <c r="C183" i="37"/>
  <c r="C184" i="37"/>
  <c r="C185" i="37"/>
  <c r="C186" i="37"/>
  <c r="C187" i="37"/>
  <c r="C188" i="37"/>
  <c r="C189" i="37"/>
  <c r="C190" i="37"/>
  <c r="C191" i="37"/>
  <c r="C192" i="37"/>
  <c r="C193" i="37"/>
  <c r="C194" i="37"/>
  <c r="C195" i="37"/>
  <c r="C196" i="37"/>
  <c r="C197" i="37"/>
  <c r="C198" i="37"/>
  <c r="C199" i="37"/>
  <c r="C200" i="37"/>
  <c r="C20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D161" i="37"/>
  <c r="D162" i="37"/>
  <c r="D163" i="37"/>
  <c r="D164" i="37"/>
  <c r="D165" i="37"/>
  <c r="D166" i="37"/>
  <c r="D167" i="37"/>
  <c r="D168" i="37"/>
  <c r="D169" i="37"/>
  <c r="D170" i="37"/>
  <c r="D171" i="37"/>
  <c r="D172" i="37"/>
  <c r="D173" i="37"/>
  <c r="D174" i="37"/>
  <c r="D175" i="37"/>
  <c r="D176" i="37"/>
  <c r="D177" i="37"/>
  <c r="D178" i="37"/>
  <c r="D179" i="37"/>
  <c r="D180" i="37"/>
  <c r="D181" i="37"/>
  <c r="D182" i="37"/>
  <c r="D183" i="37"/>
  <c r="D184" i="37"/>
  <c r="D185" i="37"/>
  <c r="D186" i="37"/>
  <c r="D187" i="37"/>
  <c r="D188" i="37"/>
  <c r="D189" i="37"/>
  <c r="D190" i="37"/>
  <c r="D191" i="37"/>
  <c r="D192" i="37"/>
  <c r="D193" i="37"/>
  <c r="D194" i="37"/>
  <c r="D195" i="37"/>
  <c r="D196" i="37"/>
  <c r="D197" i="37"/>
  <c r="D198" i="37"/>
  <c r="D199" i="37"/>
  <c r="D200" i="37"/>
  <c r="D20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50" i="37"/>
  <c r="E51" i="37"/>
  <c r="E52" i="37"/>
  <c r="E53" i="37"/>
  <c r="E54" i="37"/>
  <c r="E55" i="37"/>
  <c r="E56" i="37"/>
  <c r="E57" i="37"/>
  <c r="E58" i="37"/>
  <c r="E59" i="37"/>
  <c r="E60" i="37"/>
  <c r="E61" i="37"/>
  <c r="E62" i="37"/>
  <c r="E63" i="37"/>
  <c r="E64" i="37"/>
  <c r="E65" i="37"/>
  <c r="E66" i="37"/>
  <c r="E67" i="37"/>
  <c r="E68" i="37"/>
  <c r="E69" i="37"/>
  <c r="E70" i="37"/>
  <c r="E71" i="37"/>
  <c r="E72" i="37"/>
  <c r="E73" i="37"/>
  <c r="E74" i="37"/>
  <c r="E75" i="37"/>
  <c r="E76" i="37"/>
  <c r="E77" i="37"/>
  <c r="E78" i="37"/>
  <c r="E79" i="37"/>
  <c r="E80" i="37"/>
  <c r="E81" i="37"/>
  <c r="E82" i="37"/>
  <c r="E83" i="37"/>
  <c r="E84" i="37"/>
  <c r="E85" i="37"/>
  <c r="E86" i="37"/>
  <c r="E87" i="37"/>
  <c r="E88" i="37"/>
  <c r="E89" i="37"/>
  <c r="E90" i="37"/>
  <c r="E91" i="37"/>
  <c r="E92" i="37"/>
  <c r="E93" i="37"/>
  <c r="E94" i="37"/>
  <c r="E95" i="37"/>
  <c r="E96" i="37"/>
  <c r="E97" i="37"/>
  <c r="E98" i="37"/>
  <c r="E99" i="37"/>
  <c r="E100" i="37"/>
  <c r="E101" i="37"/>
  <c r="E102" i="37"/>
  <c r="E103" i="37"/>
  <c r="E104" i="37"/>
  <c r="E105" i="37"/>
  <c r="E106" i="37"/>
  <c r="E107" i="37"/>
  <c r="E108" i="37"/>
  <c r="E109" i="37"/>
  <c r="E110" i="37"/>
  <c r="E111" i="37"/>
  <c r="E112" i="37"/>
  <c r="E113" i="37"/>
  <c r="E114" i="37"/>
  <c r="E115" i="37"/>
  <c r="E116" i="37"/>
  <c r="E117" i="37"/>
  <c r="E118" i="37"/>
  <c r="E119" i="37"/>
  <c r="E120" i="37"/>
  <c r="E121" i="37"/>
  <c r="E122" i="37"/>
  <c r="E123" i="37"/>
  <c r="E124" i="37"/>
  <c r="E125" i="37"/>
  <c r="E126" i="37"/>
  <c r="E127" i="37"/>
  <c r="E128" i="37"/>
  <c r="E129" i="37"/>
  <c r="E130" i="37"/>
  <c r="E131" i="37"/>
  <c r="E132" i="37"/>
  <c r="E133" i="37"/>
  <c r="E134" i="37"/>
  <c r="E135" i="37"/>
  <c r="E136" i="37"/>
  <c r="E137" i="37"/>
  <c r="E138" i="37"/>
  <c r="E139" i="37"/>
  <c r="E140" i="37"/>
  <c r="E141" i="37"/>
  <c r="E142" i="37"/>
  <c r="E143" i="37"/>
  <c r="E144" i="37"/>
  <c r="E145" i="37"/>
  <c r="E146" i="37"/>
  <c r="E147" i="37"/>
  <c r="E148" i="37"/>
  <c r="E149" i="37"/>
  <c r="E150" i="37"/>
  <c r="E151" i="37"/>
  <c r="E152" i="37"/>
  <c r="E153" i="37"/>
  <c r="E154" i="37"/>
  <c r="E155" i="37"/>
  <c r="E156" i="37"/>
  <c r="E157" i="37"/>
  <c r="E158" i="37"/>
  <c r="E159" i="37"/>
  <c r="E160" i="37"/>
  <c r="E161" i="37"/>
  <c r="E162" i="37"/>
  <c r="E163" i="37"/>
  <c r="E164" i="37"/>
  <c r="E165" i="37"/>
  <c r="E166" i="37"/>
  <c r="E167" i="37"/>
  <c r="E168" i="37"/>
  <c r="E169" i="37"/>
  <c r="E170" i="37"/>
  <c r="E171" i="37"/>
  <c r="E172" i="37"/>
  <c r="E173" i="37"/>
  <c r="E174" i="37"/>
  <c r="E175" i="37"/>
  <c r="E176" i="37"/>
  <c r="E177" i="37"/>
  <c r="E178" i="37"/>
  <c r="E179" i="37"/>
  <c r="E180" i="37"/>
  <c r="E181" i="37"/>
  <c r="E182" i="37"/>
  <c r="E183" i="37"/>
  <c r="E184" i="37"/>
  <c r="E185" i="37"/>
  <c r="E186" i="37"/>
  <c r="E187" i="37"/>
  <c r="E188" i="37"/>
  <c r="E189" i="37"/>
  <c r="E190" i="37"/>
  <c r="E191" i="37"/>
  <c r="E192" i="37"/>
  <c r="E193" i="37"/>
  <c r="E194" i="37"/>
  <c r="E195" i="37"/>
  <c r="E196" i="37"/>
  <c r="E197" i="37"/>
  <c r="E198" i="37"/>
  <c r="E199" i="37"/>
  <c r="E200" i="37"/>
  <c r="E201" i="37"/>
  <c r="F22" i="37"/>
  <c r="F23" i="37"/>
  <c r="F24" i="37"/>
  <c r="F25" i="37"/>
  <c r="F26" i="37"/>
  <c r="F27" i="37"/>
  <c r="F28" i="37"/>
  <c r="F29" i="37"/>
  <c r="F30" i="37"/>
  <c r="F31" i="37"/>
  <c r="F32" i="37"/>
  <c r="F33" i="37"/>
  <c r="F34" i="37"/>
  <c r="F35" i="37"/>
  <c r="F36" i="37"/>
  <c r="F37"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114" i="37"/>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5"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169" i="37"/>
  <c r="H170" i="37"/>
  <c r="H171" i="37"/>
  <c r="H172" i="37"/>
  <c r="H173" i="37"/>
  <c r="H174" i="37"/>
  <c r="H175" i="37"/>
  <c r="H176" i="37"/>
  <c r="H177" i="37"/>
  <c r="H178" i="37"/>
  <c r="H179" i="37"/>
  <c r="H180" i="37"/>
  <c r="H181" i="37"/>
  <c r="H182" i="37"/>
  <c r="H183" i="37"/>
  <c r="H184" i="37"/>
  <c r="H185" i="37"/>
  <c r="H186" i="37"/>
  <c r="H187" i="37"/>
  <c r="H188" i="37"/>
  <c r="H189" i="37"/>
  <c r="H190" i="37"/>
  <c r="H191" i="37"/>
  <c r="H192" i="37"/>
  <c r="H193" i="37"/>
  <c r="H194" i="37"/>
  <c r="H195" i="37"/>
  <c r="H196" i="37"/>
  <c r="H197" i="37"/>
  <c r="H198" i="37"/>
  <c r="H199" i="37"/>
  <c r="H200" i="37"/>
  <c r="H20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80" i="37"/>
  <c r="I81" i="37"/>
  <c r="I82" i="37"/>
  <c r="I83" i="37"/>
  <c r="I84" i="37"/>
  <c r="I85" i="37"/>
  <c r="I86" i="37"/>
  <c r="I87" i="37"/>
  <c r="I88" i="37"/>
  <c r="I89" i="37"/>
  <c r="I90" i="37"/>
  <c r="I91" i="37"/>
  <c r="I92" i="37"/>
  <c r="I93" i="37"/>
  <c r="I94" i="37"/>
  <c r="I95" i="37"/>
  <c r="I96" i="37"/>
  <c r="I97" i="37"/>
  <c r="I98" i="37"/>
  <c r="I99" i="37"/>
  <c r="I100" i="37"/>
  <c r="I101" i="37"/>
  <c r="I102" i="37"/>
  <c r="I103" i="37"/>
  <c r="I104" i="37"/>
  <c r="I105" i="37"/>
  <c r="I106" i="37"/>
  <c r="I107" i="37"/>
  <c r="I108" i="37"/>
  <c r="I109" i="37"/>
  <c r="I110" i="37"/>
  <c r="I111" i="37"/>
  <c r="I112" i="37"/>
  <c r="I113" i="37"/>
  <c r="I114" i="37"/>
  <c r="I115" i="37"/>
  <c r="I116" i="37"/>
  <c r="I117" i="37"/>
  <c r="I118" i="37"/>
  <c r="I119" i="37"/>
  <c r="I120" i="37"/>
  <c r="I121" i="37"/>
  <c r="I122" i="37"/>
  <c r="I123" i="37"/>
  <c r="I124" i="37"/>
  <c r="I125" i="37"/>
  <c r="I126" i="37"/>
  <c r="I127" i="37"/>
  <c r="I128" i="37"/>
  <c r="I129" i="37"/>
  <c r="I130" i="37"/>
  <c r="I131" i="37"/>
  <c r="I132" i="37"/>
  <c r="I133" i="37"/>
  <c r="I134" i="37"/>
  <c r="I135" i="37"/>
  <c r="I136" i="37"/>
  <c r="I137" i="37"/>
  <c r="I138" i="37"/>
  <c r="I139" i="37"/>
  <c r="I140" i="37"/>
  <c r="I141" i="37"/>
  <c r="I142" i="37"/>
  <c r="I143" i="37"/>
  <c r="I144" i="37"/>
  <c r="I145" i="37"/>
  <c r="I146" i="37"/>
  <c r="I147" i="37"/>
  <c r="I148" i="37"/>
  <c r="I149" i="37"/>
  <c r="I150" i="37"/>
  <c r="I151" i="37"/>
  <c r="I152" i="37"/>
  <c r="I153" i="37"/>
  <c r="I154" i="37"/>
  <c r="I155" i="37"/>
  <c r="I156" i="37"/>
  <c r="I157" i="37"/>
  <c r="I158" i="37"/>
  <c r="I159" i="37"/>
  <c r="I160" i="37"/>
  <c r="I161" i="37"/>
  <c r="I162" i="37"/>
  <c r="I16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6" i="38"/>
  <c r="C167" i="38"/>
  <c r="C168" i="38"/>
  <c r="C169"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D22" i="38"/>
  <c r="D23" i="38"/>
  <c r="D24" i="38"/>
  <c r="D25" i="38"/>
  <c r="D26" i="38"/>
  <c r="D27" i="38"/>
  <c r="D28" i="38"/>
  <c r="D29" i="38"/>
  <c r="D30" i="38"/>
  <c r="D31" i="38"/>
  <c r="D32" i="38"/>
  <c r="D33" i="38"/>
  <c r="D34"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5" i="38"/>
  <c r="D66" i="38"/>
  <c r="D67" i="38"/>
  <c r="D68" i="38"/>
  <c r="D69" i="38"/>
  <c r="D70" i="38"/>
  <c r="D71" i="38"/>
  <c r="D72" i="38"/>
  <c r="D73" i="38"/>
  <c r="D74" i="38"/>
  <c r="D75" i="38"/>
  <c r="D76" i="38"/>
  <c r="D77" i="38"/>
  <c r="D78" i="38"/>
  <c r="D79" i="38"/>
  <c r="D80" i="38"/>
  <c r="D81" i="38"/>
  <c r="D82" i="38"/>
  <c r="D83" i="38"/>
  <c r="D84" i="38"/>
  <c r="D85" i="38"/>
  <c r="D86" i="38"/>
  <c r="D87" i="38"/>
  <c r="D88" i="38"/>
  <c r="D89" i="38"/>
  <c r="D90" i="38"/>
  <c r="D91" i="38"/>
  <c r="D92" i="38"/>
  <c r="D93" i="38"/>
  <c r="D94" i="38"/>
  <c r="D95" i="38"/>
  <c r="D96" i="38"/>
  <c r="D97" i="38"/>
  <c r="D98" i="38"/>
  <c r="D99" i="38"/>
  <c r="D100" i="38"/>
  <c r="D101" i="38"/>
  <c r="D102" i="38"/>
  <c r="D103" i="38"/>
  <c r="D104" i="38"/>
  <c r="D105" i="38"/>
  <c r="D106" i="38"/>
  <c r="D107" i="38"/>
  <c r="D108" i="38"/>
  <c r="D109" i="38"/>
  <c r="D110" i="38"/>
  <c r="D111" i="38"/>
  <c r="D112" i="38"/>
  <c r="D113" i="38"/>
  <c r="D114" i="38"/>
  <c r="D115" i="38"/>
  <c r="D116" i="38"/>
  <c r="D117" i="38"/>
  <c r="D118" i="38"/>
  <c r="D119" i="38"/>
  <c r="D120" i="38"/>
  <c r="D121" i="38"/>
  <c r="D122" i="38"/>
  <c r="D123" i="38"/>
  <c r="D124" i="38"/>
  <c r="D125" i="38"/>
  <c r="D126" i="38"/>
  <c r="D127" i="38"/>
  <c r="D128" i="38"/>
  <c r="D129" i="38"/>
  <c r="D130" i="38"/>
  <c r="D131" i="38"/>
  <c r="D132" i="38"/>
  <c r="D133" i="38"/>
  <c r="D134" i="38"/>
  <c r="D135" i="38"/>
  <c r="D136" i="38"/>
  <c r="D137" i="38"/>
  <c r="D138" i="38"/>
  <c r="D139" i="38"/>
  <c r="D140" i="38"/>
  <c r="D141" i="38"/>
  <c r="D142" i="38"/>
  <c r="D143" i="38"/>
  <c r="D144" i="38"/>
  <c r="D145" i="38"/>
  <c r="D146" i="38"/>
  <c r="D147" i="38"/>
  <c r="D148" i="38"/>
  <c r="D149" i="38"/>
  <c r="D150" i="38"/>
  <c r="D151" i="38"/>
  <c r="D152" i="38"/>
  <c r="D153" i="38"/>
  <c r="D154" i="38"/>
  <c r="D155" i="38"/>
  <c r="D156" i="38"/>
  <c r="D157" i="38"/>
  <c r="D158" i="38"/>
  <c r="D159" i="38"/>
  <c r="D160" i="38"/>
  <c r="D161" i="38"/>
  <c r="D162" i="38"/>
  <c r="D163" i="38"/>
  <c r="D164" i="38"/>
  <c r="D165" i="38"/>
  <c r="D166" i="38"/>
  <c r="D167" i="38"/>
  <c r="D168" i="38"/>
  <c r="D169" i="38"/>
  <c r="D170" i="38"/>
  <c r="D171" i="38"/>
  <c r="D172" i="38"/>
  <c r="D173" i="38"/>
  <c r="D174" i="38"/>
  <c r="D175" i="38"/>
  <c r="D176" i="38"/>
  <c r="D177" i="38"/>
  <c r="D178" i="38"/>
  <c r="D179" i="38"/>
  <c r="D180" i="38"/>
  <c r="D181" i="38"/>
  <c r="D182" i="38"/>
  <c r="D183" i="38"/>
  <c r="D184" i="38"/>
  <c r="D185" i="38"/>
  <c r="D186" i="38"/>
  <c r="D187" i="38"/>
  <c r="D188" i="38"/>
  <c r="D189" i="38"/>
  <c r="D190" i="38"/>
  <c r="D191" i="38"/>
  <c r="D192" i="38"/>
  <c r="D193" i="38"/>
  <c r="D194" i="38"/>
  <c r="D195" i="38"/>
  <c r="D196" i="38"/>
  <c r="D197" i="38"/>
  <c r="D198" i="38"/>
  <c r="D199" i="38"/>
  <c r="D200" i="38"/>
  <c r="D201" i="38"/>
  <c r="E22" i="38"/>
  <c r="E23" i="38"/>
  <c r="E24" i="38"/>
  <c r="E25" i="38"/>
  <c r="E26" i="38"/>
  <c r="E27" i="38"/>
  <c r="E28" i="38"/>
  <c r="E29" i="38"/>
  <c r="E30" i="38"/>
  <c r="E31" i="38"/>
  <c r="E32" i="38"/>
  <c r="E33" i="38"/>
  <c r="E34" i="38"/>
  <c r="E35" i="38"/>
  <c r="E36" i="38"/>
  <c r="E37" i="38"/>
  <c r="E38" i="38"/>
  <c r="E39" i="38"/>
  <c r="E40" i="38"/>
  <c r="E41" i="38"/>
  <c r="E42" i="38"/>
  <c r="E43" i="38"/>
  <c r="E44" i="38"/>
  <c r="E45" i="38"/>
  <c r="E46" i="38"/>
  <c r="E47" i="38"/>
  <c r="E48" i="38"/>
  <c r="E49" i="38"/>
  <c r="E50" i="38"/>
  <c r="E51" i="38"/>
  <c r="E52" i="38"/>
  <c r="E53" i="38"/>
  <c r="E54" i="38"/>
  <c r="E55" i="38"/>
  <c r="E56" i="38"/>
  <c r="E57" i="38"/>
  <c r="E58" i="38"/>
  <c r="E59" i="38"/>
  <c r="E60" i="38"/>
  <c r="E61" i="38"/>
  <c r="E62" i="38"/>
  <c r="E63" i="38"/>
  <c r="E64" i="38"/>
  <c r="E65" i="38"/>
  <c r="E66" i="38"/>
  <c r="E67" i="38"/>
  <c r="E68" i="38"/>
  <c r="E69" i="38"/>
  <c r="E70" i="38"/>
  <c r="E71" i="38"/>
  <c r="E72" i="38"/>
  <c r="E73" i="38"/>
  <c r="E74" i="38"/>
  <c r="E75" i="38"/>
  <c r="E76" i="38"/>
  <c r="E77" i="38"/>
  <c r="E78" i="38"/>
  <c r="E79" i="38"/>
  <c r="E80" i="38"/>
  <c r="E81" i="38"/>
  <c r="E82" i="38"/>
  <c r="E83" i="38"/>
  <c r="E84" i="38"/>
  <c r="E85" i="38"/>
  <c r="E86" i="38"/>
  <c r="E87" i="38"/>
  <c r="E88" i="38"/>
  <c r="E89" i="38"/>
  <c r="E90" i="38"/>
  <c r="E91" i="38"/>
  <c r="E92" i="38"/>
  <c r="E93" i="38"/>
  <c r="E94" i="38"/>
  <c r="E95" i="38"/>
  <c r="E96" i="38"/>
  <c r="E97" i="38"/>
  <c r="E98" i="38"/>
  <c r="E99" i="38"/>
  <c r="E100" i="38"/>
  <c r="E101" i="38"/>
  <c r="E102" i="38"/>
  <c r="E103" i="38"/>
  <c r="E104" i="38"/>
  <c r="E105" i="38"/>
  <c r="E106" i="38"/>
  <c r="E107" i="38"/>
  <c r="E108" i="38"/>
  <c r="E109" i="38"/>
  <c r="E110" i="38"/>
  <c r="E111" i="38"/>
  <c r="E112" i="38"/>
  <c r="E113" i="38"/>
  <c r="E114" i="38"/>
  <c r="E115" i="38"/>
  <c r="E116" i="38"/>
  <c r="E117" i="38"/>
  <c r="E118" i="38"/>
  <c r="E119" i="38"/>
  <c r="E120" i="38"/>
  <c r="E121" i="38"/>
  <c r="E122" i="38"/>
  <c r="E123" i="38"/>
  <c r="E124" i="38"/>
  <c r="E125" i="38"/>
  <c r="E126" i="38"/>
  <c r="E127" i="38"/>
  <c r="E128" i="38"/>
  <c r="E129" i="38"/>
  <c r="E130" i="38"/>
  <c r="E131" i="38"/>
  <c r="E132" i="38"/>
  <c r="E133" i="38"/>
  <c r="E134" i="38"/>
  <c r="E135" i="38"/>
  <c r="E136" i="38"/>
  <c r="E137" i="38"/>
  <c r="E138" i="38"/>
  <c r="E139" i="38"/>
  <c r="E140" i="38"/>
  <c r="E141" i="38"/>
  <c r="E142" i="38"/>
  <c r="E143" i="38"/>
  <c r="E144" i="38"/>
  <c r="E145" i="38"/>
  <c r="E146" i="38"/>
  <c r="E147" i="38"/>
  <c r="E148" i="38"/>
  <c r="E149" i="38"/>
  <c r="E150" i="38"/>
  <c r="E151" i="38"/>
  <c r="E152" i="38"/>
  <c r="E153" i="38"/>
  <c r="E154" i="38"/>
  <c r="E155" i="38"/>
  <c r="E156" i="38"/>
  <c r="E157" i="38"/>
  <c r="E158" i="38"/>
  <c r="E159" i="38"/>
  <c r="E160" i="38"/>
  <c r="E161" i="38"/>
  <c r="E162" i="38"/>
  <c r="E163" i="38"/>
  <c r="E164" i="38"/>
  <c r="E165" i="38"/>
  <c r="E166" i="38"/>
  <c r="E167" i="38"/>
  <c r="E168" i="38"/>
  <c r="E169" i="38"/>
  <c r="E170" i="38"/>
  <c r="E171" i="38"/>
  <c r="E172" i="38"/>
  <c r="E173" i="38"/>
  <c r="E174" i="38"/>
  <c r="E175" i="38"/>
  <c r="E176" i="38"/>
  <c r="E177" i="38"/>
  <c r="E178" i="38"/>
  <c r="E179" i="38"/>
  <c r="E180" i="38"/>
  <c r="E181" i="38"/>
  <c r="E182" i="38"/>
  <c r="E183" i="38"/>
  <c r="E184" i="38"/>
  <c r="E185" i="38"/>
  <c r="E186" i="38"/>
  <c r="E187" i="38"/>
  <c r="E188" i="38"/>
  <c r="E189" i="38"/>
  <c r="E190" i="38"/>
  <c r="E191" i="38"/>
  <c r="E192" i="38"/>
  <c r="E193" i="38"/>
  <c r="E194" i="38"/>
  <c r="E195" i="38"/>
  <c r="E196" i="38"/>
  <c r="E197" i="38"/>
  <c r="E198" i="38"/>
  <c r="E199" i="38"/>
  <c r="E200" i="38"/>
  <c r="E201" i="38"/>
  <c r="F22" i="38"/>
  <c r="F23" i="38"/>
  <c r="F24" i="38"/>
  <c r="F25" i="38"/>
  <c r="F26" i="38"/>
  <c r="F27" i="38"/>
  <c r="F28" i="38"/>
  <c r="F29" i="38"/>
  <c r="F30" i="38"/>
  <c r="F31" i="38"/>
  <c r="F32" i="38"/>
  <c r="F33" i="38"/>
  <c r="F34" i="38"/>
  <c r="F35" i="38"/>
  <c r="F36" i="38"/>
  <c r="F37" i="38"/>
  <c r="F38" i="38"/>
  <c r="F39" i="38"/>
  <c r="F40" i="38"/>
  <c r="F41" i="38"/>
  <c r="F42" i="38"/>
  <c r="F43" i="38"/>
  <c r="F44" i="38"/>
  <c r="F45" i="38"/>
  <c r="F46" i="38"/>
  <c r="F47" i="38"/>
  <c r="F48" i="38"/>
  <c r="F49" i="38"/>
  <c r="F50" i="38"/>
  <c r="F51" i="38"/>
  <c r="F52" i="38"/>
  <c r="F53" i="38"/>
  <c r="F54" i="38"/>
  <c r="F55" i="38"/>
  <c r="F56" i="38"/>
  <c r="F57" i="38"/>
  <c r="F58" i="38"/>
  <c r="F59" i="38"/>
  <c r="F60" i="38"/>
  <c r="F61" i="38"/>
  <c r="F62" i="38"/>
  <c r="F63" i="38"/>
  <c r="F64" i="38"/>
  <c r="F65" i="38"/>
  <c r="F66" i="38"/>
  <c r="F67" i="38"/>
  <c r="F68" i="38"/>
  <c r="F69" i="38"/>
  <c r="F70" i="38"/>
  <c r="F71" i="38"/>
  <c r="F72" i="38"/>
  <c r="F73" i="38"/>
  <c r="F74" i="38"/>
  <c r="F75" i="38"/>
  <c r="F76" i="38"/>
  <c r="F77" i="38"/>
  <c r="F78" i="38"/>
  <c r="F79" i="38"/>
  <c r="F80" i="38"/>
  <c r="F81" i="38"/>
  <c r="F82" i="38"/>
  <c r="F83" i="38"/>
  <c r="F84" i="38"/>
  <c r="F85" i="38"/>
  <c r="F86" i="38"/>
  <c r="F87" i="38"/>
  <c r="F88" i="38"/>
  <c r="F89" i="38"/>
  <c r="F90" i="38"/>
  <c r="F91" i="38"/>
  <c r="F92" i="38"/>
  <c r="F93" i="38"/>
  <c r="F94" i="38"/>
  <c r="F95" i="38"/>
  <c r="F96" i="38"/>
  <c r="F97" i="38"/>
  <c r="F98" i="38"/>
  <c r="F99" i="38"/>
  <c r="F100" i="38"/>
  <c r="F101" i="38"/>
  <c r="F102" i="38"/>
  <c r="F103" i="38"/>
  <c r="F104" i="38"/>
  <c r="F105" i="38"/>
  <c r="F106" i="38"/>
  <c r="F107" i="38"/>
  <c r="F108" i="38"/>
  <c r="F109" i="38"/>
  <c r="F110" i="38"/>
  <c r="F111" i="38"/>
  <c r="F112" i="38"/>
  <c r="F113" i="38"/>
  <c r="F114" i="38"/>
  <c r="F115" i="38"/>
  <c r="F116" i="38"/>
  <c r="F117" i="38"/>
  <c r="F118" i="38"/>
  <c r="F119" i="38"/>
  <c r="F120" i="38"/>
  <c r="F121" i="38"/>
  <c r="F122" i="38"/>
  <c r="F123" i="38"/>
  <c r="F124" i="38"/>
  <c r="F125" i="38"/>
  <c r="F126" i="38"/>
  <c r="F127" i="38"/>
  <c r="F128" i="38"/>
  <c r="F129" i="38"/>
  <c r="F130" i="38"/>
  <c r="F131" i="38"/>
  <c r="F132" i="38"/>
  <c r="F133" i="38"/>
  <c r="F134" i="38"/>
  <c r="F135" i="38"/>
  <c r="F136" i="38"/>
  <c r="F137" i="38"/>
  <c r="F138" i="38"/>
  <c r="F139" i="38"/>
  <c r="F140" i="38"/>
  <c r="F141" i="38"/>
  <c r="F142" i="38"/>
  <c r="F143" i="38"/>
  <c r="F144" i="38"/>
  <c r="F145" i="38"/>
  <c r="F146" i="38"/>
  <c r="F147" i="38"/>
  <c r="F148" i="38"/>
  <c r="F149" i="38"/>
  <c r="F150" i="38"/>
  <c r="F151" i="38"/>
  <c r="F152" i="38"/>
  <c r="F153" i="38"/>
  <c r="F154" i="38"/>
  <c r="F155" i="38"/>
  <c r="F156" i="38"/>
  <c r="F157" i="38"/>
  <c r="F158" i="38"/>
  <c r="F159" i="38"/>
  <c r="F160" i="38"/>
  <c r="F161" i="38"/>
  <c r="F162" i="38"/>
  <c r="F163" i="38"/>
  <c r="F164" i="38"/>
  <c r="F165" i="38"/>
  <c r="F166" i="38"/>
  <c r="F167" i="38"/>
  <c r="F168" i="38"/>
  <c r="F169" i="38"/>
  <c r="F170" i="38"/>
  <c r="F171" i="38"/>
  <c r="F172" i="38"/>
  <c r="F173" i="38"/>
  <c r="F174" i="38"/>
  <c r="F175" i="38"/>
  <c r="F176" i="38"/>
  <c r="F177" i="38"/>
  <c r="F178" i="38"/>
  <c r="F179" i="38"/>
  <c r="F180" i="38"/>
  <c r="F181" i="38"/>
  <c r="F182" i="38"/>
  <c r="F183" i="38"/>
  <c r="F184" i="38"/>
  <c r="F185" i="38"/>
  <c r="F186" i="38"/>
  <c r="F187" i="38"/>
  <c r="F188" i="38"/>
  <c r="F189" i="38"/>
  <c r="F190" i="38"/>
  <c r="F191" i="38"/>
  <c r="F192" i="38"/>
  <c r="F193" i="38"/>
  <c r="F194" i="38"/>
  <c r="F195" i="38"/>
  <c r="F196" i="38"/>
  <c r="F197" i="38"/>
  <c r="F198" i="38"/>
  <c r="F199" i="38"/>
  <c r="F200" i="38"/>
  <c r="F201" i="38"/>
  <c r="H22" i="38"/>
  <c r="H23" i="38"/>
  <c r="H24" i="38"/>
  <c r="H25" i="38"/>
  <c r="H26" i="38"/>
  <c r="H27" i="38"/>
  <c r="H28" i="38"/>
  <c r="H29" i="38"/>
  <c r="H30" i="38"/>
  <c r="H31" i="38"/>
  <c r="H32" i="38"/>
  <c r="H33" i="38"/>
  <c r="H34" i="38"/>
  <c r="H35" i="38"/>
  <c r="H36"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H120" i="38"/>
  <c r="H121" i="38"/>
  <c r="H122" i="38"/>
  <c r="H123" i="38"/>
  <c r="H124" i="38"/>
  <c r="H125" i="38"/>
  <c r="H126" i="38"/>
  <c r="H127" i="38"/>
  <c r="H128" i="38"/>
  <c r="H129" i="38"/>
  <c r="H130" i="38"/>
  <c r="H131" i="38"/>
  <c r="H132" i="38"/>
  <c r="H133" i="38"/>
  <c r="H134" i="38"/>
  <c r="H135" i="38"/>
  <c r="H136" i="38"/>
  <c r="H137" i="38"/>
  <c r="H138" i="38"/>
  <c r="H139" i="38"/>
  <c r="H140" i="38"/>
  <c r="H141" i="38"/>
  <c r="H142" i="38"/>
  <c r="H143" i="38"/>
  <c r="H144" i="38"/>
  <c r="H145" i="38"/>
  <c r="H146" i="38"/>
  <c r="H147" i="38"/>
  <c r="H148" i="38"/>
  <c r="H149" i="38"/>
  <c r="H150" i="38"/>
  <c r="H151" i="38"/>
  <c r="H152" i="38"/>
  <c r="H153" i="38"/>
  <c r="H154" i="38"/>
  <c r="H155" i="38"/>
  <c r="H156" i="38"/>
  <c r="H157" i="38"/>
  <c r="H158" i="38"/>
  <c r="H159" i="38"/>
  <c r="H160" i="38"/>
  <c r="H161" i="38"/>
  <c r="H162" i="38"/>
  <c r="H163" i="38"/>
  <c r="H164" i="38"/>
  <c r="H165" i="38"/>
  <c r="H166" i="38"/>
  <c r="H167" i="38"/>
  <c r="H168" i="38"/>
  <c r="H169" i="38"/>
  <c r="H170" i="38"/>
  <c r="H171" i="38"/>
  <c r="H172" i="38"/>
  <c r="H173" i="38"/>
  <c r="H174" i="38"/>
  <c r="H175" i="38"/>
  <c r="H176" i="38"/>
  <c r="H177" i="38"/>
  <c r="H178" i="38"/>
  <c r="H179" i="38"/>
  <c r="H180" i="38"/>
  <c r="H181" i="38"/>
  <c r="H182" i="38"/>
  <c r="H183" i="38"/>
  <c r="H184" i="38"/>
  <c r="H185" i="38"/>
  <c r="H186" i="38"/>
  <c r="H187" i="38"/>
  <c r="H188" i="38"/>
  <c r="H189" i="38"/>
  <c r="H190" i="38"/>
  <c r="H191" i="38"/>
  <c r="H192" i="38"/>
  <c r="H193" i="38"/>
  <c r="H194" i="38"/>
  <c r="H195" i="38"/>
  <c r="H196" i="38"/>
  <c r="H197" i="38"/>
  <c r="H198" i="38"/>
  <c r="H199" i="38"/>
  <c r="H200" i="38"/>
  <c r="H201" i="38"/>
  <c r="I22" i="38"/>
  <c r="I23" i="38"/>
  <c r="I24" i="38"/>
  <c r="I25" i="38"/>
  <c r="I26" i="38"/>
  <c r="I27" i="38"/>
  <c r="I28" i="38"/>
  <c r="I29" i="38"/>
  <c r="I30" i="38"/>
  <c r="I31" i="38"/>
  <c r="I32" i="38"/>
  <c r="I33" i="38"/>
  <c r="I34" i="38"/>
  <c r="I35" i="38"/>
  <c r="I36" i="38"/>
  <c r="I37" i="38"/>
  <c r="I38" i="38"/>
  <c r="I39" i="38"/>
  <c r="I40" i="38"/>
  <c r="I41" i="38"/>
  <c r="I42" i="38"/>
  <c r="I43" i="38"/>
  <c r="I44" i="38"/>
  <c r="I45" i="38"/>
  <c r="I46" i="38"/>
  <c r="I47" i="38"/>
  <c r="I48" i="38"/>
  <c r="I49" i="38"/>
  <c r="I50" i="38"/>
  <c r="I51" i="38"/>
  <c r="I52" i="38"/>
  <c r="I53" i="38"/>
  <c r="I54" i="38"/>
  <c r="I55" i="38"/>
  <c r="I56" i="38"/>
  <c r="I57" i="38"/>
  <c r="I58" i="38"/>
  <c r="I59" i="38"/>
  <c r="I60" i="38"/>
  <c r="I61" i="38"/>
  <c r="I62" i="38"/>
  <c r="I63" i="38"/>
  <c r="I64" i="38"/>
  <c r="I65" i="38"/>
  <c r="I66" i="38"/>
  <c r="I67" i="38"/>
  <c r="I68" i="38"/>
  <c r="I69" i="38"/>
  <c r="I70" i="38"/>
  <c r="I71" i="38"/>
  <c r="I72" i="38"/>
  <c r="I73" i="38"/>
  <c r="I74" i="38"/>
  <c r="I75" i="38"/>
  <c r="I76" i="38"/>
  <c r="I77" i="38"/>
  <c r="I78" i="38"/>
  <c r="I79" i="38"/>
  <c r="I80" i="38"/>
  <c r="I81" i="38"/>
  <c r="I82" i="38"/>
  <c r="I83" i="38"/>
  <c r="I84" i="38"/>
  <c r="I85" i="38"/>
  <c r="I86" i="38"/>
  <c r="I87" i="38"/>
  <c r="I88" i="38"/>
  <c r="I89" i="38"/>
  <c r="I90" i="38"/>
  <c r="I91" i="38"/>
  <c r="I92" i="38"/>
  <c r="I93" i="38"/>
  <c r="I94" i="38"/>
  <c r="I95" i="38"/>
  <c r="I96" i="38"/>
  <c r="I97" i="38"/>
  <c r="I98" i="38"/>
  <c r="I99" i="38"/>
  <c r="I100" i="38"/>
  <c r="I101" i="38"/>
  <c r="I102" i="38"/>
  <c r="I103" i="38"/>
  <c r="I104" i="38"/>
  <c r="I105" i="38"/>
  <c r="I106" i="38"/>
  <c r="I107" i="38"/>
  <c r="I108" i="38"/>
  <c r="I109" i="38"/>
  <c r="I110" i="38"/>
  <c r="I111" i="38"/>
  <c r="I112" i="38"/>
  <c r="I113" i="38"/>
  <c r="I114" i="38"/>
  <c r="I115" i="38"/>
  <c r="I116" i="38"/>
  <c r="I117" i="38"/>
  <c r="I118" i="38"/>
  <c r="I119" i="38"/>
  <c r="I120" i="38"/>
  <c r="I121" i="38"/>
  <c r="I122" i="38"/>
  <c r="I123" i="38"/>
  <c r="I124" i="38"/>
  <c r="I125" i="38"/>
  <c r="I126" i="38"/>
  <c r="I127" i="38"/>
  <c r="I128" i="38"/>
  <c r="I129" i="38"/>
  <c r="I130" i="38"/>
  <c r="I131" i="38"/>
  <c r="I132" i="38"/>
  <c r="I133" i="38"/>
  <c r="I134" i="38"/>
  <c r="I135" i="38"/>
  <c r="I136" i="38"/>
  <c r="I137" i="38"/>
  <c r="I138" i="38"/>
  <c r="I139" i="38"/>
  <c r="I140" i="38"/>
  <c r="I141" i="38"/>
  <c r="I142" i="38"/>
  <c r="I143" i="38"/>
  <c r="I144" i="38"/>
  <c r="I145" i="38"/>
  <c r="I146" i="38"/>
  <c r="I147" i="38"/>
  <c r="I148" i="38"/>
  <c r="I149" i="38"/>
  <c r="I150" i="38"/>
  <c r="I151" i="38"/>
  <c r="I152" i="38"/>
  <c r="I153" i="38"/>
  <c r="I154" i="38"/>
  <c r="I155" i="38"/>
  <c r="I156" i="38"/>
  <c r="I157" i="38"/>
  <c r="I158" i="38"/>
  <c r="I159" i="38"/>
  <c r="I160" i="38"/>
  <c r="I161" i="38"/>
  <c r="I162" i="38"/>
  <c r="I163" i="38"/>
  <c r="I164" i="38"/>
  <c r="I165" i="38"/>
  <c r="I166" i="38"/>
  <c r="I167" i="38"/>
  <c r="I168" i="38"/>
  <c r="I169" i="38"/>
  <c r="I170" i="38"/>
  <c r="I171" i="38"/>
  <c r="I172" i="38"/>
  <c r="I173" i="38"/>
  <c r="I174" i="38"/>
  <c r="I175" i="38"/>
  <c r="I176" i="38"/>
  <c r="I177" i="38"/>
  <c r="I178" i="38"/>
  <c r="I179" i="38"/>
  <c r="I180" i="38"/>
  <c r="I181" i="38"/>
  <c r="I182" i="38"/>
  <c r="I183" i="38"/>
  <c r="I184" i="38"/>
  <c r="I185" i="38"/>
  <c r="I186" i="38"/>
  <c r="I187" i="38"/>
  <c r="I188" i="38"/>
  <c r="I189" i="38"/>
  <c r="I190" i="38"/>
  <c r="I191" i="38"/>
  <c r="I192" i="38"/>
  <c r="I193" i="38"/>
  <c r="I194" i="38"/>
  <c r="I195" i="38"/>
  <c r="I196" i="38"/>
  <c r="I197" i="38"/>
  <c r="I198" i="38"/>
  <c r="I199" i="38"/>
  <c r="I200" i="38"/>
  <c r="I201" i="38"/>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173" i="19"/>
  <c r="B174" i="19"/>
  <c r="B175" i="19"/>
  <c r="B176" i="19"/>
  <c r="B177" i="19"/>
  <c r="B178" i="19"/>
  <c r="B179" i="19"/>
  <c r="B180" i="19"/>
  <c r="B181" i="19"/>
  <c r="B182" i="19"/>
  <c r="B183" i="19"/>
  <c r="B184" i="19"/>
  <c r="B185" i="19"/>
  <c r="B186" i="19"/>
  <c r="B187" i="19"/>
  <c r="B188" i="19"/>
  <c r="B189" i="19"/>
  <c r="B190" i="19"/>
  <c r="B191" i="19"/>
  <c r="B192" i="19"/>
  <c r="B193" i="19"/>
  <c r="B194" i="19"/>
  <c r="B195" i="19"/>
  <c r="B196" i="19"/>
  <c r="B197" i="19"/>
  <c r="B198" i="19"/>
  <c r="B199" i="19"/>
  <c r="B200" i="19"/>
  <c r="B20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B56" i="35"/>
  <c r="B57" i="35"/>
  <c r="B58" i="35"/>
  <c r="B59" i="35"/>
  <c r="B60" i="35"/>
  <c r="B61" i="35"/>
  <c r="B62" i="35"/>
  <c r="B63" i="35"/>
  <c r="B64" i="35"/>
  <c r="B65" i="35"/>
  <c r="B66" i="35"/>
  <c r="B67" i="35"/>
  <c r="B68" i="35"/>
  <c r="B69" i="35"/>
  <c r="B70" i="35"/>
  <c r="B71" i="35"/>
  <c r="B72" i="35"/>
  <c r="B73" i="35"/>
  <c r="B74" i="35"/>
  <c r="B75" i="35"/>
  <c r="B76" i="35"/>
  <c r="B77" i="35"/>
  <c r="B78" i="35"/>
  <c r="B79" i="35"/>
  <c r="B80" i="35"/>
  <c r="B81" i="35"/>
  <c r="B82" i="35"/>
  <c r="B83" i="35"/>
  <c r="B84" i="35"/>
  <c r="B85" i="35"/>
  <c r="B86" i="35"/>
  <c r="B87" i="35"/>
  <c r="B88" i="35"/>
  <c r="B89" i="35"/>
  <c r="B90" i="35"/>
  <c r="B91" i="35"/>
  <c r="B92" i="35"/>
  <c r="B93" i="35"/>
  <c r="B94" i="35"/>
  <c r="B95" i="35"/>
  <c r="B96" i="35"/>
  <c r="B97" i="35"/>
  <c r="B98" i="35"/>
  <c r="B99" i="35"/>
  <c r="B100" i="35"/>
  <c r="B101" i="35"/>
  <c r="B102" i="35"/>
  <c r="B103" i="35"/>
  <c r="B104" i="35"/>
  <c r="B105" i="35"/>
  <c r="B106" i="35"/>
  <c r="B107" i="35"/>
  <c r="B108" i="35"/>
  <c r="B109" i="35"/>
  <c r="B110" i="35"/>
  <c r="B111" i="35"/>
  <c r="B112" i="35"/>
  <c r="B113" i="35"/>
  <c r="B114" i="35"/>
  <c r="B115" i="35"/>
  <c r="B116" i="35"/>
  <c r="B117" i="35"/>
  <c r="B118" i="35"/>
  <c r="B119" i="35"/>
  <c r="B120" i="35"/>
  <c r="B121" i="35"/>
  <c r="B122" i="35"/>
  <c r="B123" i="35"/>
  <c r="B124" i="35"/>
  <c r="B125" i="35"/>
  <c r="B126" i="35"/>
  <c r="B127" i="35"/>
  <c r="B128" i="35"/>
  <c r="B129" i="35"/>
  <c r="B130" i="35"/>
  <c r="B131" i="35"/>
  <c r="B132" i="35"/>
  <c r="B133" i="35"/>
  <c r="B134" i="35"/>
  <c r="B135" i="35"/>
  <c r="B136" i="35"/>
  <c r="B137" i="35"/>
  <c r="B138" i="35"/>
  <c r="B139" i="35"/>
  <c r="B140" i="35"/>
  <c r="B141" i="35"/>
  <c r="B142" i="35"/>
  <c r="B143" i="35"/>
  <c r="B144" i="35"/>
  <c r="B145" i="35"/>
  <c r="B146" i="35"/>
  <c r="B147" i="35"/>
  <c r="B148" i="35"/>
  <c r="B149" i="35"/>
  <c r="B150" i="35"/>
  <c r="B151" i="35"/>
  <c r="B152" i="35"/>
  <c r="B153" i="35"/>
  <c r="B154" i="35"/>
  <c r="B155" i="35"/>
  <c r="B156" i="35"/>
  <c r="B157" i="35"/>
  <c r="B158" i="35"/>
  <c r="B159" i="35"/>
  <c r="B160" i="35"/>
  <c r="B161" i="35"/>
  <c r="B162" i="35"/>
  <c r="B163" i="35"/>
  <c r="B164" i="35"/>
  <c r="B165" i="35"/>
  <c r="B166" i="35"/>
  <c r="B167" i="35"/>
  <c r="B168" i="35"/>
  <c r="B169" i="35"/>
  <c r="B170" i="35"/>
  <c r="B171" i="35"/>
  <c r="B172" i="35"/>
  <c r="B173" i="35"/>
  <c r="B174" i="35"/>
  <c r="B175" i="35"/>
  <c r="B176" i="35"/>
  <c r="B177" i="35"/>
  <c r="B178" i="35"/>
  <c r="B179" i="35"/>
  <c r="B180" i="35"/>
  <c r="B181" i="35"/>
  <c r="B182" i="35"/>
  <c r="B183" i="35"/>
  <c r="B184" i="35"/>
  <c r="B185" i="35"/>
  <c r="B186" i="35"/>
  <c r="B187" i="35"/>
  <c r="B188" i="35"/>
  <c r="B189" i="35"/>
  <c r="B190" i="35"/>
  <c r="B191" i="35"/>
  <c r="B192" i="35"/>
  <c r="B193" i="35"/>
  <c r="B194" i="35"/>
  <c r="B195" i="35"/>
  <c r="B196" i="35"/>
  <c r="B197" i="35"/>
  <c r="B198" i="35"/>
  <c r="B199" i="35"/>
  <c r="B200" i="35"/>
  <c r="B20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01" i="35"/>
  <c r="C102" i="35"/>
  <c r="C103" i="35"/>
  <c r="C104" i="35"/>
  <c r="C105" i="35"/>
  <c r="C106" i="35"/>
  <c r="C107" i="35"/>
  <c r="C108" i="35"/>
  <c r="C109" i="35"/>
  <c r="C110" i="35"/>
  <c r="C111" i="35"/>
  <c r="C112" i="35"/>
  <c r="C113" i="35"/>
  <c r="C114" i="35"/>
  <c r="C115" i="35"/>
  <c r="C116" i="35"/>
  <c r="C117" i="35"/>
  <c r="C118" i="35"/>
  <c r="C119" i="35"/>
  <c r="C120" i="35"/>
  <c r="C121" i="35"/>
  <c r="C122" i="35"/>
  <c r="C123" i="35"/>
  <c r="C124" i="35"/>
  <c r="C125" i="35"/>
  <c r="C126" i="35"/>
  <c r="C127" i="35"/>
  <c r="C128" i="35"/>
  <c r="C129" i="35"/>
  <c r="C130" i="35"/>
  <c r="C131" i="35"/>
  <c r="C132" i="35"/>
  <c r="C133" i="35"/>
  <c r="C134" i="35"/>
  <c r="C135"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67" i="35"/>
  <c r="C168" i="35"/>
  <c r="C169" i="35"/>
  <c r="C170" i="35"/>
  <c r="C171" i="35"/>
  <c r="C172" i="35"/>
  <c r="C173" i="35"/>
  <c r="C174" i="35"/>
  <c r="C175" i="35"/>
  <c r="C176" i="35"/>
  <c r="C177" i="35"/>
  <c r="C178" i="35"/>
  <c r="C179" i="35"/>
  <c r="C180" i="35"/>
  <c r="C181" i="35"/>
  <c r="C182" i="35"/>
  <c r="C183" i="35"/>
  <c r="C184" i="35"/>
  <c r="C185" i="35"/>
  <c r="C186" i="35"/>
  <c r="C187" i="35"/>
  <c r="C188" i="35"/>
  <c r="C189" i="35"/>
  <c r="C190" i="35"/>
  <c r="C191" i="35"/>
  <c r="C192" i="35"/>
  <c r="C193" i="35"/>
  <c r="C194" i="35"/>
  <c r="C195" i="35"/>
  <c r="C196" i="35"/>
  <c r="C197" i="35"/>
  <c r="C198" i="35"/>
  <c r="C199" i="35"/>
  <c r="C200" i="35"/>
  <c r="C20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185" i="35"/>
  <c r="E186" i="35"/>
  <c r="E187" i="35"/>
  <c r="E188" i="35"/>
  <c r="E189" i="35"/>
  <c r="E190" i="35"/>
  <c r="E191" i="35"/>
  <c r="E192" i="35"/>
  <c r="E193" i="35"/>
  <c r="E194" i="35"/>
  <c r="E195" i="35"/>
  <c r="E196" i="35"/>
  <c r="E197" i="35"/>
  <c r="E198" i="35"/>
  <c r="E199" i="35"/>
  <c r="E200" i="35"/>
  <c r="E201" i="35"/>
  <c r="F22" i="35"/>
  <c r="F23" i="35"/>
  <c r="F24" i="35"/>
  <c r="F25" i="35"/>
  <c r="F26" i="35"/>
  <c r="F27" i="35"/>
  <c r="F28" i="35"/>
  <c r="F29" i="35"/>
  <c r="F30" i="35"/>
  <c r="F31" i="35"/>
  <c r="F32" i="35"/>
  <c r="F33" i="35"/>
  <c r="F34" i="35"/>
  <c r="F35" i="35"/>
  <c r="F36" i="35"/>
  <c r="F37" i="35"/>
  <c r="F38" i="35"/>
  <c r="F39" i="35"/>
  <c r="F40"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62" i="35"/>
  <c r="F163" i="35"/>
  <c r="F164" i="35"/>
  <c r="F165" i="35"/>
  <c r="F166" i="35"/>
  <c r="F167" i="35"/>
  <c r="F168" i="35"/>
  <c r="F169" i="35"/>
  <c r="F170" i="35"/>
  <c r="F171" i="35"/>
  <c r="F172" i="35"/>
  <c r="F173" i="35"/>
  <c r="F174" i="35"/>
  <c r="F175" i="35"/>
  <c r="F176" i="35"/>
  <c r="F177" i="35"/>
  <c r="F178" i="35"/>
  <c r="F179" i="35"/>
  <c r="F180" i="35"/>
  <c r="F181" i="35"/>
  <c r="F182" i="35"/>
  <c r="F183" i="35"/>
  <c r="F184" i="35"/>
  <c r="F185" i="35"/>
  <c r="F186" i="35"/>
  <c r="F187" i="35"/>
  <c r="F188" i="35"/>
  <c r="F189" i="35"/>
  <c r="F190" i="35"/>
  <c r="F191" i="35"/>
  <c r="F192" i="35"/>
  <c r="F193" i="35"/>
  <c r="F194" i="35"/>
  <c r="F195" i="35"/>
  <c r="F196" i="35"/>
  <c r="F197" i="35"/>
  <c r="F198" i="35"/>
  <c r="F199" i="35"/>
  <c r="F200" i="35"/>
  <c r="F20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116" i="35"/>
  <c r="G117" i="35"/>
  <c r="G118" i="35"/>
  <c r="G119" i="35"/>
  <c r="G120" i="35"/>
  <c r="G121" i="35"/>
  <c r="G122" i="35"/>
  <c r="G123" i="35"/>
  <c r="G124" i="35"/>
  <c r="G125" i="35"/>
  <c r="G126" i="35"/>
  <c r="G127" i="35"/>
  <c r="G128" i="35"/>
  <c r="G129" i="35"/>
  <c r="G130" i="35"/>
  <c r="G131" i="35"/>
  <c r="G132" i="35"/>
  <c r="G133" i="35"/>
  <c r="G134" i="35"/>
  <c r="G135" i="35"/>
  <c r="G136" i="35"/>
  <c r="G137" i="35"/>
  <c r="G138" i="35"/>
  <c r="G139" i="35"/>
  <c r="G140" i="35"/>
  <c r="G141" i="35"/>
  <c r="G142" i="35"/>
  <c r="G143" i="35"/>
  <c r="G144" i="35"/>
  <c r="G145" i="35"/>
  <c r="G146" i="35"/>
  <c r="G147" i="35"/>
  <c r="G148" i="35"/>
  <c r="G149" i="35"/>
  <c r="G150" i="35"/>
  <c r="G151" i="35"/>
  <c r="G152" i="35"/>
  <c r="G153" i="35"/>
  <c r="G154" i="35"/>
  <c r="G155" i="35"/>
  <c r="G156" i="35"/>
  <c r="G157" i="35"/>
  <c r="G158" i="35"/>
  <c r="G159" i="35"/>
  <c r="G160" i="35"/>
  <c r="G161" i="35"/>
  <c r="G162" i="35"/>
  <c r="G163" i="35"/>
  <c r="G164" i="35"/>
  <c r="G165" i="35"/>
  <c r="G166" i="35"/>
  <c r="G167" i="35"/>
  <c r="G168" i="35"/>
  <c r="G169" i="35"/>
  <c r="G170" i="35"/>
  <c r="G171" i="35"/>
  <c r="G172" i="35"/>
  <c r="G173" i="35"/>
  <c r="G174" i="35"/>
  <c r="G175" i="35"/>
  <c r="G176" i="35"/>
  <c r="G177" i="35"/>
  <c r="G178" i="35"/>
  <c r="G179" i="35"/>
  <c r="G180" i="35"/>
  <c r="G181" i="35"/>
  <c r="G182" i="35"/>
  <c r="G183" i="35"/>
  <c r="G184" i="35"/>
  <c r="G185" i="35"/>
  <c r="G186" i="35"/>
  <c r="G187" i="35"/>
  <c r="G188" i="35"/>
  <c r="G189" i="35"/>
  <c r="G190" i="35"/>
  <c r="G191" i="35"/>
  <c r="G192" i="35"/>
  <c r="G193" i="35"/>
  <c r="G194" i="35"/>
  <c r="G195" i="35"/>
  <c r="G196" i="35"/>
  <c r="G197" i="35"/>
  <c r="G198" i="35"/>
  <c r="G199" i="35"/>
  <c r="G200" i="35"/>
  <c r="G201" i="35"/>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B76" i="28"/>
  <c r="B77" i="28"/>
  <c r="B78" i="28"/>
  <c r="B79" i="28"/>
  <c r="B80" i="28"/>
  <c r="B81" i="28"/>
  <c r="B82" i="28"/>
  <c r="B83" i="28"/>
  <c r="B84" i="28"/>
  <c r="B85" i="28"/>
  <c r="B86" i="28"/>
  <c r="B87" i="28"/>
  <c r="B88" i="28"/>
  <c r="B89" i="28"/>
  <c r="B90" i="28"/>
  <c r="B91" i="28"/>
  <c r="B92" i="28"/>
  <c r="B93" i="28"/>
  <c r="B94" i="28"/>
  <c r="B95" i="28"/>
  <c r="B96" i="28"/>
  <c r="B97" i="28"/>
  <c r="B98" i="28"/>
  <c r="B99" i="28"/>
  <c r="B100" i="28"/>
  <c r="B101" i="28"/>
  <c r="B102" i="28"/>
  <c r="B103" i="28"/>
  <c r="B104" i="28"/>
  <c r="B105" i="28"/>
  <c r="B106" i="28"/>
  <c r="B107" i="28"/>
  <c r="B108" i="28"/>
  <c r="B109" i="28"/>
  <c r="B110" i="28"/>
  <c r="B111" i="28"/>
  <c r="B112" i="28"/>
  <c r="B113" i="28"/>
  <c r="B114" i="28"/>
  <c r="B115" i="28"/>
  <c r="B116" i="28"/>
  <c r="B117" i="28"/>
  <c r="B118" i="28"/>
  <c r="B119" i="28"/>
  <c r="B120" i="28"/>
  <c r="B121" i="28"/>
  <c r="B122" i="28"/>
  <c r="B123" i="28"/>
  <c r="B124" i="28"/>
  <c r="B125" i="28"/>
  <c r="B126" i="28"/>
  <c r="B127" i="28"/>
  <c r="B128" i="28"/>
  <c r="B129" i="28"/>
  <c r="B130" i="28"/>
  <c r="B131" i="28"/>
  <c r="B132" i="28"/>
  <c r="B133" i="28"/>
  <c r="B134" i="28"/>
  <c r="B135" i="28"/>
  <c r="B136" i="28"/>
  <c r="B137" i="28"/>
  <c r="B138" i="28"/>
  <c r="B139" i="28"/>
  <c r="B140" i="28"/>
  <c r="B141" i="28"/>
  <c r="B142" i="28"/>
  <c r="B143" i="28"/>
  <c r="B144" i="28"/>
  <c r="B145" i="28"/>
  <c r="B146" i="28"/>
  <c r="B147" i="28"/>
  <c r="B148" i="28"/>
  <c r="B149" i="28"/>
  <c r="B150" i="28"/>
  <c r="B151" i="28"/>
  <c r="B152" i="28"/>
  <c r="B153" i="28"/>
  <c r="B154" i="28"/>
  <c r="B155" i="28"/>
  <c r="B156" i="28"/>
  <c r="B157" i="28"/>
  <c r="B158" i="28"/>
  <c r="B159" i="28"/>
  <c r="B160" i="28"/>
  <c r="B161" i="28"/>
  <c r="B162" i="28"/>
  <c r="B163" i="28"/>
  <c r="B164" i="28"/>
  <c r="B165" i="28"/>
  <c r="B166" i="28"/>
  <c r="B167" i="28"/>
  <c r="B168" i="28"/>
  <c r="B169" i="28"/>
  <c r="B170" i="28"/>
  <c r="B171" i="28"/>
  <c r="B172" i="28"/>
  <c r="B173" i="28"/>
  <c r="B174" i="28"/>
  <c r="B175" i="28"/>
  <c r="B176" i="28"/>
  <c r="B177" i="28"/>
  <c r="B178" i="28"/>
  <c r="B179" i="28"/>
  <c r="B180" i="28"/>
  <c r="B181" i="28"/>
  <c r="B182" i="28"/>
  <c r="B183" i="28"/>
  <c r="B184" i="28"/>
  <c r="B185" i="28"/>
  <c r="B186" i="28"/>
  <c r="B187" i="28"/>
  <c r="B188" i="28"/>
  <c r="B189" i="28"/>
  <c r="B190" i="28"/>
  <c r="B191" i="28"/>
  <c r="B192" i="28"/>
  <c r="B193" i="28"/>
  <c r="B194" i="28"/>
  <c r="B195" i="28"/>
  <c r="B196" i="28"/>
  <c r="B197" i="28"/>
  <c r="B198" i="28"/>
  <c r="B199" i="28"/>
  <c r="B200" i="28"/>
  <c r="B20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144" i="28"/>
  <c r="G145" i="28"/>
  <c r="G146" i="28"/>
  <c r="G147" i="28"/>
  <c r="G148" i="28"/>
  <c r="G149" i="28"/>
  <c r="G150" i="28"/>
  <c r="G151" i="28"/>
  <c r="G152" i="28"/>
  <c r="G153" i="28"/>
  <c r="G154" i="28"/>
  <c r="G155" i="28"/>
  <c r="G156" i="28"/>
  <c r="G157" i="28"/>
  <c r="G158" i="28"/>
  <c r="G159" i="28"/>
  <c r="G160" i="28"/>
  <c r="G161" i="28"/>
  <c r="G162" i="28"/>
  <c r="G163" i="28"/>
  <c r="G164" i="28"/>
  <c r="G165" i="28"/>
  <c r="G166" i="28"/>
  <c r="G167" i="28"/>
  <c r="G168" i="28"/>
  <c r="G169" i="28"/>
  <c r="G170" i="28"/>
  <c r="G171" i="28"/>
  <c r="G172" i="28"/>
  <c r="G173" i="28"/>
  <c r="G174" i="28"/>
  <c r="G175" i="28"/>
  <c r="G176" i="28"/>
  <c r="G177" i="28"/>
  <c r="G178" i="28"/>
  <c r="G179" i="28"/>
  <c r="G180" i="28"/>
  <c r="G181" i="28"/>
  <c r="G182" i="28"/>
  <c r="G183" i="28"/>
  <c r="G184" i="28"/>
  <c r="G185" i="28"/>
  <c r="G186" i="28"/>
  <c r="G187" i="28"/>
  <c r="G188" i="28"/>
  <c r="G189" i="28"/>
  <c r="G190" i="28"/>
  <c r="G191" i="28"/>
  <c r="G192" i="28"/>
  <c r="G193" i="28"/>
  <c r="G194" i="28"/>
  <c r="G195" i="28"/>
  <c r="G196" i="28"/>
  <c r="G197" i="28"/>
  <c r="G198" i="28"/>
  <c r="G199" i="28"/>
  <c r="G200" i="28"/>
  <c r="G201" i="28"/>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196" i="27"/>
  <c r="B197" i="27"/>
  <c r="B198" i="27"/>
  <c r="B199" i="27"/>
  <c r="B200" i="27"/>
  <c r="B20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131"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68" i="27"/>
  <c r="C169" i="27"/>
  <c r="C170" i="27"/>
  <c r="C171" i="27"/>
  <c r="C172" i="27"/>
  <c r="C173" i="27"/>
  <c r="C174" i="27"/>
  <c r="C175" i="27"/>
  <c r="C176" i="27"/>
  <c r="C177" i="27"/>
  <c r="C178" i="27"/>
  <c r="C179" i="27"/>
  <c r="C180" i="27"/>
  <c r="C181" i="27"/>
  <c r="C182" i="27"/>
  <c r="C183" i="27"/>
  <c r="C184" i="27"/>
  <c r="C185" i="27"/>
  <c r="C186" i="27"/>
  <c r="C187" i="27"/>
  <c r="C188" i="27"/>
  <c r="C189" i="27"/>
  <c r="C190" i="27"/>
  <c r="C191" i="27"/>
  <c r="C192" i="27"/>
  <c r="C193" i="27"/>
  <c r="C194" i="27"/>
  <c r="C195" i="27"/>
  <c r="C196" i="27"/>
  <c r="C197" i="27"/>
  <c r="C198" i="27"/>
  <c r="C199" i="27"/>
  <c r="C200" i="27"/>
  <c r="C20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G97" i="27"/>
  <c r="G98" i="27"/>
  <c r="G99" i="27"/>
  <c r="G100" i="27"/>
  <c r="G101" i="27"/>
  <c r="G102" i="27"/>
  <c r="G103" i="27"/>
  <c r="G104" i="27"/>
  <c r="G105" i="27"/>
  <c r="G106" i="27"/>
  <c r="G107" i="27"/>
  <c r="G108" i="27"/>
  <c r="G109" i="27"/>
  <c r="G110" i="27"/>
  <c r="G111" i="27"/>
  <c r="G112" i="27"/>
  <c r="G113" i="27"/>
  <c r="G114" i="27"/>
  <c r="G115" i="27"/>
  <c r="G116" i="27"/>
  <c r="G117" i="27"/>
  <c r="G118" i="27"/>
  <c r="G119" i="27"/>
  <c r="G120" i="27"/>
  <c r="G121" i="27"/>
  <c r="G122" i="27"/>
  <c r="G123" i="27"/>
  <c r="G124" i="27"/>
  <c r="G125" i="27"/>
  <c r="G126" i="27"/>
  <c r="G127" i="27"/>
  <c r="G128" i="27"/>
  <c r="G129" i="27"/>
  <c r="G130" i="27"/>
  <c r="G131" i="27"/>
  <c r="G132" i="27"/>
  <c r="G133" i="27"/>
  <c r="G134" i="27"/>
  <c r="G135" i="27"/>
  <c r="G136" i="27"/>
  <c r="G137" i="27"/>
  <c r="G138" i="27"/>
  <c r="G139" i="27"/>
  <c r="G140" i="27"/>
  <c r="G141" i="27"/>
  <c r="G142" i="27"/>
  <c r="G143" i="27"/>
  <c r="G144" i="27"/>
  <c r="G145" i="27"/>
  <c r="G146" i="27"/>
  <c r="G147" i="27"/>
  <c r="G148" i="27"/>
  <c r="G149" i="27"/>
  <c r="G150" i="27"/>
  <c r="G151" i="27"/>
  <c r="G152" i="27"/>
  <c r="G153" i="27"/>
  <c r="G154" i="27"/>
  <c r="G155" i="27"/>
  <c r="G156" i="27"/>
  <c r="G157" i="27"/>
  <c r="G158" i="27"/>
  <c r="G159" i="27"/>
  <c r="G160" i="27"/>
  <c r="G161" i="27"/>
  <c r="G162" i="27"/>
  <c r="G163" i="27"/>
  <c r="G164" i="27"/>
  <c r="G165" i="27"/>
  <c r="G166" i="27"/>
  <c r="G167" i="27"/>
  <c r="G168" i="27"/>
  <c r="G169" i="27"/>
  <c r="G170" i="27"/>
  <c r="G171" i="27"/>
  <c r="G172" i="27"/>
  <c r="G173" i="27"/>
  <c r="G174" i="27"/>
  <c r="G175" i="27"/>
  <c r="G176" i="27"/>
  <c r="G177" i="27"/>
  <c r="G178" i="27"/>
  <c r="G179" i="27"/>
  <c r="G180" i="27"/>
  <c r="G181" i="27"/>
  <c r="G182" i="27"/>
  <c r="G183" i="27"/>
  <c r="G184" i="27"/>
  <c r="G185" i="27"/>
  <c r="G186" i="27"/>
  <c r="G187" i="27"/>
  <c r="G188" i="27"/>
  <c r="G189" i="27"/>
  <c r="G190" i="27"/>
  <c r="G191" i="27"/>
  <c r="G192" i="27"/>
  <c r="G193" i="27"/>
  <c r="G194" i="27"/>
  <c r="G195" i="27"/>
  <c r="G196" i="27"/>
  <c r="G197" i="27"/>
  <c r="G198" i="27"/>
  <c r="G199" i="27"/>
  <c r="G200" i="27"/>
  <c r="G201" i="27"/>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63" i="34"/>
  <c r="B64" i="34"/>
  <c r="B65" i="34"/>
  <c r="B66" i="34"/>
  <c r="B67" i="34"/>
  <c r="B68" i="34"/>
  <c r="B69" i="34"/>
  <c r="B70" i="34"/>
  <c r="B71" i="34"/>
  <c r="B72" i="34"/>
  <c r="B73" i="34"/>
  <c r="B74" i="34"/>
  <c r="B75" i="34"/>
  <c r="B76" i="34"/>
  <c r="B77" i="34"/>
  <c r="B78" i="34"/>
  <c r="B79" i="34"/>
  <c r="B80" i="34"/>
  <c r="B81" i="34"/>
  <c r="B82" i="34"/>
  <c r="B83" i="34"/>
  <c r="B84" i="34"/>
  <c r="B85" i="34"/>
  <c r="B86" i="34"/>
  <c r="B87" i="34"/>
  <c r="B88" i="34"/>
  <c r="B89" i="34"/>
  <c r="B90" i="34"/>
  <c r="B91" i="34"/>
  <c r="B92" i="34"/>
  <c r="B93" i="34"/>
  <c r="B94" i="34"/>
  <c r="B95" i="34"/>
  <c r="B96" i="34"/>
  <c r="B97" i="34"/>
  <c r="B98" i="34"/>
  <c r="B99" i="34"/>
  <c r="B100" i="34"/>
  <c r="B101" i="34"/>
  <c r="B102" i="34"/>
  <c r="B103" i="34"/>
  <c r="B104" i="34"/>
  <c r="B105" i="34"/>
  <c r="B106" i="34"/>
  <c r="B107" i="34"/>
  <c r="B108" i="34"/>
  <c r="B109" i="34"/>
  <c r="B110" i="34"/>
  <c r="B111" i="34"/>
  <c r="B112" i="34"/>
  <c r="B113" i="34"/>
  <c r="B114" i="34"/>
  <c r="B115" i="34"/>
  <c r="B116" i="34"/>
  <c r="B117" i="34"/>
  <c r="B118" i="34"/>
  <c r="B119" i="34"/>
  <c r="B120" i="34"/>
  <c r="B121" i="34"/>
  <c r="B122" i="34"/>
  <c r="B123" i="34"/>
  <c r="B124" i="34"/>
  <c r="B125" i="34"/>
  <c r="B126" i="34"/>
  <c r="B127" i="34"/>
  <c r="B128" i="34"/>
  <c r="B129" i="34"/>
  <c r="B130" i="34"/>
  <c r="B131" i="34"/>
  <c r="B132" i="34"/>
  <c r="B133" i="34"/>
  <c r="B134" i="34"/>
  <c r="B135" i="34"/>
  <c r="B136" i="34"/>
  <c r="B137" i="34"/>
  <c r="B138" i="34"/>
  <c r="B139" i="34"/>
  <c r="B140" i="34"/>
  <c r="B141" i="34"/>
  <c r="B142" i="34"/>
  <c r="B143" i="34"/>
  <c r="B144" i="34"/>
  <c r="B145" i="34"/>
  <c r="B146" i="34"/>
  <c r="B147" i="34"/>
  <c r="B148" i="34"/>
  <c r="B149" i="34"/>
  <c r="B150" i="34"/>
  <c r="B151" i="34"/>
  <c r="B152" i="34"/>
  <c r="B153" i="34"/>
  <c r="B154" i="34"/>
  <c r="B155" i="34"/>
  <c r="B156" i="34"/>
  <c r="B157" i="34"/>
  <c r="B158" i="34"/>
  <c r="B159" i="34"/>
  <c r="B160" i="34"/>
  <c r="B161" i="34"/>
  <c r="B162" i="34"/>
  <c r="B163" i="34"/>
  <c r="B164" i="34"/>
  <c r="B165" i="34"/>
  <c r="B166" i="34"/>
  <c r="B167" i="34"/>
  <c r="B168" i="34"/>
  <c r="B169" i="34"/>
  <c r="B170" i="34"/>
  <c r="B171" i="34"/>
  <c r="B172" i="34"/>
  <c r="B173" i="34"/>
  <c r="B174" i="34"/>
  <c r="B175" i="34"/>
  <c r="B176" i="34"/>
  <c r="B177" i="34"/>
  <c r="B178" i="34"/>
  <c r="B179" i="34"/>
  <c r="B180" i="34"/>
  <c r="B181" i="34"/>
  <c r="B182" i="34"/>
  <c r="B183" i="34"/>
  <c r="B184" i="34"/>
  <c r="B185" i="34"/>
  <c r="B186" i="34"/>
  <c r="B187" i="34"/>
  <c r="B188" i="34"/>
  <c r="B189" i="34"/>
  <c r="B190" i="34"/>
  <c r="B191" i="34"/>
  <c r="B192" i="34"/>
  <c r="B193" i="34"/>
  <c r="B194" i="34"/>
  <c r="B195" i="34"/>
  <c r="B196" i="34"/>
  <c r="B197" i="34"/>
  <c r="B198" i="34"/>
  <c r="B199" i="34"/>
  <c r="B200" i="34"/>
  <c r="B20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C71" i="32"/>
  <c r="C72" i="32"/>
  <c r="C73" i="32"/>
  <c r="C74" i="32"/>
  <c r="C75" i="32"/>
  <c r="C76" i="32"/>
  <c r="C77" i="32"/>
  <c r="C78" i="32"/>
  <c r="C79" i="32"/>
  <c r="C80" i="32"/>
  <c r="C81" i="32"/>
  <c r="C82" i="32"/>
  <c r="C83" i="32"/>
  <c r="C84" i="32"/>
  <c r="C85" i="32"/>
  <c r="C86" i="32"/>
  <c r="C87" i="32"/>
  <c r="C88" i="32"/>
  <c r="C89" i="32"/>
  <c r="C90" i="32"/>
  <c r="C91" i="32"/>
  <c r="C92" i="32"/>
  <c r="C93" i="32"/>
  <c r="C94" i="32"/>
  <c r="C95" i="32"/>
  <c r="C96" i="32"/>
  <c r="C97" i="32"/>
  <c r="C98" i="32"/>
  <c r="C99" i="32"/>
  <c r="C100" i="32"/>
  <c r="C101" i="32"/>
  <c r="C102" i="32"/>
  <c r="C103" i="32"/>
  <c r="C104" i="32"/>
  <c r="C105" i="32"/>
  <c r="C106" i="32"/>
  <c r="C107" i="32"/>
  <c r="C108" i="32"/>
  <c r="C109" i="32"/>
  <c r="C110" i="32"/>
  <c r="C111" i="32"/>
  <c r="C112" i="32"/>
  <c r="C113" i="32"/>
  <c r="C114" i="32"/>
  <c r="C115" i="32"/>
  <c r="C116" i="32"/>
  <c r="C117" i="32"/>
  <c r="C118" i="32"/>
  <c r="C119" i="32"/>
  <c r="C120" i="32"/>
  <c r="C121" i="32"/>
  <c r="C122" i="32"/>
  <c r="C123" i="32"/>
  <c r="C124" i="32"/>
  <c r="C125" i="32"/>
  <c r="C126" i="32"/>
  <c r="C127" i="32"/>
  <c r="C128" i="32"/>
  <c r="C129" i="32"/>
  <c r="C130" i="32"/>
  <c r="C131" i="32"/>
  <c r="C132" i="32"/>
  <c r="C133" i="32"/>
  <c r="C134" i="32"/>
  <c r="C135" i="32"/>
  <c r="C136" i="32"/>
  <c r="C137" i="32"/>
  <c r="C138" i="32"/>
  <c r="C139" i="32"/>
  <c r="C140" i="32"/>
  <c r="C141" i="32"/>
  <c r="C142" i="32"/>
  <c r="C143" i="32"/>
  <c r="C144" i="32"/>
  <c r="C145" i="32"/>
  <c r="C146" i="32"/>
  <c r="C147" i="32"/>
  <c r="C148" i="32"/>
  <c r="C149" i="32"/>
  <c r="C150" i="32"/>
  <c r="C151" i="32"/>
  <c r="C152" i="32"/>
  <c r="C153" i="32"/>
  <c r="C154" i="32"/>
  <c r="C155" i="32"/>
  <c r="C156" i="32"/>
  <c r="C157" i="32"/>
  <c r="C158" i="32"/>
  <c r="C159" i="32"/>
  <c r="C160" i="32"/>
  <c r="C161" i="32"/>
  <c r="C162" i="32"/>
  <c r="C163" i="32"/>
  <c r="C164" i="32"/>
  <c r="C165" i="32"/>
  <c r="C166" i="32"/>
  <c r="C167" i="32"/>
  <c r="C168" i="32"/>
  <c r="C169" i="32"/>
  <c r="C170" i="32"/>
  <c r="C171" i="32"/>
  <c r="C172" i="32"/>
  <c r="C173" i="32"/>
  <c r="C174" i="32"/>
  <c r="C175" i="32"/>
  <c r="C176" i="32"/>
  <c r="C177" i="32"/>
  <c r="C178" i="32"/>
  <c r="C179" i="32"/>
  <c r="C180" i="32"/>
  <c r="C181" i="32"/>
  <c r="C182" i="32"/>
  <c r="C183" i="32"/>
  <c r="C184" i="32"/>
  <c r="C185" i="32"/>
  <c r="C186" i="32"/>
  <c r="C187" i="32"/>
  <c r="C188" i="32"/>
  <c r="C189" i="32"/>
  <c r="C190" i="32"/>
  <c r="C191" i="32"/>
  <c r="C192" i="32"/>
  <c r="C193" i="32"/>
  <c r="C194" i="32"/>
  <c r="C195" i="32"/>
  <c r="C196" i="32"/>
  <c r="C197" i="32"/>
  <c r="C198" i="32"/>
  <c r="C199" i="32"/>
  <c r="C200" i="32"/>
  <c r="C201" i="32"/>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65" i="29"/>
  <c r="B66" i="29"/>
  <c r="B67" i="29"/>
  <c r="B68" i="29"/>
  <c r="B69" i="29"/>
  <c r="B70" i="29"/>
  <c r="B71" i="29"/>
  <c r="B72" i="29"/>
  <c r="B73" i="29"/>
  <c r="B74" i="29"/>
  <c r="B75" i="29"/>
  <c r="B76" i="29"/>
  <c r="B77" i="29"/>
  <c r="B78" i="29"/>
  <c r="B79" i="29"/>
  <c r="B80" i="29"/>
  <c r="B81" i="29"/>
  <c r="B82" i="29"/>
  <c r="B83" i="29"/>
  <c r="B84" i="29"/>
  <c r="B85" i="29"/>
  <c r="B86" i="29"/>
  <c r="B87" i="29"/>
  <c r="B88" i="29"/>
  <c r="B89" i="29"/>
  <c r="B90" i="29"/>
  <c r="B91" i="29"/>
  <c r="B92" i="29"/>
  <c r="B93" i="29"/>
  <c r="B94" i="29"/>
  <c r="B95" i="29"/>
  <c r="B96" i="29"/>
  <c r="B97" i="29"/>
  <c r="B98" i="29"/>
  <c r="B99" i="29"/>
  <c r="B100" i="29"/>
  <c r="B101" i="29"/>
  <c r="B102" i="29"/>
  <c r="B103" i="29"/>
  <c r="B104" i="29"/>
  <c r="B105" i="29"/>
  <c r="B106" i="29"/>
  <c r="B107" i="29"/>
  <c r="B108" i="29"/>
  <c r="B109" i="29"/>
  <c r="B110" i="29"/>
  <c r="B111" i="29"/>
  <c r="B112" i="29"/>
  <c r="B113" i="29"/>
  <c r="B114" i="29"/>
  <c r="B115" i="29"/>
  <c r="B116" i="29"/>
  <c r="B117" i="29"/>
  <c r="B118" i="29"/>
  <c r="B119" i="29"/>
  <c r="B120" i="29"/>
  <c r="B121" i="29"/>
  <c r="B122" i="29"/>
  <c r="B123" i="29"/>
  <c r="B124" i="29"/>
  <c r="B125" i="29"/>
  <c r="B126" i="29"/>
  <c r="B127" i="29"/>
  <c r="B128" i="29"/>
  <c r="B129" i="29"/>
  <c r="B130" i="29"/>
  <c r="B131" i="29"/>
  <c r="B132" i="29"/>
  <c r="B133" i="29"/>
  <c r="B134" i="29"/>
  <c r="B135" i="29"/>
  <c r="B136" i="29"/>
  <c r="B137" i="29"/>
  <c r="B138" i="29"/>
  <c r="B139" i="29"/>
  <c r="B140" i="29"/>
  <c r="B141" i="29"/>
  <c r="B142" i="29"/>
  <c r="B143" i="29"/>
  <c r="B144" i="29"/>
  <c r="B145" i="29"/>
  <c r="B146" i="29"/>
  <c r="B147" i="29"/>
  <c r="B148" i="29"/>
  <c r="B149" i="29"/>
  <c r="B150" i="29"/>
  <c r="B151" i="29"/>
  <c r="B152" i="29"/>
  <c r="B153" i="29"/>
  <c r="B154" i="29"/>
  <c r="B155" i="29"/>
  <c r="B156" i="29"/>
  <c r="B157" i="29"/>
  <c r="B158" i="29"/>
  <c r="B159" i="29"/>
  <c r="B160" i="29"/>
  <c r="B161" i="29"/>
  <c r="B162" i="29"/>
  <c r="B163" i="29"/>
  <c r="B164" i="29"/>
  <c r="B165" i="29"/>
  <c r="B166" i="29"/>
  <c r="B167" i="29"/>
  <c r="B168" i="29"/>
  <c r="B169" i="29"/>
  <c r="B170" i="29"/>
  <c r="B171" i="29"/>
  <c r="B172" i="29"/>
  <c r="B173" i="29"/>
  <c r="B174" i="29"/>
  <c r="B175" i="29"/>
  <c r="B176" i="29"/>
  <c r="B177" i="29"/>
  <c r="B178" i="29"/>
  <c r="B179" i="29"/>
  <c r="B180" i="29"/>
  <c r="B181" i="29"/>
  <c r="B182" i="29"/>
  <c r="B183" i="29"/>
  <c r="B184" i="29"/>
  <c r="B185" i="29"/>
  <c r="B186" i="29"/>
  <c r="B187" i="29"/>
  <c r="B188" i="29"/>
  <c r="B189" i="29"/>
  <c r="B190" i="29"/>
  <c r="B191" i="29"/>
  <c r="B192" i="29"/>
  <c r="B193" i="29"/>
  <c r="B194" i="29"/>
  <c r="B195" i="29"/>
  <c r="B196" i="29"/>
  <c r="B197" i="29"/>
  <c r="B198" i="29"/>
  <c r="B199" i="29"/>
  <c r="B200" i="29"/>
  <c r="B20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7" i="29"/>
  <c r="E168" i="29"/>
  <c r="E169" i="29"/>
  <c r="E170" i="29"/>
  <c r="E171" i="29"/>
  <c r="E172" i="29"/>
  <c r="E173" i="29"/>
  <c r="E174" i="29"/>
  <c r="E175" i="29"/>
  <c r="E176" i="29"/>
  <c r="E177" i="29"/>
  <c r="E178" i="29"/>
  <c r="E179" i="29"/>
  <c r="E180" i="29"/>
  <c r="E181" i="29"/>
  <c r="E182" i="29"/>
  <c r="E183" i="29"/>
  <c r="E184" i="29"/>
  <c r="E185" i="29"/>
  <c r="E186" i="29"/>
  <c r="E187" i="29"/>
  <c r="E188" i="29"/>
  <c r="E189" i="29"/>
  <c r="E190" i="29"/>
  <c r="E191" i="29"/>
  <c r="E192" i="29"/>
  <c r="E193" i="29"/>
  <c r="E194" i="29"/>
  <c r="E195" i="29"/>
  <c r="E196" i="29"/>
  <c r="E197" i="29"/>
  <c r="E198" i="29"/>
  <c r="E199" i="29"/>
  <c r="E200" i="29"/>
  <c r="E20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131" i="29"/>
  <c r="F132" i="29"/>
  <c r="F133" i="29"/>
  <c r="F134" i="29"/>
  <c r="F135" i="29"/>
  <c r="F136" i="29"/>
  <c r="F137" i="29"/>
  <c r="F138" i="29"/>
  <c r="F139" i="29"/>
  <c r="F140" i="29"/>
  <c r="F141" i="29"/>
  <c r="F142" i="29"/>
  <c r="F143" i="29"/>
  <c r="F144" i="29"/>
  <c r="F145" i="29"/>
  <c r="F146" i="29"/>
  <c r="F147" i="29"/>
  <c r="F148" i="29"/>
  <c r="F149" i="29"/>
  <c r="F150" i="29"/>
  <c r="F151" i="29"/>
  <c r="F152" i="29"/>
  <c r="F153" i="29"/>
  <c r="F154" i="29"/>
  <c r="F155" i="29"/>
  <c r="F156" i="29"/>
  <c r="F157" i="29"/>
  <c r="F158" i="29"/>
  <c r="F159" i="29"/>
  <c r="F160" i="29"/>
  <c r="F161" i="29"/>
  <c r="F162" i="29"/>
  <c r="F163" i="29"/>
  <c r="F164" i="29"/>
  <c r="F165" i="29"/>
  <c r="F166" i="29"/>
  <c r="F167" i="29"/>
  <c r="F168" i="29"/>
  <c r="F169" i="29"/>
  <c r="F170" i="29"/>
  <c r="F171" i="29"/>
  <c r="F172" i="29"/>
  <c r="F173" i="29"/>
  <c r="F174" i="29"/>
  <c r="F175" i="29"/>
  <c r="F176" i="29"/>
  <c r="F177" i="29"/>
  <c r="F178" i="29"/>
  <c r="F179" i="29"/>
  <c r="F180" i="29"/>
  <c r="F181" i="29"/>
  <c r="F182" i="29"/>
  <c r="F183" i="29"/>
  <c r="F184" i="29"/>
  <c r="F185" i="29"/>
  <c r="F186" i="29"/>
  <c r="F187" i="29"/>
  <c r="F188" i="29"/>
  <c r="F189" i="29"/>
  <c r="F190" i="29"/>
  <c r="F191" i="29"/>
  <c r="F192" i="29"/>
  <c r="F193" i="29"/>
  <c r="F194" i="29"/>
  <c r="F195" i="29"/>
  <c r="F196" i="29"/>
  <c r="F197" i="29"/>
  <c r="F198" i="29"/>
  <c r="F199" i="29"/>
  <c r="F200" i="29"/>
  <c r="F20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0" i="29"/>
  <c r="G181" i="29"/>
  <c r="G182" i="29"/>
  <c r="G183" i="29"/>
  <c r="G184" i="29"/>
  <c r="G185" i="29"/>
  <c r="G186" i="29"/>
  <c r="G187" i="29"/>
  <c r="G188" i="29"/>
  <c r="G189" i="29"/>
  <c r="G190" i="29"/>
  <c r="G191" i="29"/>
  <c r="G192" i="29"/>
  <c r="G193" i="29"/>
  <c r="G194" i="29"/>
  <c r="G195" i="29"/>
  <c r="G196" i="29"/>
  <c r="G197" i="29"/>
  <c r="G198" i="29"/>
  <c r="G199" i="29"/>
  <c r="G200" i="29"/>
  <c r="G20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I180" i="29"/>
  <c r="I181" i="29"/>
  <c r="I182" i="29"/>
  <c r="I183" i="29"/>
  <c r="I184" i="29"/>
  <c r="I185" i="29"/>
  <c r="I186" i="29"/>
  <c r="I187" i="29"/>
  <c r="I188" i="29"/>
  <c r="I189" i="29"/>
  <c r="I190" i="29"/>
  <c r="I191" i="29"/>
  <c r="I192" i="29"/>
  <c r="I193" i="29"/>
  <c r="I194" i="29"/>
  <c r="I195" i="29"/>
  <c r="I196" i="29"/>
  <c r="I197" i="29"/>
  <c r="I198" i="29"/>
  <c r="I199" i="29"/>
  <c r="I200" i="29"/>
  <c r="I201" i="29"/>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F22" i="5"/>
  <c r="G22" i="5" s="1"/>
  <c r="F23" i="5"/>
  <c r="G23" i="5" s="1"/>
  <c r="F24" i="5"/>
  <c r="G24" i="5" s="1"/>
  <c r="F25" i="5"/>
  <c r="G25" i="5" s="1"/>
  <c r="F26" i="5"/>
  <c r="F27" i="5"/>
  <c r="G27" i="5" s="1"/>
  <c r="F28" i="5"/>
  <c r="G28" i="5" s="1"/>
  <c r="F29" i="5"/>
  <c r="G29" i="5" s="1"/>
  <c r="F30" i="5"/>
  <c r="G30" i="5" s="1"/>
  <c r="F31" i="5"/>
  <c r="G31" i="5" s="1"/>
  <c r="F32" i="5"/>
  <c r="G32" i="5" s="1"/>
  <c r="F33" i="5"/>
  <c r="G33" i="5" s="1"/>
  <c r="F34" i="5"/>
  <c r="G34" i="5" s="1"/>
  <c r="F35" i="5"/>
  <c r="G35" i="5" s="1"/>
  <c r="F36" i="5"/>
  <c r="G36" i="5" s="1"/>
  <c r="F37" i="5"/>
  <c r="G37" i="5" s="1"/>
  <c r="F38" i="5"/>
  <c r="G38" i="5" s="1"/>
  <c r="F39" i="5"/>
  <c r="G39" i="5" s="1"/>
  <c r="F40" i="5"/>
  <c r="G40" i="5" s="1"/>
  <c r="F41" i="5"/>
  <c r="G41" i="5" s="1"/>
  <c r="F42" i="5"/>
  <c r="G42" i="5" s="1"/>
  <c r="F43" i="5"/>
  <c r="G43" i="5" s="1"/>
  <c r="F44" i="5"/>
  <c r="G44" i="5" s="1"/>
  <c r="F45" i="5"/>
  <c r="G45" i="5" s="1"/>
  <c r="F46" i="5"/>
  <c r="G46" i="5" s="1"/>
  <c r="F47" i="5"/>
  <c r="G47" i="5" s="1"/>
  <c r="F48" i="5"/>
  <c r="G48" i="5" s="1"/>
  <c r="F49" i="5"/>
  <c r="G49" i="5" s="1"/>
  <c r="F50" i="5"/>
  <c r="G50" i="5" s="1"/>
  <c r="F51" i="5"/>
  <c r="G51" i="5" s="1"/>
  <c r="F52" i="5"/>
  <c r="G52" i="5" s="1"/>
  <c r="F53" i="5"/>
  <c r="G53" i="5" s="1"/>
  <c r="F54" i="5"/>
  <c r="G54" i="5" s="1"/>
  <c r="F55" i="5"/>
  <c r="G55" i="5" s="1"/>
  <c r="F56" i="5"/>
  <c r="G56" i="5" s="1"/>
  <c r="F57" i="5"/>
  <c r="G57" i="5" s="1"/>
  <c r="F58" i="5"/>
  <c r="G58" i="5" s="1"/>
  <c r="F59" i="5"/>
  <c r="G59" i="5" s="1"/>
  <c r="F60" i="5"/>
  <c r="G60" i="5" s="1"/>
  <c r="F61" i="5"/>
  <c r="G61" i="5" s="1"/>
  <c r="F62" i="5"/>
  <c r="G62" i="5" s="1"/>
  <c r="F63" i="5"/>
  <c r="G63" i="5" s="1"/>
  <c r="F64" i="5"/>
  <c r="G64" i="5" s="1"/>
  <c r="F65" i="5"/>
  <c r="G65" i="5" s="1"/>
  <c r="F66" i="5"/>
  <c r="G66" i="5" s="1"/>
  <c r="F67" i="5"/>
  <c r="G67" i="5" s="1"/>
  <c r="F68" i="5"/>
  <c r="G68" i="5" s="1"/>
  <c r="F69" i="5"/>
  <c r="G69" i="5" s="1"/>
  <c r="F70" i="5"/>
  <c r="G70" i="5" s="1"/>
  <c r="F71" i="5"/>
  <c r="G71" i="5" s="1"/>
  <c r="F72" i="5"/>
  <c r="G72" i="5" s="1"/>
  <c r="F73" i="5"/>
  <c r="G73" i="5" s="1"/>
  <c r="F74" i="5"/>
  <c r="G74" i="5" s="1"/>
  <c r="F75" i="5"/>
  <c r="G75" i="5" s="1"/>
  <c r="F76" i="5"/>
  <c r="G76" i="5" s="1"/>
  <c r="F77" i="5"/>
  <c r="G77" i="5" s="1"/>
  <c r="F78" i="5"/>
  <c r="G78" i="5" s="1"/>
  <c r="F79" i="5"/>
  <c r="G79" i="5" s="1"/>
  <c r="F80" i="5"/>
  <c r="G80" i="5" s="1"/>
  <c r="F81" i="5"/>
  <c r="G81" i="5" s="1"/>
  <c r="F82" i="5"/>
  <c r="G82" i="5" s="1"/>
  <c r="F83" i="5"/>
  <c r="G83" i="5" s="1"/>
  <c r="F84" i="5"/>
  <c r="G84" i="5" s="1"/>
  <c r="F85" i="5"/>
  <c r="G85" i="5" s="1"/>
  <c r="F86" i="5"/>
  <c r="G86" i="5" s="1"/>
  <c r="F87" i="5"/>
  <c r="G87" i="5" s="1"/>
  <c r="F88" i="5"/>
  <c r="G88" i="5" s="1"/>
  <c r="F89" i="5"/>
  <c r="G89" i="5" s="1"/>
  <c r="F90" i="5"/>
  <c r="G90" i="5" s="1"/>
  <c r="F91" i="5"/>
  <c r="G91" i="5" s="1"/>
  <c r="F92" i="5"/>
  <c r="G92" i="5" s="1"/>
  <c r="F93" i="5"/>
  <c r="G93" i="5" s="1"/>
  <c r="F94" i="5"/>
  <c r="G94" i="5" s="1"/>
  <c r="F95" i="5"/>
  <c r="G95" i="5" s="1"/>
  <c r="F96" i="5"/>
  <c r="G96" i="5" s="1"/>
  <c r="F97" i="5"/>
  <c r="G97" i="5" s="1"/>
  <c r="F98" i="5"/>
  <c r="G98" i="5" s="1"/>
  <c r="F99" i="5"/>
  <c r="G99" i="5" s="1"/>
  <c r="F100" i="5"/>
  <c r="G100" i="5" s="1"/>
  <c r="F101" i="5"/>
  <c r="G101" i="5" s="1"/>
  <c r="F102" i="5"/>
  <c r="G102" i="5" s="1"/>
  <c r="F103" i="5"/>
  <c r="G103" i="5" s="1"/>
  <c r="F104" i="5"/>
  <c r="G104" i="5" s="1"/>
  <c r="F105" i="5"/>
  <c r="G105" i="5" s="1"/>
  <c r="F106" i="5"/>
  <c r="G106" i="5" s="1"/>
  <c r="F107" i="5"/>
  <c r="G107" i="5" s="1"/>
  <c r="F108" i="5"/>
  <c r="G108" i="5" s="1"/>
  <c r="F109" i="5"/>
  <c r="G109" i="5" s="1"/>
  <c r="F110" i="5"/>
  <c r="G110" i="5" s="1"/>
  <c r="F111" i="5"/>
  <c r="G111" i="5" s="1"/>
  <c r="F112" i="5"/>
  <c r="G112" i="5" s="1"/>
  <c r="F113" i="5"/>
  <c r="G113" i="5" s="1"/>
  <c r="F114" i="5"/>
  <c r="G114" i="5" s="1"/>
  <c r="F115" i="5"/>
  <c r="G115" i="5" s="1"/>
  <c r="F116" i="5"/>
  <c r="G116" i="5" s="1"/>
  <c r="F117" i="5"/>
  <c r="G117" i="5" s="1"/>
  <c r="F118" i="5"/>
  <c r="G118" i="5" s="1"/>
  <c r="F119" i="5"/>
  <c r="G119" i="5" s="1"/>
  <c r="F120" i="5"/>
  <c r="G120" i="5" s="1"/>
  <c r="F121" i="5"/>
  <c r="G121" i="5" s="1"/>
  <c r="F122" i="5"/>
  <c r="G122" i="5" s="1"/>
  <c r="F123" i="5"/>
  <c r="G123" i="5" s="1"/>
  <c r="F124" i="5"/>
  <c r="G124" i="5" s="1"/>
  <c r="F125" i="5"/>
  <c r="G125" i="5" s="1"/>
  <c r="F126" i="5"/>
  <c r="G126" i="5" s="1"/>
  <c r="F127" i="5"/>
  <c r="G127" i="5" s="1"/>
  <c r="F128" i="5"/>
  <c r="G128" i="5" s="1"/>
  <c r="F129" i="5"/>
  <c r="G129" i="5" s="1"/>
  <c r="F130" i="5"/>
  <c r="G130" i="5" s="1"/>
  <c r="F131" i="5"/>
  <c r="G131" i="5" s="1"/>
  <c r="F132" i="5"/>
  <c r="G132" i="5" s="1"/>
  <c r="F133" i="5"/>
  <c r="G133" i="5" s="1"/>
  <c r="F134" i="5"/>
  <c r="G134" i="5" s="1"/>
  <c r="F135" i="5"/>
  <c r="G135" i="5" s="1"/>
  <c r="F136" i="5"/>
  <c r="G136" i="5" s="1"/>
  <c r="F137" i="5"/>
  <c r="G137" i="5" s="1"/>
  <c r="F138" i="5"/>
  <c r="G138" i="5" s="1"/>
  <c r="F139" i="5"/>
  <c r="G139" i="5" s="1"/>
  <c r="F140" i="5"/>
  <c r="G140" i="5" s="1"/>
  <c r="F141" i="5"/>
  <c r="G141" i="5" s="1"/>
  <c r="F142" i="5"/>
  <c r="G142" i="5" s="1"/>
  <c r="F143" i="5"/>
  <c r="G143" i="5" s="1"/>
  <c r="F144" i="5"/>
  <c r="G144" i="5" s="1"/>
  <c r="F145" i="5"/>
  <c r="G145" i="5" s="1"/>
  <c r="F146" i="5"/>
  <c r="G146" i="5" s="1"/>
  <c r="F147" i="5"/>
  <c r="G147" i="5" s="1"/>
  <c r="F148" i="5"/>
  <c r="G148" i="5" s="1"/>
  <c r="F149" i="5"/>
  <c r="G149" i="5" s="1"/>
  <c r="F150" i="5"/>
  <c r="G150" i="5" s="1"/>
  <c r="F151" i="5"/>
  <c r="G151" i="5" s="1"/>
  <c r="F152" i="5"/>
  <c r="G152" i="5" s="1"/>
  <c r="F153" i="5"/>
  <c r="G153" i="5" s="1"/>
  <c r="F154" i="5"/>
  <c r="G154" i="5" s="1"/>
  <c r="F155" i="5"/>
  <c r="G155" i="5" s="1"/>
  <c r="F156" i="5"/>
  <c r="G156" i="5" s="1"/>
  <c r="F157" i="5"/>
  <c r="G157" i="5" s="1"/>
  <c r="F158" i="5"/>
  <c r="G158" i="5" s="1"/>
  <c r="F159" i="5"/>
  <c r="G159" i="5" s="1"/>
  <c r="F160" i="5"/>
  <c r="G160" i="5" s="1"/>
  <c r="F161" i="5"/>
  <c r="G161" i="5" s="1"/>
  <c r="F162" i="5"/>
  <c r="G162" i="5" s="1"/>
  <c r="F163" i="5"/>
  <c r="G163" i="5" s="1"/>
  <c r="F164" i="5"/>
  <c r="G164" i="5" s="1"/>
  <c r="F165" i="5"/>
  <c r="G165" i="5" s="1"/>
  <c r="F166" i="5"/>
  <c r="G166" i="5" s="1"/>
  <c r="F167" i="5"/>
  <c r="G167" i="5" s="1"/>
  <c r="F168" i="5"/>
  <c r="G168" i="5" s="1"/>
  <c r="F169" i="5"/>
  <c r="G169" i="5" s="1"/>
  <c r="F170" i="5"/>
  <c r="G170" i="5" s="1"/>
  <c r="F171" i="5"/>
  <c r="G171" i="5" s="1"/>
  <c r="F172" i="5"/>
  <c r="G172" i="5" s="1"/>
  <c r="F173" i="5"/>
  <c r="G173" i="5" s="1"/>
  <c r="F174" i="5"/>
  <c r="G174" i="5" s="1"/>
  <c r="F175" i="5"/>
  <c r="G175" i="5" s="1"/>
  <c r="F176" i="5"/>
  <c r="G176" i="5" s="1"/>
  <c r="F177" i="5"/>
  <c r="G177" i="5" s="1"/>
  <c r="F178" i="5"/>
  <c r="G178" i="5" s="1"/>
  <c r="F179" i="5"/>
  <c r="G179" i="5" s="1"/>
  <c r="F180" i="5"/>
  <c r="G180" i="5" s="1"/>
  <c r="F181" i="5"/>
  <c r="G181" i="5" s="1"/>
  <c r="F182" i="5"/>
  <c r="G182" i="5" s="1"/>
  <c r="F183" i="5"/>
  <c r="G183" i="5" s="1"/>
  <c r="F184" i="5"/>
  <c r="G184" i="5" s="1"/>
  <c r="F185" i="5"/>
  <c r="G185" i="5" s="1"/>
  <c r="F186" i="5"/>
  <c r="G186" i="5" s="1"/>
  <c r="F187" i="5"/>
  <c r="G187" i="5" s="1"/>
  <c r="F188" i="5"/>
  <c r="G188" i="5" s="1"/>
  <c r="F189" i="5"/>
  <c r="G189" i="5" s="1"/>
  <c r="F190" i="5"/>
  <c r="G190" i="5" s="1"/>
  <c r="F191" i="5"/>
  <c r="G191" i="5" s="1"/>
  <c r="F192" i="5"/>
  <c r="G192" i="5" s="1"/>
  <c r="F193" i="5"/>
  <c r="G193" i="5" s="1"/>
  <c r="F194" i="5"/>
  <c r="G194" i="5" s="1"/>
  <c r="F195" i="5"/>
  <c r="G195" i="5" s="1"/>
  <c r="F196" i="5"/>
  <c r="G196" i="5" s="1"/>
  <c r="F197" i="5"/>
  <c r="G197" i="5" s="1"/>
  <c r="F198" i="5"/>
  <c r="G198" i="5" s="1"/>
  <c r="F199" i="5"/>
  <c r="G199" i="5" s="1"/>
  <c r="F200" i="5"/>
  <c r="G200" i="5" s="1"/>
  <c r="F201" i="5"/>
  <c r="G201" i="5" s="1"/>
  <c r="G26"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D22" i="3"/>
  <c r="I22" i="3" s="1"/>
  <c r="D23" i="3"/>
  <c r="I23" i="3" s="1"/>
  <c r="D24" i="3"/>
  <c r="I24" i="3" s="1"/>
  <c r="D25" i="3"/>
  <c r="I25" i="3" s="1"/>
  <c r="D26" i="3"/>
  <c r="I26" i="3" s="1"/>
  <c r="D27" i="3"/>
  <c r="I27" i="3" s="1"/>
  <c r="D28" i="3"/>
  <c r="I28" i="3" s="1"/>
  <c r="D29" i="3"/>
  <c r="I29" i="3" s="1"/>
  <c r="D30" i="3"/>
  <c r="I30" i="3" s="1"/>
  <c r="D31" i="3"/>
  <c r="I31" i="3" s="1"/>
  <c r="D32" i="3"/>
  <c r="I32" i="3" s="1"/>
  <c r="D33" i="3"/>
  <c r="I33" i="3" s="1"/>
  <c r="D34" i="3"/>
  <c r="I34" i="3" s="1"/>
  <c r="D35" i="3"/>
  <c r="I35" i="3" s="1"/>
  <c r="D36" i="3"/>
  <c r="I36" i="3" s="1"/>
  <c r="D37" i="3"/>
  <c r="I37" i="3" s="1"/>
  <c r="D38" i="3"/>
  <c r="I38" i="3" s="1"/>
  <c r="D39" i="3"/>
  <c r="I39" i="3" s="1"/>
  <c r="D40" i="3"/>
  <c r="I40" i="3" s="1"/>
  <c r="D41" i="3"/>
  <c r="I41" i="3" s="1"/>
  <c r="D42" i="3"/>
  <c r="I42" i="3" s="1"/>
  <c r="D43" i="3"/>
  <c r="I43" i="3" s="1"/>
  <c r="D44" i="3"/>
  <c r="I44" i="3" s="1"/>
  <c r="D45" i="3"/>
  <c r="I45" i="3" s="1"/>
  <c r="D46" i="3"/>
  <c r="I46" i="3" s="1"/>
  <c r="D47" i="3"/>
  <c r="I47" i="3" s="1"/>
  <c r="D48" i="3"/>
  <c r="I48" i="3" s="1"/>
  <c r="D49" i="3"/>
  <c r="I49" i="3" s="1"/>
  <c r="D50" i="3"/>
  <c r="I50" i="3" s="1"/>
  <c r="D51" i="3"/>
  <c r="I51" i="3" s="1"/>
  <c r="D52" i="3"/>
  <c r="I52" i="3" s="1"/>
  <c r="D53" i="3"/>
  <c r="I53" i="3" s="1"/>
  <c r="D54" i="3"/>
  <c r="I54" i="3" s="1"/>
  <c r="D55" i="3"/>
  <c r="I55" i="3" s="1"/>
  <c r="D56" i="3"/>
  <c r="I56" i="3" s="1"/>
  <c r="D57" i="3"/>
  <c r="I57" i="3" s="1"/>
  <c r="D58" i="3"/>
  <c r="I58" i="3" s="1"/>
  <c r="D59" i="3"/>
  <c r="I59" i="3" s="1"/>
  <c r="D60" i="3"/>
  <c r="I60" i="3" s="1"/>
  <c r="D61" i="3"/>
  <c r="I61" i="3" s="1"/>
  <c r="D62" i="3"/>
  <c r="I62" i="3" s="1"/>
  <c r="D63" i="3"/>
  <c r="I63" i="3" s="1"/>
  <c r="D64" i="3"/>
  <c r="I64" i="3" s="1"/>
  <c r="D65" i="3"/>
  <c r="I65" i="3" s="1"/>
  <c r="D66" i="3"/>
  <c r="I66" i="3" s="1"/>
  <c r="D67" i="3"/>
  <c r="I67" i="3" s="1"/>
  <c r="D68" i="3"/>
  <c r="I68" i="3" s="1"/>
  <c r="D69" i="3"/>
  <c r="I69" i="3" s="1"/>
  <c r="D70" i="3"/>
  <c r="I70" i="3" s="1"/>
  <c r="D71" i="3"/>
  <c r="I71" i="3" s="1"/>
  <c r="D72" i="3"/>
  <c r="I72" i="3" s="1"/>
  <c r="D73" i="3"/>
  <c r="I73" i="3" s="1"/>
  <c r="D74" i="3"/>
  <c r="I74" i="3" s="1"/>
  <c r="D75" i="3"/>
  <c r="I75" i="3" s="1"/>
  <c r="D76" i="3"/>
  <c r="I76" i="3" s="1"/>
  <c r="D77" i="3"/>
  <c r="I77" i="3" s="1"/>
  <c r="D78" i="3"/>
  <c r="I78" i="3" s="1"/>
  <c r="D79" i="3"/>
  <c r="I79" i="3" s="1"/>
  <c r="D80" i="3"/>
  <c r="I80" i="3" s="1"/>
  <c r="D81" i="3"/>
  <c r="I81" i="3" s="1"/>
  <c r="D82" i="3"/>
  <c r="I82" i="3" s="1"/>
  <c r="D83" i="3"/>
  <c r="I83" i="3" s="1"/>
  <c r="D84" i="3"/>
  <c r="I84" i="3" s="1"/>
  <c r="D85" i="3"/>
  <c r="I85" i="3" s="1"/>
  <c r="D86" i="3"/>
  <c r="I86" i="3" s="1"/>
  <c r="D87" i="3"/>
  <c r="I87" i="3" s="1"/>
  <c r="D88" i="3"/>
  <c r="I88" i="3" s="1"/>
  <c r="D89" i="3"/>
  <c r="I89" i="3" s="1"/>
  <c r="D90" i="3"/>
  <c r="I90" i="3" s="1"/>
  <c r="D91" i="3"/>
  <c r="I91" i="3" s="1"/>
  <c r="D92" i="3"/>
  <c r="I92" i="3" s="1"/>
  <c r="D93" i="3"/>
  <c r="I93" i="3" s="1"/>
  <c r="D94" i="3"/>
  <c r="I94" i="3" s="1"/>
  <c r="D95" i="3"/>
  <c r="I95" i="3" s="1"/>
  <c r="D96" i="3"/>
  <c r="I96" i="3" s="1"/>
  <c r="D97" i="3"/>
  <c r="I97" i="3" s="1"/>
  <c r="D98" i="3"/>
  <c r="I98" i="3" s="1"/>
  <c r="D99" i="3"/>
  <c r="I99" i="3" s="1"/>
  <c r="D100" i="3"/>
  <c r="I100" i="3" s="1"/>
  <c r="D101" i="3"/>
  <c r="I101" i="3" s="1"/>
  <c r="D102" i="3"/>
  <c r="I102" i="3" s="1"/>
  <c r="D103" i="3"/>
  <c r="I103" i="3" s="1"/>
  <c r="D104" i="3"/>
  <c r="I104" i="3" s="1"/>
  <c r="D105" i="3"/>
  <c r="I105" i="3" s="1"/>
  <c r="D106" i="3"/>
  <c r="I106" i="3" s="1"/>
  <c r="D107" i="3"/>
  <c r="I107" i="3" s="1"/>
  <c r="D108" i="3"/>
  <c r="I108" i="3" s="1"/>
  <c r="D109" i="3"/>
  <c r="I109" i="3" s="1"/>
  <c r="D110" i="3"/>
  <c r="I110" i="3" s="1"/>
  <c r="D111" i="3"/>
  <c r="I111" i="3" s="1"/>
  <c r="D112" i="3"/>
  <c r="I112" i="3" s="1"/>
  <c r="D113" i="3"/>
  <c r="I113" i="3" s="1"/>
  <c r="D114" i="3"/>
  <c r="I114" i="3" s="1"/>
  <c r="D115" i="3"/>
  <c r="I115" i="3" s="1"/>
  <c r="D116" i="3"/>
  <c r="I116" i="3" s="1"/>
  <c r="D117" i="3"/>
  <c r="I117" i="3" s="1"/>
  <c r="D118" i="3"/>
  <c r="I118" i="3" s="1"/>
  <c r="D119" i="3"/>
  <c r="I119" i="3" s="1"/>
  <c r="D120" i="3"/>
  <c r="I120" i="3" s="1"/>
  <c r="D121" i="3"/>
  <c r="I121" i="3" s="1"/>
  <c r="D122" i="3"/>
  <c r="I122" i="3" s="1"/>
  <c r="D123" i="3"/>
  <c r="I123" i="3" s="1"/>
  <c r="D124" i="3"/>
  <c r="I124" i="3" s="1"/>
  <c r="D125" i="3"/>
  <c r="I125" i="3" s="1"/>
  <c r="D126" i="3"/>
  <c r="I126" i="3" s="1"/>
  <c r="D127" i="3"/>
  <c r="I127" i="3" s="1"/>
  <c r="D128" i="3"/>
  <c r="I128" i="3" s="1"/>
  <c r="D129" i="3"/>
  <c r="I129" i="3" s="1"/>
  <c r="D130" i="3"/>
  <c r="I130" i="3" s="1"/>
  <c r="D131" i="3"/>
  <c r="I131" i="3" s="1"/>
  <c r="D132" i="3"/>
  <c r="I132" i="3" s="1"/>
  <c r="D133" i="3"/>
  <c r="I133" i="3" s="1"/>
  <c r="D134" i="3"/>
  <c r="I134" i="3" s="1"/>
  <c r="D135" i="3"/>
  <c r="I135" i="3" s="1"/>
  <c r="D136" i="3"/>
  <c r="I136" i="3" s="1"/>
  <c r="D137" i="3"/>
  <c r="I137" i="3" s="1"/>
  <c r="D138" i="3"/>
  <c r="I138" i="3" s="1"/>
  <c r="D139" i="3"/>
  <c r="I139" i="3" s="1"/>
  <c r="D140" i="3"/>
  <c r="I140" i="3" s="1"/>
  <c r="D141" i="3"/>
  <c r="I141" i="3" s="1"/>
  <c r="D142" i="3"/>
  <c r="I142" i="3" s="1"/>
  <c r="D143" i="3"/>
  <c r="I143" i="3" s="1"/>
  <c r="D144" i="3"/>
  <c r="I144" i="3" s="1"/>
  <c r="D145" i="3"/>
  <c r="I145" i="3" s="1"/>
  <c r="D146" i="3"/>
  <c r="I146" i="3" s="1"/>
  <c r="D147" i="3"/>
  <c r="I147" i="3" s="1"/>
  <c r="D148" i="3"/>
  <c r="I148" i="3" s="1"/>
  <c r="D149" i="3"/>
  <c r="I149" i="3" s="1"/>
  <c r="D150" i="3"/>
  <c r="I150" i="3" s="1"/>
  <c r="D151" i="3"/>
  <c r="I151" i="3" s="1"/>
  <c r="D152" i="3"/>
  <c r="I152" i="3" s="1"/>
  <c r="D153" i="3"/>
  <c r="I153" i="3" s="1"/>
  <c r="D154" i="3"/>
  <c r="I154" i="3" s="1"/>
  <c r="D155" i="3"/>
  <c r="I155" i="3" s="1"/>
  <c r="D156" i="3"/>
  <c r="I156" i="3" s="1"/>
  <c r="D157" i="3"/>
  <c r="I157" i="3" s="1"/>
  <c r="D158" i="3"/>
  <c r="I158" i="3" s="1"/>
  <c r="D159" i="3"/>
  <c r="I159" i="3" s="1"/>
  <c r="D160" i="3"/>
  <c r="I160" i="3" s="1"/>
  <c r="D161" i="3"/>
  <c r="I161" i="3" s="1"/>
  <c r="D162" i="3"/>
  <c r="I162" i="3" s="1"/>
  <c r="D163" i="3"/>
  <c r="I163" i="3" s="1"/>
  <c r="D164" i="3"/>
  <c r="I164" i="3" s="1"/>
  <c r="D165" i="3"/>
  <c r="I165" i="3" s="1"/>
  <c r="D166" i="3"/>
  <c r="I166" i="3" s="1"/>
  <c r="D167" i="3"/>
  <c r="I167" i="3" s="1"/>
  <c r="D168" i="3"/>
  <c r="I168" i="3" s="1"/>
  <c r="D169" i="3"/>
  <c r="I169" i="3" s="1"/>
  <c r="D170" i="3"/>
  <c r="I170" i="3" s="1"/>
  <c r="D171" i="3"/>
  <c r="I171" i="3" s="1"/>
  <c r="D172" i="3"/>
  <c r="I172" i="3" s="1"/>
  <c r="D173" i="3"/>
  <c r="I173" i="3" s="1"/>
  <c r="D174" i="3"/>
  <c r="I174" i="3" s="1"/>
  <c r="D175" i="3"/>
  <c r="I175" i="3" s="1"/>
  <c r="D176" i="3"/>
  <c r="I176" i="3" s="1"/>
  <c r="D177" i="3"/>
  <c r="I177" i="3" s="1"/>
  <c r="D178" i="3"/>
  <c r="I178" i="3" s="1"/>
  <c r="D179" i="3"/>
  <c r="I179" i="3" s="1"/>
  <c r="D180" i="3"/>
  <c r="I180" i="3" s="1"/>
  <c r="D181" i="3"/>
  <c r="I181" i="3" s="1"/>
  <c r="D182" i="3"/>
  <c r="I182" i="3" s="1"/>
  <c r="D183" i="3"/>
  <c r="I183" i="3" s="1"/>
  <c r="D184" i="3"/>
  <c r="I184" i="3" s="1"/>
  <c r="D185" i="3"/>
  <c r="I185" i="3" s="1"/>
  <c r="D186" i="3"/>
  <c r="I186" i="3" s="1"/>
  <c r="D187" i="3"/>
  <c r="I187" i="3" s="1"/>
  <c r="D188" i="3"/>
  <c r="I188" i="3" s="1"/>
  <c r="D189" i="3"/>
  <c r="I189" i="3" s="1"/>
  <c r="D190" i="3"/>
  <c r="I190" i="3" s="1"/>
  <c r="D191" i="3"/>
  <c r="I191" i="3" s="1"/>
  <c r="D192" i="3"/>
  <c r="I192" i="3" s="1"/>
  <c r="D193" i="3"/>
  <c r="I193" i="3" s="1"/>
  <c r="D194" i="3"/>
  <c r="I194" i="3" s="1"/>
  <c r="D195" i="3"/>
  <c r="I195" i="3" s="1"/>
  <c r="D196" i="3"/>
  <c r="I196" i="3" s="1"/>
  <c r="D197" i="3"/>
  <c r="I197" i="3" s="1"/>
  <c r="D198" i="3"/>
  <c r="I198" i="3" s="1"/>
  <c r="D199" i="3"/>
  <c r="I199" i="3" s="1"/>
  <c r="D200" i="3"/>
  <c r="I200" i="3" s="1"/>
  <c r="D201" i="3"/>
  <c r="I201" i="3" s="1"/>
  <c r="E22" i="3"/>
  <c r="J22" i="3" s="1"/>
  <c r="E23" i="3"/>
  <c r="J23" i="3" s="1"/>
  <c r="E24" i="3"/>
  <c r="J24" i="3" s="1"/>
  <c r="E25" i="3"/>
  <c r="J25" i="3" s="1"/>
  <c r="E26" i="3"/>
  <c r="J26" i="3" s="1"/>
  <c r="E27" i="3"/>
  <c r="J27" i="3" s="1"/>
  <c r="E28" i="3"/>
  <c r="J28" i="3" s="1"/>
  <c r="E29" i="3"/>
  <c r="J29" i="3" s="1"/>
  <c r="E30" i="3"/>
  <c r="J30" i="3" s="1"/>
  <c r="E31" i="3"/>
  <c r="J31" i="3" s="1"/>
  <c r="E32" i="3"/>
  <c r="J32" i="3" s="1"/>
  <c r="E33" i="3"/>
  <c r="J33" i="3" s="1"/>
  <c r="E34" i="3"/>
  <c r="J34" i="3" s="1"/>
  <c r="E35" i="3"/>
  <c r="J35" i="3" s="1"/>
  <c r="E36" i="3"/>
  <c r="J36" i="3" s="1"/>
  <c r="E37" i="3"/>
  <c r="J37" i="3" s="1"/>
  <c r="E38" i="3"/>
  <c r="J38" i="3" s="1"/>
  <c r="E39" i="3"/>
  <c r="J39" i="3" s="1"/>
  <c r="E40" i="3"/>
  <c r="J40" i="3" s="1"/>
  <c r="E41" i="3"/>
  <c r="J41" i="3" s="1"/>
  <c r="E42" i="3"/>
  <c r="J42" i="3" s="1"/>
  <c r="E43" i="3"/>
  <c r="J43" i="3" s="1"/>
  <c r="E44" i="3"/>
  <c r="J44" i="3" s="1"/>
  <c r="E45" i="3"/>
  <c r="J45" i="3" s="1"/>
  <c r="E46" i="3"/>
  <c r="J46" i="3" s="1"/>
  <c r="E47" i="3"/>
  <c r="J47" i="3" s="1"/>
  <c r="E48" i="3"/>
  <c r="J48" i="3" s="1"/>
  <c r="E49" i="3"/>
  <c r="J49" i="3" s="1"/>
  <c r="E50" i="3"/>
  <c r="J50" i="3" s="1"/>
  <c r="E51" i="3"/>
  <c r="J51" i="3" s="1"/>
  <c r="E52" i="3"/>
  <c r="J52" i="3" s="1"/>
  <c r="E53" i="3"/>
  <c r="J53" i="3" s="1"/>
  <c r="E54" i="3"/>
  <c r="J54" i="3" s="1"/>
  <c r="E55" i="3"/>
  <c r="J55" i="3" s="1"/>
  <c r="E56" i="3"/>
  <c r="J56" i="3" s="1"/>
  <c r="E57" i="3"/>
  <c r="J57" i="3" s="1"/>
  <c r="E58" i="3"/>
  <c r="J58" i="3" s="1"/>
  <c r="E59" i="3"/>
  <c r="J59" i="3" s="1"/>
  <c r="E60" i="3"/>
  <c r="J60" i="3" s="1"/>
  <c r="E61" i="3"/>
  <c r="J61" i="3" s="1"/>
  <c r="E62" i="3"/>
  <c r="J62" i="3" s="1"/>
  <c r="E63" i="3"/>
  <c r="J63" i="3" s="1"/>
  <c r="E64" i="3"/>
  <c r="J64" i="3" s="1"/>
  <c r="E65" i="3"/>
  <c r="J65" i="3" s="1"/>
  <c r="E66" i="3"/>
  <c r="J66" i="3" s="1"/>
  <c r="E67" i="3"/>
  <c r="J67" i="3" s="1"/>
  <c r="E68" i="3"/>
  <c r="J68" i="3" s="1"/>
  <c r="E69" i="3"/>
  <c r="J69" i="3" s="1"/>
  <c r="E70" i="3"/>
  <c r="J70" i="3" s="1"/>
  <c r="E71" i="3"/>
  <c r="J71" i="3" s="1"/>
  <c r="E72" i="3"/>
  <c r="J72" i="3" s="1"/>
  <c r="E73" i="3"/>
  <c r="J73" i="3" s="1"/>
  <c r="E74" i="3"/>
  <c r="J74" i="3" s="1"/>
  <c r="E75" i="3"/>
  <c r="J75" i="3" s="1"/>
  <c r="E76" i="3"/>
  <c r="J76" i="3" s="1"/>
  <c r="E77" i="3"/>
  <c r="J77" i="3" s="1"/>
  <c r="E78" i="3"/>
  <c r="J78" i="3" s="1"/>
  <c r="E79" i="3"/>
  <c r="J79" i="3" s="1"/>
  <c r="E80" i="3"/>
  <c r="J80" i="3" s="1"/>
  <c r="E81" i="3"/>
  <c r="J81" i="3" s="1"/>
  <c r="E82" i="3"/>
  <c r="J82" i="3" s="1"/>
  <c r="E83" i="3"/>
  <c r="J83" i="3" s="1"/>
  <c r="E84" i="3"/>
  <c r="J84" i="3" s="1"/>
  <c r="E85" i="3"/>
  <c r="J85" i="3" s="1"/>
  <c r="E86" i="3"/>
  <c r="J86" i="3" s="1"/>
  <c r="E87" i="3"/>
  <c r="J87" i="3" s="1"/>
  <c r="E88" i="3"/>
  <c r="J88" i="3" s="1"/>
  <c r="E89" i="3"/>
  <c r="J89" i="3" s="1"/>
  <c r="E90" i="3"/>
  <c r="J90" i="3" s="1"/>
  <c r="E91" i="3"/>
  <c r="J91" i="3" s="1"/>
  <c r="E92" i="3"/>
  <c r="J92" i="3" s="1"/>
  <c r="E93" i="3"/>
  <c r="J93" i="3" s="1"/>
  <c r="E94" i="3"/>
  <c r="J94" i="3" s="1"/>
  <c r="E95" i="3"/>
  <c r="J95" i="3" s="1"/>
  <c r="E96" i="3"/>
  <c r="J96" i="3" s="1"/>
  <c r="E97" i="3"/>
  <c r="J97" i="3" s="1"/>
  <c r="E98" i="3"/>
  <c r="J98" i="3" s="1"/>
  <c r="E99" i="3"/>
  <c r="J99" i="3" s="1"/>
  <c r="E100" i="3"/>
  <c r="J100" i="3" s="1"/>
  <c r="E101" i="3"/>
  <c r="J101" i="3" s="1"/>
  <c r="E102" i="3"/>
  <c r="J102" i="3" s="1"/>
  <c r="E103" i="3"/>
  <c r="J103" i="3" s="1"/>
  <c r="E104" i="3"/>
  <c r="J104" i="3" s="1"/>
  <c r="E105" i="3"/>
  <c r="J105" i="3" s="1"/>
  <c r="E106" i="3"/>
  <c r="J106" i="3" s="1"/>
  <c r="E107" i="3"/>
  <c r="J107" i="3" s="1"/>
  <c r="E108" i="3"/>
  <c r="J108" i="3" s="1"/>
  <c r="E109" i="3"/>
  <c r="J109" i="3" s="1"/>
  <c r="E110" i="3"/>
  <c r="J110" i="3" s="1"/>
  <c r="E111" i="3"/>
  <c r="J111" i="3" s="1"/>
  <c r="E112" i="3"/>
  <c r="J112" i="3" s="1"/>
  <c r="E113" i="3"/>
  <c r="J113" i="3" s="1"/>
  <c r="E114" i="3"/>
  <c r="J114" i="3" s="1"/>
  <c r="E115" i="3"/>
  <c r="J115" i="3" s="1"/>
  <c r="E116" i="3"/>
  <c r="J116" i="3" s="1"/>
  <c r="E117" i="3"/>
  <c r="J117" i="3" s="1"/>
  <c r="E118" i="3"/>
  <c r="J118" i="3" s="1"/>
  <c r="E119" i="3"/>
  <c r="J119" i="3" s="1"/>
  <c r="E120" i="3"/>
  <c r="J120" i="3" s="1"/>
  <c r="E121" i="3"/>
  <c r="J121" i="3" s="1"/>
  <c r="E122" i="3"/>
  <c r="J122" i="3" s="1"/>
  <c r="E123" i="3"/>
  <c r="J123" i="3" s="1"/>
  <c r="E124" i="3"/>
  <c r="J124" i="3" s="1"/>
  <c r="E125" i="3"/>
  <c r="J125" i="3" s="1"/>
  <c r="E126" i="3"/>
  <c r="J126" i="3" s="1"/>
  <c r="E127" i="3"/>
  <c r="J127" i="3" s="1"/>
  <c r="E128" i="3"/>
  <c r="J128" i="3" s="1"/>
  <c r="E129" i="3"/>
  <c r="J129" i="3" s="1"/>
  <c r="E130" i="3"/>
  <c r="J130" i="3" s="1"/>
  <c r="E131" i="3"/>
  <c r="J131" i="3" s="1"/>
  <c r="E132" i="3"/>
  <c r="J132" i="3" s="1"/>
  <c r="E133" i="3"/>
  <c r="J133" i="3" s="1"/>
  <c r="E134" i="3"/>
  <c r="J134" i="3" s="1"/>
  <c r="E135" i="3"/>
  <c r="J135" i="3" s="1"/>
  <c r="E136" i="3"/>
  <c r="J136" i="3" s="1"/>
  <c r="E137" i="3"/>
  <c r="J137" i="3" s="1"/>
  <c r="E138" i="3"/>
  <c r="J138" i="3" s="1"/>
  <c r="E139" i="3"/>
  <c r="J139" i="3" s="1"/>
  <c r="E140" i="3"/>
  <c r="J140" i="3" s="1"/>
  <c r="E141" i="3"/>
  <c r="J141" i="3" s="1"/>
  <c r="E142" i="3"/>
  <c r="J142" i="3" s="1"/>
  <c r="E143" i="3"/>
  <c r="J143" i="3" s="1"/>
  <c r="E144" i="3"/>
  <c r="J144" i="3" s="1"/>
  <c r="E145" i="3"/>
  <c r="J145" i="3" s="1"/>
  <c r="E146" i="3"/>
  <c r="J146" i="3" s="1"/>
  <c r="E147" i="3"/>
  <c r="J147" i="3" s="1"/>
  <c r="E148" i="3"/>
  <c r="J148" i="3" s="1"/>
  <c r="E149" i="3"/>
  <c r="J149" i="3" s="1"/>
  <c r="E150" i="3"/>
  <c r="J150" i="3" s="1"/>
  <c r="E151" i="3"/>
  <c r="J151" i="3" s="1"/>
  <c r="E152" i="3"/>
  <c r="J152" i="3" s="1"/>
  <c r="E153" i="3"/>
  <c r="J153" i="3" s="1"/>
  <c r="E154" i="3"/>
  <c r="J154" i="3" s="1"/>
  <c r="E155" i="3"/>
  <c r="J155" i="3" s="1"/>
  <c r="E156" i="3"/>
  <c r="J156" i="3" s="1"/>
  <c r="E157" i="3"/>
  <c r="J157" i="3" s="1"/>
  <c r="E158" i="3"/>
  <c r="J158" i="3" s="1"/>
  <c r="E159" i="3"/>
  <c r="J159" i="3" s="1"/>
  <c r="E160" i="3"/>
  <c r="J160" i="3" s="1"/>
  <c r="E161" i="3"/>
  <c r="J161" i="3" s="1"/>
  <c r="E162" i="3"/>
  <c r="J162" i="3" s="1"/>
  <c r="E163" i="3"/>
  <c r="J163" i="3" s="1"/>
  <c r="E164" i="3"/>
  <c r="J164" i="3" s="1"/>
  <c r="E165" i="3"/>
  <c r="J165" i="3" s="1"/>
  <c r="E166" i="3"/>
  <c r="J166" i="3" s="1"/>
  <c r="E167" i="3"/>
  <c r="J167" i="3" s="1"/>
  <c r="E168" i="3"/>
  <c r="J168" i="3" s="1"/>
  <c r="E169" i="3"/>
  <c r="J169" i="3" s="1"/>
  <c r="E170" i="3"/>
  <c r="J170" i="3" s="1"/>
  <c r="E171" i="3"/>
  <c r="J171" i="3" s="1"/>
  <c r="E172" i="3"/>
  <c r="J172" i="3" s="1"/>
  <c r="E173" i="3"/>
  <c r="J173" i="3" s="1"/>
  <c r="E174" i="3"/>
  <c r="J174" i="3" s="1"/>
  <c r="E175" i="3"/>
  <c r="J175" i="3" s="1"/>
  <c r="E176" i="3"/>
  <c r="J176" i="3" s="1"/>
  <c r="E177" i="3"/>
  <c r="J177" i="3" s="1"/>
  <c r="E178" i="3"/>
  <c r="J178" i="3" s="1"/>
  <c r="E179" i="3"/>
  <c r="J179" i="3" s="1"/>
  <c r="E180" i="3"/>
  <c r="J180" i="3" s="1"/>
  <c r="E181" i="3"/>
  <c r="J181" i="3" s="1"/>
  <c r="E182" i="3"/>
  <c r="J182" i="3" s="1"/>
  <c r="E183" i="3"/>
  <c r="J183" i="3" s="1"/>
  <c r="E184" i="3"/>
  <c r="J184" i="3" s="1"/>
  <c r="E185" i="3"/>
  <c r="J185" i="3" s="1"/>
  <c r="E186" i="3"/>
  <c r="J186" i="3" s="1"/>
  <c r="E187" i="3"/>
  <c r="J187" i="3" s="1"/>
  <c r="E188" i="3"/>
  <c r="J188" i="3" s="1"/>
  <c r="E189" i="3"/>
  <c r="J189" i="3" s="1"/>
  <c r="E190" i="3"/>
  <c r="J190" i="3" s="1"/>
  <c r="E191" i="3"/>
  <c r="J191" i="3" s="1"/>
  <c r="E192" i="3"/>
  <c r="J192" i="3" s="1"/>
  <c r="E193" i="3"/>
  <c r="J193" i="3" s="1"/>
  <c r="E194" i="3"/>
  <c r="J194" i="3" s="1"/>
  <c r="E195" i="3"/>
  <c r="J195" i="3" s="1"/>
  <c r="E196" i="3"/>
  <c r="J196" i="3" s="1"/>
  <c r="E197" i="3"/>
  <c r="J197" i="3" s="1"/>
  <c r="E198" i="3"/>
  <c r="J198" i="3" s="1"/>
  <c r="E199" i="3"/>
  <c r="J199" i="3" s="1"/>
  <c r="E200" i="3"/>
  <c r="J200" i="3" s="1"/>
  <c r="E201" i="3"/>
  <c r="J201" i="3" s="1"/>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X188" i="30"/>
  <c r="X189" i="30"/>
  <c r="X190" i="30"/>
  <c r="X191" i="30"/>
  <c r="X192" i="30"/>
  <c r="X193" i="30"/>
  <c r="X194" i="30"/>
  <c r="X195" i="30"/>
  <c r="X196" i="30"/>
  <c r="X197" i="30"/>
  <c r="X198" i="30"/>
  <c r="X199" i="30"/>
  <c r="X200" i="30"/>
  <c r="M201" i="7" s="1"/>
  <c r="AW188" i="30"/>
  <c r="AW189" i="30"/>
  <c r="AW190" i="30"/>
  <c r="AW191" i="30"/>
  <c r="AW192" i="30"/>
  <c r="AW193" i="30"/>
  <c r="AW194" i="30"/>
  <c r="AW195" i="30"/>
  <c r="AW196" i="30"/>
  <c r="AW197" i="30"/>
  <c r="AW198" i="30"/>
  <c r="AW199" i="30"/>
  <c r="AW200" i="30"/>
  <c r="M200" i="7" l="1"/>
  <c r="M192" i="7"/>
  <c r="M184" i="7"/>
  <c r="M176" i="7"/>
  <c r="M168" i="7"/>
  <c r="M160" i="7"/>
  <c r="M152" i="7"/>
  <c r="M144" i="7"/>
  <c r="M136" i="7"/>
  <c r="M128" i="7"/>
  <c r="M120" i="7"/>
  <c r="M112" i="7"/>
  <c r="M104" i="7"/>
  <c r="M96" i="7"/>
  <c r="M88" i="7"/>
  <c r="M80" i="7"/>
  <c r="M72" i="7"/>
  <c r="M64" i="7"/>
  <c r="M194" i="7"/>
  <c r="M186" i="7"/>
  <c r="M178" i="7"/>
  <c r="M170" i="7"/>
  <c r="M162" i="7"/>
  <c r="M154" i="7"/>
  <c r="M146" i="7"/>
  <c r="M138" i="7"/>
  <c r="M130" i="7"/>
  <c r="M122" i="7"/>
  <c r="M114" i="7"/>
  <c r="M106" i="7"/>
  <c r="M98" i="7"/>
  <c r="M90" i="7"/>
  <c r="M82" i="7"/>
  <c r="M74" i="7"/>
  <c r="M66" i="7"/>
  <c r="M199" i="7"/>
  <c r="M191" i="7"/>
  <c r="M183" i="7"/>
  <c r="M175" i="7"/>
  <c r="M167" i="7"/>
  <c r="M159" i="7"/>
  <c r="M151" i="7"/>
  <c r="M143" i="7"/>
  <c r="M135" i="7"/>
  <c r="M127" i="7"/>
  <c r="M119" i="7"/>
  <c r="M111" i="7"/>
  <c r="M103" i="7"/>
  <c r="M95" i="7"/>
  <c r="M87" i="7"/>
  <c r="M79" i="7"/>
  <c r="M71" i="7"/>
  <c r="M63" i="7"/>
  <c r="M196" i="7"/>
  <c r="M188" i="7"/>
  <c r="M180" i="7"/>
  <c r="M172" i="7"/>
  <c r="M164" i="7"/>
  <c r="M156" i="7"/>
  <c r="M148" i="7"/>
  <c r="M140" i="7"/>
  <c r="M132" i="7"/>
  <c r="M124" i="7"/>
  <c r="M116" i="7"/>
  <c r="M108" i="7"/>
  <c r="M100" i="7"/>
  <c r="M92" i="7"/>
  <c r="M84" i="7"/>
  <c r="M76" i="7"/>
  <c r="M68" i="7"/>
  <c r="M60" i="7"/>
  <c r="M193" i="7"/>
  <c r="M185" i="7"/>
  <c r="M177" i="7"/>
  <c r="M169" i="7"/>
  <c r="M161" i="7"/>
  <c r="M153" i="7"/>
  <c r="M145" i="7"/>
  <c r="M137" i="7"/>
  <c r="M129" i="7"/>
  <c r="M121" i="7"/>
  <c r="M113" i="7"/>
  <c r="M105" i="7"/>
  <c r="M97" i="7"/>
  <c r="M89" i="7"/>
  <c r="M81" i="7"/>
  <c r="M73" i="7"/>
  <c r="M65" i="7"/>
  <c r="M190" i="7"/>
  <c r="M174" i="7"/>
  <c r="M158" i="7"/>
  <c r="M142" i="7"/>
  <c r="M126" i="7"/>
  <c r="M110" i="7"/>
  <c r="M94" i="7"/>
  <c r="M62" i="7"/>
  <c r="M198" i="7"/>
  <c r="M182" i="7"/>
  <c r="M166" i="7"/>
  <c r="M150" i="7"/>
  <c r="M134" i="7"/>
  <c r="M118" i="7"/>
  <c r="M102" i="7"/>
  <c r="M86" i="7"/>
  <c r="M78" i="7"/>
  <c r="M70" i="7"/>
  <c r="M197" i="7"/>
  <c r="M189" i="7"/>
  <c r="M181" i="7"/>
  <c r="M173" i="7"/>
  <c r="M165" i="7"/>
  <c r="M157" i="7"/>
  <c r="M149" i="7"/>
  <c r="M141" i="7"/>
  <c r="M133" i="7"/>
  <c r="M125" i="7"/>
  <c r="M117" i="7"/>
  <c r="M109" i="7"/>
  <c r="M101" i="7"/>
  <c r="M93" i="7"/>
  <c r="M85" i="7"/>
  <c r="M77" i="7"/>
  <c r="M69" i="7"/>
  <c r="M61" i="7"/>
  <c r="M195" i="7"/>
  <c r="M187" i="7"/>
  <c r="M179" i="7"/>
  <c r="M171" i="7"/>
  <c r="M163" i="7"/>
  <c r="M155" i="7"/>
  <c r="M147" i="7"/>
  <c r="M139" i="7"/>
  <c r="M131" i="7"/>
  <c r="M123" i="7"/>
  <c r="M115" i="7"/>
  <c r="M107" i="7"/>
  <c r="M99" i="7"/>
  <c r="M91" i="7"/>
  <c r="M83" i="7"/>
  <c r="M75" i="7"/>
  <c r="M67" i="7"/>
  <c r="M59" i="7"/>
  <c r="M58" i="7"/>
  <c r="M22" i="7" l="1"/>
  <c r="M38" i="7"/>
  <c r="M51" i="7"/>
  <c r="M43" i="7"/>
  <c r="M35" i="7"/>
  <c r="M27" i="7"/>
  <c r="M50" i="7"/>
  <c r="M42" i="7"/>
  <c r="M34" i="7"/>
  <c r="M26" i="7"/>
  <c r="M55" i="7"/>
  <c r="M47" i="7"/>
  <c r="M39" i="7"/>
  <c r="M31" i="7"/>
  <c r="M23" i="7"/>
  <c r="M57" i="7"/>
  <c r="M41" i="7"/>
  <c r="M33" i="7"/>
  <c r="M56" i="7"/>
  <c r="M48" i="7"/>
  <c r="M40" i="7"/>
  <c r="M32" i="7"/>
  <c r="M24" i="7"/>
  <c r="M46" i="7"/>
  <c r="M30" i="7"/>
  <c r="M54" i="7"/>
  <c r="M53" i="7"/>
  <c r="M29" i="7"/>
  <c r="M45" i="7"/>
  <c r="M37" i="7"/>
  <c r="M52" i="7"/>
  <c r="M44" i="7"/>
  <c r="M36" i="7"/>
  <c r="M28" i="7"/>
  <c r="M49" i="7"/>
  <c r="M25" i="7"/>
  <c r="C2" i="42"/>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C33" i="42"/>
  <c r="C34" i="42"/>
  <c r="C35" i="42"/>
  <c r="C36" i="42"/>
  <c r="C37" i="42"/>
  <c r="C38" i="42"/>
  <c r="C39" i="42"/>
  <c r="C40" i="42"/>
  <c r="C41" i="42"/>
  <c r="B2" i="29"/>
  <c r="B3" i="29"/>
  <c r="B4" i="29"/>
  <c r="B5" i="29"/>
  <c r="B6" i="29"/>
  <c r="B7" i="29"/>
  <c r="B8" i="29"/>
  <c r="B9" i="29"/>
  <c r="B10" i="29"/>
  <c r="B11" i="29"/>
  <c r="B12" i="29"/>
  <c r="B13" i="29"/>
  <c r="B14" i="29"/>
  <c r="B15" i="29"/>
  <c r="B16" i="29"/>
  <c r="B17" i="29"/>
  <c r="B18" i="29"/>
  <c r="B19" i="29"/>
  <c r="B20" i="29"/>
  <c r="B21" i="29"/>
  <c r="B4" i="5"/>
  <c r="B2" i="5"/>
  <c r="B5" i="5"/>
  <c r="B6" i="5"/>
  <c r="B7" i="5"/>
  <c r="B8" i="5"/>
  <c r="B9" i="5"/>
  <c r="B10" i="5"/>
  <c r="B11" i="5"/>
  <c r="B12" i="5"/>
  <c r="B13" i="5"/>
  <c r="B14" i="5"/>
  <c r="B15" i="5"/>
  <c r="B16" i="5"/>
  <c r="B17" i="5"/>
  <c r="B18" i="5"/>
  <c r="B19" i="5"/>
  <c r="B20" i="5"/>
  <c r="B21" i="5"/>
  <c r="C2" i="3"/>
  <c r="C3" i="3"/>
  <c r="C4" i="3"/>
  <c r="C5" i="3"/>
  <c r="C6" i="3"/>
  <c r="C7" i="3"/>
  <c r="C8" i="3"/>
  <c r="C9" i="3"/>
  <c r="C10" i="3"/>
  <c r="C11" i="3"/>
  <c r="C12" i="3"/>
  <c r="C13" i="3"/>
  <c r="C14" i="3"/>
  <c r="C15" i="3"/>
  <c r="C16" i="3"/>
  <c r="C17" i="3"/>
  <c r="C18" i="3"/>
  <c r="C19" i="3"/>
  <c r="C20" i="3"/>
  <c r="C21" i="3"/>
  <c r="B2" i="3"/>
  <c r="B3" i="3"/>
  <c r="B4" i="3"/>
  <c r="B5" i="3"/>
  <c r="B6" i="3"/>
  <c r="B7" i="3"/>
  <c r="B8" i="3"/>
  <c r="B9" i="3"/>
  <c r="B10" i="3"/>
  <c r="B11" i="3"/>
  <c r="B12" i="3"/>
  <c r="B13" i="3"/>
  <c r="B14" i="3"/>
  <c r="B15" i="3"/>
  <c r="B16" i="3"/>
  <c r="B17" i="3"/>
  <c r="B18" i="3"/>
  <c r="B19" i="3"/>
  <c r="B20" i="3"/>
  <c r="B21" i="3"/>
  <c r="F2" i="9" l="1"/>
  <c r="F3" i="9"/>
  <c r="F4" i="9"/>
  <c r="F5" i="9"/>
  <c r="F6" i="9"/>
  <c r="F7" i="9"/>
  <c r="F8" i="9"/>
  <c r="F9" i="9"/>
  <c r="F10" i="9"/>
  <c r="F11" i="9"/>
  <c r="F12" i="9"/>
  <c r="F13" i="9"/>
  <c r="F14" i="9"/>
  <c r="F15" i="9"/>
  <c r="F16" i="9"/>
  <c r="F17" i="9"/>
  <c r="F18" i="9"/>
  <c r="F19" i="9"/>
  <c r="F20" i="9"/>
  <c r="F21" i="9"/>
  <c r="E2" i="9"/>
  <c r="E3" i="9"/>
  <c r="E4" i="9"/>
  <c r="E5" i="9"/>
  <c r="E6" i="9"/>
  <c r="E7" i="9"/>
  <c r="E8" i="9"/>
  <c r="E9" i="9"/>
  <c r="E10" i="9"/>
  <c r="E11" i="9"/>
  <c r="E12" i="9"/>
  <c r="E13" i="9"/>
  <c r="E14" i="9"/>
  <c r="E15" i="9"/>
  <c r="E16" i="9"/>
  <c r="E17" i="9"/>
  <c r="E18" i="9"/>
  <c r="E19" i="9"/>
  <c r="E20" i="9"/>
  <c r="E21" i="9"/>
  <c r="D2" i="9"/>
  <c r="D3" i="9"/>
  <c r="D4" i="9"/>
  <c r="D5" i="9"/>
  <c r="D6" i="9"/>
  <c r="D7" i="9"/>
  <c r="D8" i="9"/>
  <c r="D9" i="9"/>
  <c r="D10" i="9"/>
  <c r="D11" i="9"/>
  <c r="D12" i="9"/>
  <c r="D13" i="9"/>
  <c r="D14" i="9"/>
  <c r="D15" i="9"/>
  <c r="D16" i="9"/>
  <c r="D17" i="9"/>
  <c r="D18" i="9"/>
  <c r="D19" i="9"/>
  <c r="D20" i="9"/>
  <c r="D21" i="9"/>
  <c r="G21" i="9"/>
  <c r="C21" i="9"/>
  <c r="B21" i="9"/>
  <c r="G20" i="9"/>
  <c r="C20" i="9"/>
  <c r="B20" i="9"/>
  <c r="G19" i="9"/>
  <c r="C19" i="9"/>
  <c r="B19" i="9"/>
  <c r="G18" i="9"/>
  <c r="C18" i="9"/>
  <c r="B18" i="9"/>
  <c r="G17" i="9"/>
  <c r="C17" i="9"/>
  <c r="B17" i="9"/>
  <c r="G16" i="9"/>
  <c r="C16" i="9"/>
  <c r="B16" i="9"/>
  <c r="G15" i="9"/>
  <c r="C15" i="9"/>
  <c r="B15" i="9"/>
  <c r="G14" i="9"/>
  <c r="C14" i="9"/>
  <c r="B14" i="9"/>
  <c r="G13" i="9"/>
  <c r="C13" i="9"/>
  <c r="B13" i="9"/>
  <c r="G12" i="9"/>
  <c r="C12" i="9"/>
  <c r="B12" i="9"/>
  <c r="G11" i="9"/>
  <c r="C11" i="9"/>
  <c r="B11" i="9"/>
  <c r="G10" i="9"/>
  <c r="C10" i="9"/>
  <c r="B10" i="9"/>
  <c r="G9" i="9"/>
  <c r="C9" i="9"/>
  <c r="B9" i="9"/>
  <c r="G8" i="9"/>
  <c r="C8" i="9"/>
  <c r="B8" i="9"/>
  <c r="G7" i="9"/>
  <c r="C7" i="9"/>
  <c r="B7" i="9"/>
  <c r="G6" i="9"/>
  <c r="C6" i="9"/>
  <c r="B6" i="9"/>
  <c r="G5" i="9"/>
  <c r="C5" i="9"/>
  <c r="B5" i="9"/>
  <c r="G4" i="9"/>
  <c r="C4" i="9"/>
  <c r="B4" i="9"/>
  <c r="G3" i="9"/>
  <c r="C3" i="9"/>
  <c r="B3" i="9"/>
  <c r="G2" i="9"/>
  <c r="C2" i="9"/>
  <c r="B2" i="9"/>
  <c r="F2" i="35"/>
  <c r="F3" i="35"/>
  <c r="F4" i="35"/>
  <c r="F5" i="35"/>
  <c r="F6" i="35"/>
  <c r="F7" i="35"/>
  <c r="F8" i="35"/>
  <c r="F9" i="35"/>
  <c r="F10" i="35"/>
  <c r="F11" i="35"/>
  <c r="F12" i="35"/>
  <c r="F13" i="35"/>
  <c r="F14" i="35"/>
  <c r="F15" i="35"/>
  <c r="F16" i="35"/>
  <c r="F17" i="35"/>
  <c r="F18" i="35"/>
  <c r="F19" i="35"/>
  <c r="F20" i="35"/>
  <c r="F21" i="35"/>
  <c r="E2" i="35"/>
  <c r="E3" i="35"/>
  <c r="E4" i="35"/>
  <c r="E5" i="35"/>
  <c r="E6" i="35"/>
  <c r="E7" i="35"/>
  <c r="E8" i="35"/>
  <c r="E9" i="35"/>
  <c r="E10" i="35"/>
  <c r="E11" i="35"/>
  <c r="E12" i="35"/>
  <c r="E13" i="35"/>
  <c r="E14" i="35"/>
  <c r="E15" i="35"/>
  <c r="E16" i="35"/>
  <c r="E17" i="35"/>
  <c r="E18" i="35"/>
  <c r="E19" i="35"/>
  <c r="E20" i="35"/>
  <c r="E21" i="35"/>
  <c r="D2" i="35"/>
  <c r="D3" i="35"/>
  <c r="D4" i="35"/>
  <c r="D5" i="35"/>
  <c r="D6" i="35"/>
  <c r="D7" i="35"/>
  <c r="D8" i="35"/>
  <c r="D9" i="35"/>
  <c r="D10" i="35"/>
  <c r="D11" i="35"/>
  <c r="D12" i="35"/>
  <c r="D13" i="35"/>
  <c r="D14" i="35"/>
  <c r="D15" i="35"/>
  <c r="D16" i="35"/>
  <c r="D17" i="35"/>
  <c r="D18" i="35"/>
  <c r="D19" i="35"/>
  <c r="D20" i="35"/>
  <c r="D21" i="35"/>
  <c r="G21" i="35"/>
  <c r="C21" i="35"/>
  <c r="B21" i="35"/>
  <c r="G20" i="35"/>
  <c r="C20" i="35"/>
  <c r="B20" i="35"/>
  <c r="G19" i="35"/>
  <c r="C19" i="35"/>
  <c r="B19" i="35"/>
  <c r="G18" i="35"/>
  <c r="C18" i="35"/>
  <c r="B18" i="35"/>
  <c r="G17" i="35"/>
  <c r="C17" i="35"/>
  <c r="B17" i="35"/>
  <c r="G16" i="35"/>
  <c r="C16" i="35"/>
  <c r="B16" i="35"/>
  <c r="G15" i="35"/>
  <c r="C15" i="35"/>
  <c r="B15" i="35"/>
  <c r="G14" i="35"/>
  <c r="C14" i="35"/>
  <c r="B14" i="35"/>
  <c r="G13" i="35"/>
  <c r="C13" i="35"/>
  <c r="B13" i="35"/>
  <c r="G12" i="35"/>
  <c r="C12" i="35"/>
  <c r="B12" i="35"/>
  <c r="G11" i="35"/>
  <c r="C11" i="35"/>
  <c r="B11" i="35"/>
  <c r="G10" i="35"/>
  <c r="C10" i="35"/>
  <c r="B10" i="35"/>
  <c r="G9" i="35"/>
  <c r="C9" i="35"/>
  <c r="B9" i="35"/>
  <c r="G8" i="35"/>
  <c r="C8" i="35"/>
  <c r="B8" i="35"/>
  <c r="G7" i="35"/>
  <c r="C7" i="35"/>
  <c r="B7" i="35"/>
  <c r="G6" i="35"/>
  <c r="C6" i="35"/>
  <c r="B6" i="35"/>
  <c r="G5" i="35"/>
  <c r="C5" i="35"/>
  <c r="B5" i="35"/>
  <c r="G4" i="35"/>
  <c r="C4" i="35"/>
  <c r="B4" i="35"/>
  <c r="G3" i="35"/>
  <c r="C3" i="35"/>
  <c r="B3" i="35"/>
  <c r="G2" i="35"/>
  <c r="C2" i="35"/>
  <c r="B2" i="35"/>
  <c r="E2" i="19"/>
  <c r="E3" i="19"/>
  <c r="E4" i="19"/>
  <c r="E5" i="19"/>
  <c r="E6" i="19"/>
  <c r="E7" i="19"/>
  <c r="E8" i="19"/>
  <c r="E9" i="19"/>
  <c r="E10" i="19"/>
  <c r="E11" i="19"/>
  <c r="E12" i="19"/>
  <c r="E13" i="19"/>
  <c r="E14" i="19"/>
  <c r="E15" i="19"/>
  <c r="E16" i="19"/>
  <c r="E17" i="19"/>
  <c r="E18" i="19"/>
  <c r="E19" i="19"/>
  <c r="E20" i="19"/>
  <c r="E21" i="19"/>
  <c r="I21" i="19"/>
  <c r="H21" i="19"/>
  <c r="F21" i="19"/>
  <c r="D21" i="19"/>
  <c r="C21" i="19"/>
  <c r="B21" i="19"/>
  <c r="I20" i="19"/>
  <c r="H20" i="19"/>
  <c r="F20" i="19"/>
  <c r="D20" i="19"/>
  <c r="C20" i="19"/>
  <c r="B20" i="19"/>
  <c r="I19" i="19"/>
  <c r="H19" i="19"/>
  <c r="F19" i="19"/>
  <c r="D19" i="19"/>
  <c r="C19" i="19"/>
  <c r="B19" i="19"/>
  <c r="I18" i="19"/>
  <c r="H18" i="19"/>
  <c r="F18" i="19"/>
  <c r="D18" i="19"/>
  <c r="C18" i="19"/>
  <c r="B18" i="19"/>
  <c r="I17" i="19"/>
  <c r="H17" i="19"/>
  <c r="F17" i="19"/>
  <c r="D17" i="19"/>
  <c r="C17" i="19"/>
  <c r="B17" i="19"/>
  <c r="I16" i="19"/>
  <c r="H16" i="19"/>
  <c r="F16" i="19"/>
  <c r="D16" i="19"/>
  <c r="C16" i="19"/>
  <c r="B16" i="19"/>
  <c r="I15" i="19"/>
  <c r="H15" i="19"/>
  <c r="F15" i="19"/>
  <c r="D15" i="19"/>
  <c r="C15" i="19"/>
  <c r="B15" i="19"/>
  <c r="I14" i="19"/>
  <c r="H14" i="19"/>
  <c r="F14" i="19"/>
  <c r="D14" i="19"/>
  <c r="C14" i="19"/>
  <c r="B14" i="19"/>
  <c r="I13" i="19"/>
  <c r="H13" i="19"/>
  <c r="F13" i="19"/>
  <c r="D13" i="19"/>
  <c r="C13" i="19"/>
  <c r="B13" i="19"/>
  <c r="I12" i="19"/>
  <c r="H12" i="19"/>
  <c r="F12" i="19"/>
  <c r="D12" i="19"/>
  <c r="C12" i="19"/>
  <c r="B12" i="19"/>
  <c r="I11" i="19"/>
  <c r="H11" i="19"/>
  <c r="F11" i="19"/>
  <c r="D11" i="19"/>
  <c r="C11" i="19"/>
  <c r="B11" i="19"/>
  <c r="I10" i="19"/>
  <c r="H10" i="19"/>
  <c r="F10" i="19"/>
  <c r="D10" i="19"/>
  <c r="C10" i="19"/>
  <c r="B10" i="19"/>
  <c r="I9" i="19"/>
  <c r="H9" i="19"/>
  <c r="F9" i="19"/>
  <c r="D9" i="19"/>
  <c r="C9" i="19"/>
  <c r="B9" i="19"/>
  <c r="I8" i="19"/>
  <c r="H8" i="19"/>
  <c r="F8" i="19"/>
  <c r="D8" i="19"/>
  <c r="C8" i="19"/>
  <c r="B8" i="19"/>
  <c r="I7" i="19"/>
  <c r="H7" i="19"/>
  <c r="F7" i="19"/>
  <c r="D7" i="19"/>
  <c r="C7" i="19"/>
  <c r="B7" i="19"/>
  <c r="I6" i="19"/>
  <c r="H6" i="19"/>
  <c r="F6" i="19"/>
  <c r="D6" i="19"/>
  <c r="C6" i="19"/>
  <c r="B6" i="19"/>
  <c r="I5" i="19"/>
  <c r="H5" i="19"/>
  <c r="F5" i="19"/>
  <c r="D5" i="19"/>
  <c r="C5" i="19"/>
  <c r="B5" i="19"/>
  <c r="I4" i="19"/>
  <c r="H4" i="19"/>
  <c r="F4" i="19"/>
  <c r="D4" i="19"/>
  <c r="C4" i="19"/>
  <c r="B4" i="19"/>
  <c r="I3" i="19"/>
  <c r="H3" i="19"/>
  <c r="F3" i="19"/>
  <c r="D3" i="19"/>
  <c r="C3" i="19"/>
  <c r="B3" i="19"/>
  <c r="I2" i="19"/>
  <c r="H2" i="19"/>
  <c r="F2" i="19"/>
  <c r="D2" i="19"/>
  <c r="C2" i="19"/>
  <c r="B2" i="19"/>
  <c r="E2" i="37"/>
  <c r="E3" i="37"/>
  <c r="E4" i="37"/>
  <c r="E5" i="37"/>
  <c r="E6" i="37"/>
  <c r="E7" i="37"/>
  <c r="E8" i="37"/>
  <c r="E9" i="37"/>
  <c r="E10" i="37"/>
  <c r="E11" i="37"/>
  <c r="E12" i="37"/>
  <c r="E13" i="37"/>
  <c r="E14" i="37"/>
  <c r="E15" i="37"/>
  <c r="E16" i="37"/>
  <c r="E17" i="37"/>
  <c r="E18" i="37"/>
  <c r="E19" i="37"/>
  <c r="E20" i="37"/>
  <c r="E21" i="37"/>
  <c r="I21" i="37"/>
  <c r="H21" i="37"/>
  <c r="F21" i="37"/>
  <c r="D21" i="37"/>
  <c r="C21" i="37"/>
  <c r="B21" i="37"/>
  <c r="I20" i="37"/>
  <c r="H20" i="37"/>
  <c r="F20" i="37"/>
  <c r="D20" i="37"/>
  <c r="C20" i="37"/>
  <c r="B20" i="37"/>
  <c r="I19" i="37"/>
  <c r="H19" i="37"/>
  <c r="F19" i="37"/>
  <c r="D19" i="37"/>
  <c r="C19" i="37"/>
  <c r="B19" i="37"/>
  <c r="I18" i="37"/>
  <c r="H18" i="37"/>
  <c r="F18" i="37"/>
  <c r="D18" i="37"/>
  <c r="C18" i="37"/>
  <c r="B18" i="37"/>
  <c r="I17" i="37"/>
  <c r="H17" i="37"/>
  <c r="F17" i="37"/>
  <c r="D17" i="37"/>
  <c r="C17" i="37"/>
  <c r="B17" i="37"/>
  <c r="I16" i="37"/>
  <c r="H16" i="37"/>
  <c r="F16" i="37"/>
  <c r="D16" i="37"/>
  <c r="C16" i="37"/>
  <c r="B16" i="37"/>
  <c r="I15" i="37"/>
  <c r="H15" i="37"/>
  <c r="F15" i="37"/>
  <c r="D15" i="37"/>
  <c r="C15" i="37"/>
  <c r="B15" i="37"/>
  <c r="I14" i="37"/>
  <c r="H14" i="37"/>
  <c r="F14" i="37"/>
  <c r="D14" i="37"/>
  <c r="C14" i="37"/>
  <c r="B14" i="37"/>
  <c r="I13" i="37"/>
  <c r="H13" i="37"/>
  <c r="F13" i="37"/>
  <c r="D13" i="37"/>
  <c r="C13" i="37"/>
  <c r="B13" i="37"/>
  <c r="I12" i="37"/>
  <c r="H12" i="37"/>
  <c r="F12" i="37"/>
  <c r="D12" i="37"/>
  <c r="C12" i="37"/>
  <c r="B12" i="37"/>
  <c r="I11" i="37"/>
  <c r="H11" i="37"/>
  <c r="F11" i="37"/>
  <c r="D11" i="37"/>
  <c r="C11" i="37"/>
  <c r="B11" i="37"/>
  <c r="I10" i="37"/>
  <c r="H10" i="37"/>
  <c r="F10" i="37"/>
  <c r="D10" i="37"/>
  <c r="C10" i="37"/>
  <c r="B10" i="37"/>
  <c r="I9" i="37"/>
  <c r="H9" i="37"/>
  <c r="F9" i="37"/>
  <c r="D9" i="37"/>
  <c r="C9" i="37"/>
  <c r="B9" i="37"/>
  <c r="I8" i="37"/>
  <c r="H8" i="37"/>
  <c r="F8" i="37"/>
  <c r="D8" i="37"/>
  <c r="C8" i="37"/>
  <c r="B8" i="37"/>
  <c r="I7" i="37"/>
  <c r="H7" i="37"/>
  <c r="F7" i="37"/>
  <c r="D7" i="37"/>
  <c r="C7" i="37"/>
  <c r="B7" i="37"/>
  <c r="I6" i="37"/>
  <c r="H6" i="37"/>
  <c r="F6" i="37"/>
  <c r="D6" i="37"/>
  <c r="C6" i="37"/>
  <c r="B6" i="37"/>
  <c r="I5" i="37"/>
  <c r="H5" i="37"/>
  <c r="F5" i="37"/>
  <c r="D5" i="37"/>
  <c r="C5" i="37"/>
  <c r="B5" i="37"/>
  <c r="I4" i="37"/>
  <c r="H4" i="37"/>
  <c r="F4" i="37"/>
  <c r="D4" i="37"/>
  <c r="C4" i="37"/>
  <c r="B4" i="37"/>
  <c r="I3" i="37"/>
  <c r="F3" i="37"/>
  <c r="D3" i="37"/>
  <c r="C3" i="37"/>
  <c r="B3" i="37"/>
  <c r="I2" i="37"/>
  <c r="H2" i="37"/>
  <c r="F2" i="37"/>
  <c r="D2" i="37"/>
  <c r="C2" i="37"/>
  <c r="B2" i="37"/>
  <c r="C2" i="2" l="1"/>
  <c r="R2" i="7" l="1"/>
  <c r="R3" i="7"/>
  <c r="R4" i="7"/>
  <c r="R5" i="7"/>
  <c r="R6" i="7"/>
  <c r="R7" i="7"/>
  <c r="R8" i="7"/>
  <c r="R9" i="7"/>
  <c r="R10" i="7"/>
  <c r="R11" i="7"/>
  <c r="R12" i="7"/>
  <c r="R13" i="7"/>
  <c r="R14" i="7"/>
  <c r="R15" i="7"/>
  <c r="R16" i="7"/>
  <c r="R17" i="7"/>
  <c r="R18" i="7"/>
  <c r="R19" i="7"/>
  <c r="R20" i="7"/>
  <c r="R21" i="7"/>
  <c r="H2" i="7"/>
  <c r="H3" i="7"/>
  <c r="H4" i="7"/>
  <c r="H5" i="7"/>
  <c r="H6" i="7"/>
  <c r="H7" i="7"/>
  <c r="H8" i="7"/>
  <c r="H9" i="7"/>
  <c r="H10" i="7"/>
  <c r="H11" i="7"/>
  <c r="H12" i="7"/>
  <c r="H13" i="7"/>
  <c r="H14" i="7"/>
  <c r="H15" i="7"/>
  <c r="H16" i="7"/>
  <c r="H17" i="7"/>
  <c r="H18" i="7"/>
  <c r="H19" i="7"/>
  <c r="H20" i="7"/>
  <c r="H21" i="7"/>
  <c r="G2" i="49" l="1"/>
  <c r="G3" i="49"/>
  <c r="G4" i="49"/>
  <c r="G5" i="49"/>
  <c r="G6" i="49"/>
  <c r="G7" i="49"/>
  <c r="G8" i="49"/>
  <c r="G9" i="49"/>
  <c r="G10" i="49"/>
  <c r="G11" i="49"/>
  <c r="G12" i="49"/>
  <c r="G13" i="49"/>
  <c r="G14" i="49"/>
  <c r="G15" i="49"/>
  <c r="G16" i="49"/>
  <c r="G17" i="49"/>
  <c r="G18" i="49"/>
  <c r="G19" i="49"/>
  <c r="G20" i="49"/>
  <c r="G21" i="49"/>
  <c r="G22" i="49"/>
  <c r="G23" i="49"/>
  <c r="G24" i="49"/>
  <c r="G25" i="49"/>
  <c r="G26" i="49"/>
  <c r="G27" i="49"/>
  <c r="G28" i="49"/>
  <c r="G29" i="49"/>
  <c r="G30" i="49"/>
  <c r="F2" i="49"/>
  <c r="F4" i="49"/>
  <c r="F5" i="49"/>
  <c r="F6" i="49"/>
  <c r="F7" i="49"/>
  <c r="F8" i="49"/>
  <c r="F9" i="49"/>
  <c r="F10" i="49"/>
  <c r="F11" i="49"/>
  <c r="F12" i="49"/>
  <c r="F13" i="49"/>
  <c r="F14" i="49"/>
  <c r="F15" i="49"/>
  <c r="F16" i="49"/>
  <c r="F17" i="49"/>
  <c r="F18" i="49"/>
  <c r="F19" i="49"/>
  <c r="F20" i="49"/>
  <c r="F21" i="49"/>
  <c r="F22" i="49"/>
  <c r="F23" i="49"/>
  <c r="F24" i="49"/>
  <c r="F25" i="49"/>
  <c r="F26" i="49"/>
  <c r="F27" i="49"/>
  <c r="F28" i="49"/>
  <c r="F29" i="49"/>
  <c r="F30" i="49"/>
  <c r="E2" i="49"/>
  <c r="E3" i="49"/>
  <c r="E4" i="49"/>
  <c r="E5" i="49"/>
  <c r="E6" i="49"/>
  <c r="E7" i="49"/>
  <c r="E8" i="49"/>
  <c r="E9" i="49"/>
  <c r="E10" i="49"/>
  <c r="E11" i="49"/>
  <c r="E12" i="49"/>
  <c r="E13" i="49"/>
  <c r="E14" i="49"/>
  <c r="E15" i="49"/>
  <c r="E16" i="49"/>
  <c r="E17" i="49"/>
  <c r="E18" i="49"/>
  <c r="E19" i="49"/>
  <c r="E20" i="49"/>
  <c r="E21" i="49"/>
  <c r="E22" i="49"/>
  <c r="E23" i="49"/>
  <c r="E24" i="49"/>
  <c r="E25" i="49"/>
  <c r="E26" i="49"/>
  <c r="E27" i="49"/>
  <c r="E28" i="49"/>
  <c r="E29" i="49"/>
  <c r="E30" i="49"/>
  <c r="D2" i="49"/>
  <c r="D3" i="49"/>
  <c r="D4" i="49"/>
  <c r="D5" i="49"/>
  <c r="D6" i="49"/>
  <c r="D7" i="49"/>
  <c r="D8" i="49"/>
  <c r="D9" i="49"/>
  <c r="D10" i="49"/>
  <c r="D11" i="49"/>
  <c r="D12" i="49"/>
  <c r="D13" i="49"/>
  <c r="D14" i="49"/>
  <c r="D15" i="49"/>
  <c r="D16" i="49"/>
  <c r="D17" i="49"/>
  <c r="D18" i="49"/>
  <c r="D19" i="49"/>
  <c r="D20" i="49"/>
  <c r="D21" i="49"/>
  <c r="D22" i="49"/>
  <c r="D23" i="49"/>
  <c r="D24" i="49"/>
  <c r="D25" i="49"/>
  <c r="D26" i="49"/>
  <c r="D27" i="49"/>
  <c r="D28" i="49"/>
  <c r="D29" i="49"/>
  <c r="D30" i="49"/>
  <c r="C2" i="49"/>
  <c r="C3" i="49"/>
  <c r="C4" i="49"/>
  <c r="C5" i="49"/>
  <c r="C6" i="49"/>
  <c r="C7" i="49"/>
  <c r="C8" i="49"/>
  <c r="C9" i="49"/>
  <c r="C10" i="49"/>
  <c r="C11" i="49"/>
  <c r="C12" i="49"/>
  <c r="C13" i="49"/>
  <c r="C14" i="49"/>
  <c r="C15" i="49"/>
  <c r="C16" i="49"/>
  <c r="C17" i="49"/>
  <c r="C18" i="49"/>
  <c r="C19" i="49"/>
  <c r="C20" i="49"/>
  <c r="C21" i="49"/>
  <c r="C22" i="49"/>
  <c r="C23" i="49"/>
  <c r="C24" i="49"/>
  <c r="C25" i="49"/>
  <c r="C26" i="49"/>
  <c r="C27" i="49"/>
  <c r="C28" i="49"/>
  <c r="C29" i="49"/>
  <c r="C30" i="49"/>
  <c r="B2" i="49"/>
  <c r="B3" i="49"/>
  <c r="B4" i="49"/>
  <c r="B5" i="49"/>
  <c r="B6" i="49"/>
  <c r="B7" i="49"/>
  <c r="B8" i="49"/>
  <c r="B9" i="49"/>
  <c r="B10" i="49"/>
  <c r="B11" i="49"/>
  <c r="B12" i="49"/>
  <c r="B13" i="49"/>
  <c r="B14" i="49"/>
  <c r="B15" i="49"/>
  <c r="B16" i="49"/>
  <c r="B17" i="49"/>
  <c r="B18" i="49"/>
  <c r="B19" i="49"/>
  <c r="B20" i="49"/>
  <c r="B21" i="49"/>
  <c r="B22" i="49"/>
  <c r="B23" i="49"/>
  <c r="B24" i="49"/>
  <c r="B25" i="49"/>
  <c r="B26" i="49"/>
  <c r="B27" i="49"/>
  <c r="B28" i="49"/>
  <c r="B29" i="49"/>
  <c r="B30" i="49"/>
  <c r="C31" i="24" l="1"/>
  <c r="C32" i="24"/>
  <c r="C33" i="24"/>
  <c r="C34" i="24"/>
  <c r="C35" i="24"/>
  <c r="D31" i="24"/>
  <c r="D32" i="24"/>
  <c r="D33" i="24"/>
  <c r="D34" i="24"/>
  <c r="D35" i="24"/>
  <c r="B31" i="24"/>
  <c r="B32" i="24"/>
  <c r="B33" i="24"/>
  <c r="B34" i="24"/>
  <c r="B35" i="24"/>
  <c r="B22" i="24"/>
  <c r="B23" i="24"/>
  <c r="B24" i="24"/>
  <c r="B25" i="24"/>
  <c r="B26" i="24"/>
  <c r="B27" i="24"/>
  <c r="B28" i="24"/>
  <c r="B29" i="24"/>
  <c r="B30" i="24"/>
  <c r="C22" i="24"/>
  <c r="C23" i="24"/>
  <c r="C24" i="24"/>
  <c r="C25" i="24"/>
  <c r="C26" i="24"/>
  <c r="C27" i="24"/>
  <c r="C28" i="24"/>
  <c r="C29" i="24"/>
  <c r="C30" i="24"/>
  <c r="D22" i="24"/>
  <c r="D23" i="24"/>
  <c r="D24" i="24"/>
  <c r="D25" i="24"/>
  <c r="D26" i="24"/>
  <c r="D27" i="24"/>
  <c r="D28" i="24"/>
  <c r="D29" i="24"/>
  <c r="D30" i="24"/>
  <c r="D2" i="24"/>
  <c r="D3" i="24"/>
  <c r="D4" i="24"/>
  <c r="D5" i="24"/>
  <c r="D6" i="24"/>
  <c r="D7" i="24"/>
  <c r="D8" i="24"/>
  <c r="D9" i="24"/>
  <c r="D10" i="24"/>
  <c r="D11" i="24"/>
  <c r="D12" i="24"/>
  <c r="D13" i="24"/>
  <c r="D14" i="24"/>
  <c r="D15" i="24"/>
  <c r="D16" i="24"/>
  <c r="D17" i="24"/>
  <c r="D18" i="24"/>
  <c r="D19" i="24"/>
  <c r="D20" i="24"/>
  <c r="D21" i="24"/>
  <c r="H3" i="2" l="1"/>
  <c r="H2" i="29"/>
  <c r="H3" i="29"/>
  <c r="H4" i="29"/>
  <c r="H5" i="29"/>
  <c r="H6" i="29"/>
  <c r="H7" i="29"/>
  <c r="H8" i="29"/>
  <c r="H9" i="29"/>
  <c r="H10" i="29"/>
  <c r="H11" i="29"/>
  <c r="H12" i="29"/>
  <c r="H13" i="29"/>
  <c r="H14" i="29"/>
  <c r="H15" i="29"/>
  <c r="H16" i="29"/>
  <c r="H17" i="29"/>
  <c r="H18" i="29"/>
  <c r="H19" i="29"/>
  <c r="H20" i="29"/>
  <c r="H21" i="29"/>
  <c r="B34" i="42" l="1"/>
  <c r="B35" i="42"/>
  <c r="B36" i="42"/>
  <c r="B37" i="42"/>
  <c r="B38" i="42"/>
  <c r="B39" i="42"/>
  <c r="B40" i="42"/>
  <c r="B41" i="42"/>
  <c r="D34" i="42"/>
  <c r="D35" i="42"/>
  <c r="D36" i="42"/>
  <c r="D37" i="42"/>
  <c r="D38" i="42"/>
  <c r="D39" i="42"/>
  <c r="D40" i="42"/>
  <c r="D41" i="42"/>
  <c r="E34" i="42"/>
  <c r="E35" i="42"/>
  <c r="E36" i="42"/>
  <c r="E37" i="42"/>
  <c r="E38" i="42"/>
  <c r="E39" i="42"/>
  <c r="E40" i="42"/>
  <c r="E41" i="42"/>
  <c r="F34" i="42"/>
  <c r="F35" i="42"/>
  <c r="F36" i="42"/>
  <c r="F37" i="42"/>
  <c r="F38" i="42"/>
  <c r="F39" i="42"/>
  <c r="F40" i="42"/>
  <c r="F41" i="42"/>
  <c r="G34" i="42"/>
  <c r="G35" i="42"/>
  <c r="G36" i="42"/>
  <c r="G37" i="42"/>
  <c r="G38" i="42"/>
  <c r="G39" i="42"/>
  <c r="G40" i="42"/>
  <c r="G41" i="42"/>
  <c r="H34" i="42"/>
  <c r="H35" i="42"/>
  <c r="H36" i="42"/>
  <c r="H37" i="42"/>
  <c r="H38" i="42"/>
  <c r="H39" i="42"/>
  <c r="H40" i="42"/>
  <c r="H41" i="42"/>
  <c r="I34" i="42"/>
  <c r="I35" i="42"/>
  <c r="I36" i="42"/>
  <c r="I37" i="42"/>
  <c r="I38" i="42"/>
  <c r="I39" i="42"/>
  <c r="I40" i="42"/>
  <c r="I41" i="42"/>
  <c r="J34" i="42"/>
  <c r="J35" i="42"/>
  <c r="J36" i="42"/>
  <c r="J37" i="42"/>
  <c r="J38" i="42"/>
  <c r="J39" i="42"/>
  <c r="J40" i="42"/>
  <c r="J41" i="42"/>
  <c r="K34" i="42"/>
  <c r="K35" i="42"/>
  <c r="K36" i="42"/>
  <c r="K37" i="42"/>
  <c r="K38" i="42"/>
  <c r="K39" i="42"/>
  <c r="K40" i="42"/>
  <c r="K41" i="42"/>
  <c r="L34" i="42"/>
  <c r="L35" i="42"/>
  <c r="L36" i="42"/>
  <c r="L37" i="42"/>
  <c r="L38" i="42"/>
  <c r="L39" i="42"/>
  <c r="L40" i="42"/>
  <c r="L41" i="42"/>
  <c r="M34" i="42"/>
  <c r="M35" i="42"/>
  <c r="M36" i="42"/>
  <c r="M37" i="42"/>
  <c r="M38" i="42"/>
  <c r="M39" i="42"/>
  <c r="M40" i="42"/>
  <c r="M41" i="42"/>
  <c r="H2" i="42"/>
  <c r="H3" i="42"/>
  <c r="H4" i="42"/>
  <c r="H5" i="42"/>
  <c r="H6" i="42"/>
  <c r="H7" i="42"/>
  <c r="H8" i="42"/>
  <c r="H9" i="42"/>
  <c r="H10" i="42"/>
  <c r="H11" i="42"/>
  <c r="H12" i="42"/>
  <c r="H13" i="42"/>
  <c r="H14" i="42"/>
  <c r="H15" i="42"/>
  <c r="H16" i="42"/>
  <c r="H17" i="42"/>
  <c r="H18" i="42"/>
  <c r="H19" i="42"/>
  <c r="H20" i="42"/>
  <c r="H21" i="42"/>
  <c r="H22" i="42"/>
  <c r="H23" i="42"/>
  <c r="H24" i="42"/>
  <c r="H25" i="42"/>
  <c r="H26" i="42"/>
  <c r="H27" i="42"/>
  <c r="H28" i="42"/>
  <c r="H29" i="42"/>
  <c r="H30" i="42"/>
  <c r="H31" i="42"/>
  <c r="H32" i="42"/>
  <c r="H33" i="42"/>
  <c r="G3" i="3"/>
  <c r="B22" i="42" l="1"/>
  <c r="B23" i="42"/>
  <c r="B24" i="42"/>
  <c r="B25" i="42"/>
  <c r="B26" i="42"/>
  <c r="B27" i="42"/>
  <c r="B28" i="42"/>
  <c r="B29" i="42"/>
  <c r="B30" i="42"/>
  <c r="B31" i="42"/>
  <c r="B32" i="42"/>
  <c r="B33" i="42"/>
  <c r="D22" i="42"/>
  <c r="D23" i="42"/>
  <c r="D24" i="42"/>
  <c r="D25" i="42"/>
  <c r="D26" i="42"/>
  <c r="D27" i="42"/>
  <c r="D28" i="42"/>
  <c r="D29" i="42"/>
  <c r="D30" i="42"/>
  <c r="D31" i="42"/>
  <c r="D32" i="42"/>
  <c r="D33" i="42"/>
  <c r="E22" i="42"/>
  <c r="E23" i="42"/>
  <c r="E24" i="42"/>
  <c r="E25" i="42"/>
  <c r="E26" i="42"/>
  <c r="E27" i="42"/>
  <c r="E28" i="42"/>
  <c r="E29" i="42"/>
  <c r="E30" i="42"/>
  <c r="E31" i="42"/>
  <c r="E32" i="42"/>
  <c r="E33" i="42"/>
  <c r="F22" i="42"/>
  <c r="F23" i="42"/>
  <c r="F24" i="42"/>
  <c r="F25" i="42"/>
  <c r="F26" i="42"/>
  <c r="F27" i="42"/>
  <c r="F28" i="42"/>
  <c r="F29" i="42"/>
  <c r="F30" i="42"/>
  <c r="F31" i="42"/>
  <c r="F32" i="42"/>
  <c r="F33" i="42"/>
  <c r="G22" i="42"/>
  <c r="G23" i="42"/>
  <c r="G24" i="42"/>
  <c r="G25" i="42"/>
  <c r="G26" i="42"/>
  <c r="G27" i="42"/>
  <c r="G28" i="42"/>
  <c r="G29" i="42"/>
  <c r="G30" i="42"/>
  <c r="G31" i="42"/>
  <c r="G32" i="42"/>
  <c r="G33" i="42"/>
  <c r="I22" i="42"/>
  <c r="I23" i="42"/>
  <c r="I24" i="42"/>
  <c r="I25" i="42"/>
  <c r="I26" i="42"/>
  <c r="I27" i="42"/>
  <c r="I28" i="42"/>
  <c r="I29" i="42"/>
  <c r="I30" i="42"/>
  <c r="I31" i="42"/>
  <c r="I32" i="42"/>
  <c r="I33" i="42"/>
  <c r="J22" i="42"/>
  <c r="J23" i="42"/>
  <c r="J24" i="42"/>
  <c r="J25" i="42"/>
  <c r="J26" i="42"/>
  <c r="J27" i="42"/>
  <c r="J28" i="42"/>
  <c r="J29" i="42"/>
  <c r="J30" i="42"/>
  <c r="J31" i="42"/>
  <c r="J32" i="42"/>
  <c r="J33" i="42"/>
  <c r="K22" i="42"/>
  <c r="K23" i="42"/>
  <c r="K24" i="42"/>
  <c r="K25" i="42"/>
  <c r="K26" i="42"/>
  <c r="K27" i="42"/>
  <c r="K28" i="42"/>
  <c r="K29" i="42"/>
  <c r="K30" i="42"/>
  <c r="K31" i="42"/>
  <c r="K32" i="42"/>
  <c r="K33" i="42"/>
  <c r="L22" i="42"/>
  <c r="L23" i="42"/>
  <c r="L24" i="42"/>
  <c r="L25" i="42"/>
  <c r="L26" i="42"/>
  <c r="L27" i="42"/>
  <c r="L28" i="42"/>
  <c r="L29" i="42"/>
  <c r="L30" i="42"/>
  <c r="L31" i="42"/>
  <c r="L32" i="42"/>
  <c r="L33" i="42"/>
  <c r="M22" i="42"/>
  <c r="M23" i="42"/>
  <c r="M24" i="42"/>
  <c r="M25" i="42"/>
  <c r="M26" i="42"/>
  <c r="M27" i="42"/>
  <c r="M28" i="42"/>
  <c r="M29" i="42"/>
  <c r="M30" i="42"/>
  <c r="M31" i="42"/>
  <c r="M32" i="42"/>
  <c r="M33" i="42"/>
  <c r="P2" i="3" l="1"/>
  <c r="P3" i="3"/>
  <c r="P4" i="3"/>
  <c r="P5" i="3"/>
  <c r="P6" i="3"/>
  <c r="P7" i="3"/>
  <c r="P8" i="3"/>
  <c r="P9" i="3"/>
  <c r="P10" i="3"/>
  <c r="P11" i="3"/>
  <c r="P12" i="3"/>
  <c r="P13" i="3"/>
  <c r="P14" i="3"/>
  <c r="P15" i="3"/>
  <c r="P16" i="3"/>
  <c r="P17" i="3"/>
  <c r="P18" i="3"/>
  <c r="P19" i="3"/>
  <c r="P20" i="3"/>
  <c r="P21" i="3"/>
  <c r="I3" i="7"/>
  <c r="G3" i="28" l="1"/>
  <c r="G4" i="28"/>
  <c r="G5" i="28"/>
  <c r="G6" i="28"/>
  <c r="G7" i="28"/>
  <c r="G8" i="28"/>
  <c r="G9" i="28"/>
  <c r="G10" i="28"/>
  <c r="G11" i="28"/>
  <c r="G12" i="28"/>
  <c r="G13" i="28"/>
  <c r="G14" i="28"/>
  <c r="G15" i="28"/>
  <c r="G16" i="28"/>
  <c r="G17" i="28"/>
  <c r="G18" i="28"/>
  <c r="G19" i="28"/>
  <c r="G20" i="28"/>
  <c r="G21" i="28"/>
  <c r="G2" i="28"/>
  <c r="G2" i="27"/>
  <c r="G4" i="27"/>
  <c r="G5" i="27"/>
  <c r="G6" i="27"/>
  <c r="G7" i="27"/>
  <c r="G8" i="27"/>
  <c r="G9" i="27"/>
  <c r="G10" i="27"/>
  <c r="G11" i="27"/>
  <c r="G12" i="27"/>
  <c r="G13" i="27"/>
  <c r="G14" i="27"/>
  <c r="G15" i="27"/>
  <c r="G16" i="27"/>
  <c r="G17" i="27"/>
  <c r="G18" i="27"/>
  <c r="G19" i="27"/>
  <c r="G20" i="27"/>
  <c r="G21" i="27"/>
  <c r="G3" i="27"/>
  <c r="I2" i="42" l="1"/>
  <c r="I4" i="42"/>
  <c r="I5" i="42"/>
  <c r="I6" i="42"/>
  <c r="I7" i="42"/>
  <c r="I8" i="42"/>
  <c r="I9" i="42"/>
  <c r="I10" i="42"/>
  <c r="I11" i="42"/>
  <c r="I12" i="42"/>
  <c r="I13" i="42"/>
  <c r="I14" i="42"/>
  <c r="I15" i="42"/>
  <c r="I16" i="42"/>
  <c r="I17" i="42"/>
  <c r="I18" i="42"/>
  <c r="I19" i="42"/>
  <c r="I20" i="42"/>
  <c r="I21" i="42"/>
  <c r="C3" i="18"/>
  <c r="B3" i="38"/>
  <c r="O9" i="3"/>
  <c r="O10" i="3"/>
  <c r="O11" i="3"/>
  <c r="O12" i="3"/>
  <c r="O13" i="3"/>
  <c r="O14" i="3"/>
  <c r="O15" i="3"/>
  <c r="O16" i="3"/>
  <c r="O17" i="3"/>
  <c r="O18" i="3"/>
  <c r="O19" i="3"/>
  <c r="O20" i="3"/>
  <c r="O21" i="3"/>
  <c r="N9" i="3"/>
  <c r="N10" i="3"/>
  <c r="N11" i="3"/>
  <c r="N12" i="3"/>
  <c r="N13" i="3"/>
  <c r="N14" i="3"/>
  <c r="N15" i="3"/>
  <c r="N16" i="3"/>
  <c r="N17" i="3"/>
  <c r="N18" i="3"/>
  <c r="N19" i="3"/>
  <c r="N20" i="3"/>
  <c r="N21" i="3"/>
  <c r="M8" i="7"/>
  <c r="M9" i="7"/>
  <c r="M10" i="7"/>
  <c r="M11" i="7"/>
  <c r="M12" i="7"/>
  <c r="M13" i="7"/>
  <c r="M14" i="7"/>
  <c r="M15" i="7"/>
  <c r="M16" i="7"/>
  <c r="M17" i="7"/>
  <c r="M18" i="7"/>
  <c r="M19" i="7"/>
  <c r="M20" i="7"/>
  <c r="M21" i="7"/>
  <c r="I2" i="2"/>
  <c r="I3" i="2"/>
  <c r="I4" i="2"/>
  <c r="I5" i="2"/>
  <c r="I6" i="2"/>
  <c r="I7" i="2"/>
  <c r="I8" i="2"/>
  <c r="I9" i="2"/>
  <c r="I10" i="2"/>
  <c r="I11" i="2"/>
  <c r="I12" i="2"/>
  <c r="I13" i="2"/>
  <c r="I14" i="2"/>
  <c r="I15" i="2"/>
  <c r="I16" i="2"/>
  <c r="I17" i="2"/>
  <c r="I18" i="2"/>
  <c r="I19" i="2"/>
  <c r="I20" i="2"/>
  <c r="I21" i="2"/>
  <c r="V7" i="3" l="1"/>
  <c r="V8" i="3"/>
  <c r="V9" i="3"/>
  <c r="V10" i="3"/>
  <c r="V11" i="3"/>
  <c r="V12" i="3"/>
  <c r="V13" i="3"/>
  <c r="V14" i="3"/>
  <c r="V15" i="3"/>
  <c r="V16" i="3"/>
  <c r="V17" i="3"/>
  <c r="V18" i="3"/>
  <c r="V19" i="3"/>
  <c r="V20" i="3"/>
  <c r="V21" i="3"/>
  <c r="M7" i="7" l="1"/>
  <c r="M6" i="7"/>
  <c r="M5" i="7"/>
  <c r="M4" i="7"/>
  <c r="M3" i="7"/>
  <c r="D2" i="42" l="1"/>
  <c r="D3" i="42"/>
  <c r="D4" i="42"/>
  <c r="D5" i="42"/>
  <c r="D6" i="42"/>
  <c r="D7" i="42"/>
  <c r="D8" i="42"/>
  <c r="D9" i="42"/>
  <c r="D10" i="42"/>
  <c r="D11" i="42"/>
  <c r="D12" i="42"/>
  <c r="D13" i="42"/>
  <c r="D14" i="42"/>
  <c r="D15" i="42"/>
  <c r="D16" i="42"/>
  <c r="D17" i="42"/>
  <c r="D18" i="42"/>
  <c r="D19" i="42"/>
  <c r="D20" i="42"/>
  <c r="D21" i="42"/>
  <c r="E2" i="42"/>
  <c r="E3" i="42"/>
  <c r="E4" i="42"/>
  <c r="E5" i="42"/>
  <c r="E6" i="42"/>
  <c r="E7" i="42"/>
  <c r="E8" i="42"/>
  <c r="E9" i="42"/>
  <c r="E10" i="42"/>
  <c r="E11" i="42"/>
  <c r="E12" i="42"/>
  <c r="E13" i="42"/>
  <c r="E14" i="42"/>
  <c r="E15" i="42"/>
  <c r="E16" i="42"/>
  <c r="E17" i="42"/>
  <c r="E18" i="42"/>
  <c r="E19" i="42"/>
  <c r="E20" i="42"/>
  <c r="E21" i="42"/>
  <c r="F2" i="42"/>
  <c r="F3" i="42"/>
  <c r="F4" i="42"/>
  <c r="F5" i="42"/>
  <c r="F6" i="42"/>
  <c r="F7" i="42"/>
  <c r="F8" i="42"/>
  <c r="F9" i="42"/>
  <c r="F10" i="42"/>
  <c r="F11" i="42"/>
  <c r="F12" i="42"/>
  <c r="F13" i="42"/>
  <c r="F14" i="42"/>
  <c r="F15" i="42"/>
  <c r="F16" i="42"/>
  <c r="F17" i="42"/>
  <c r="F18" i="42"/>
  <c r="F19" i="42"/>
  <c r="F20" i="42"/>
  <c r="F21" i="42"/>
  <c r="G2" i="42"/>
  <c r="G3" i="42"/>
  <c r="G4" i="42"/>
  <c r="G5" i="42"/>
  <c r="G6" i="42"/>
  <c r="G7" i="42"/>
  <c r="G8" i="42"/>
  <c r="G9" i="42"/>
  <c r="G10" i="42"/>
  <c r="G11" i="42"/>
  <c r="G12" i="42"/>
  <c r="G13" i="42"/>
  <c r="G14" i="42"/>
  <c r="G15" i="42"/>
  <c r="G16" i="42"/>
  <c r="G17" i="42"/>
  <c r="G18" i="42"/>
  <c r="G19" i="42"/>
  <c r="G20" i="42"/>
  <c r="G21" i="42"/>
  <c r="J3" i="42"/>
  <c r="J4" i="42"/>
  <c r="J5" i="42"/>
  <c r="J6" i="42"/>
  <c r="J7" i="42"/>
  <c r="J8" i="42"/>
  <c r="J9" i="42"/>
  <c r="J10" i="42"/>
  <c r="J11" i="42"/>
  <c r="J12" i="42"/>
  <c r="J13" i="42"/>
  <c r="J14" i="42"/>
  <c r="J15" i="42"/>
  <c r="J16" i="42"/>
  <c r="J17" i="42"/>
  <c r="J18" i="42"/>
  <c r="J19" i="42"/>
  <c r="J20" i="42"/>
  <c r="J21" i="42"/>
  <c r="J2" i="42"/>
  <c r="L3" i="42"/>
  <c r="L4" i="42"/>
  <c r="L5" i="42"/>
  <c r="L6" i="42"/>
  <c r="L7" i="42"/>
  <c r="L8" i="42"/>
  <c r="L9" i="42"/>
  <c r="L10" i="42"/>
  <c r="L11" i="42"/>
  <c r="L12" i="42"/>
  <c r="L13" i="42"/>
  <c r="L14" i="42"/>
  <c r="L15" i="42"/>
  <c r="L16" i="42"/>
  <c r="L17" i="42"/>
  <c r="L18" i="42"/>
  <c r="L19" i="42"/>
  <c r="L20" i="42"/>
  <c r="L21" i="42"/>
  <c r="L2" i="42"/>
  <c r="K2" i="42"/>
  <c r="K3" i="42"/>
  <c r="K4" i="42"/>
  <c r="K5" i="42"/>
  <c r="K6" i="42"/>
  <c r="K7" i="42"/>
  <c r="K8" i="42"/>
  <c r="K9" i="42"/>
  <c r="K10" i="42"/>
  <c r="K11" i="42"/>
  <c r="K12" i="42"/>
  <c r="K13" i="42"/>
  <c r="K14" i="42"/>
  <c r="K15" i="42"/>
  <c r="K16" i="42"/>
  <c r="K17" i="42"/>
  <c r="K18" i="42"/>
  <c r="K19" i="42"/>
  <c r="K20" i="42"/>
  <c r="K21" i="42"/>
  <c r="M2" i="42"/>
  <c r="M3" i="42"/>
  <c r="M4" i="42"/>
  <c r="M5" i="42"/>
  <c r="M6" i="42"/>
  <c r="M7" i="42"/>
  <c r="M8" i="42"/>
  <c r="M9" i="42"/>
  <c r="M10" i="42"/>
  <c r="M11" i="42"/>
  <c r="M12" i="42"/>
  <c r="M13" i="42"/>
  <c r="M14" i="42"/>
  <c r="M15" i="42"/>
  <c r="M16" i="42"/>
  <c r="M17" i="42"/>
  <c r="M18" i="42"/>
  <c r="M19" i="42"/>
  <c r="M20" i="42"/>
  <c r="M21" i="42"/>
  <c r="B3" i="42" l="1"/>
  <c r="B5" i="42"/>
  <c r="B7" i="42"/>
  <c r="B9" i="42"/>
  <c r="B11" i="42"/>
  <c r="B13" i="42"/>
  <c r="B15" i="42"/>
  <c r="B17" i="42"/>
  <c r="B19" i="42"/>
  <c r="B21" i="42"/>
  <c r="H18" i="3"/>
  <c r="H20" i="3"/>
  <c r="D3" i="2"/>
  <c r="D4" i="2"/>
  <c r="D5" i="2"/>
  <c r="D6" i="2"/>
  <c r="D7" i="2"/>
  <c r="D8" i="2"/>
  <c r="D9" i="2"/>
  <c r="D10" i="2"/>
  <c r="D11" i="2"/>
  <c r="D12" i="2"/>
  <c r="D13" i="2"/>
  <c r="D14" i="2"/>
  <c r="D15" i="2"/>
  <c r="D16" i="2"/>
  <c r="D17" i="2"/>
  <c r="D18" i="2"/>
  <c r="D19" i="2"/>
  <c r="D20" i="2"/>
  <c r="D21" i="2"/>
  <c r="E3" i="2"/>
  <c r="E4" i="2"/>
  <c r="E5" i="2"/>
  <c r="E6" i="2"/>
  <c r="E7" i="2"/>
  <c r="E8" i="2"/>
  <c r="E9" i="2"/>
  <c r="E10" i="2"/>
  <c r="E11" i="2"/>
  <c r="E12" i="2"/>
  <c r="E13" i="2"/>
  <c r="E14" i="2"/>
  <c r="E15" i="2"/>
  <c r="E16" i="2"/>
  <c r="E17" i="2"/>
  <c r="E18" i="2"/>
  <c r="E19" i="2"/>
  <c r="E20" i="2"/>
  <c r="E21" i="2"/>
  <c r="F3" i="2"/>
  <c r="F4" i="2"/>
  <c r="F5" i="2"/>
  <c r="F6" i="2"/>
  <c r="F7" i="2"/>
  <c r="F8" i="2"/>
  <c r="F9" i="2"/>
  <c r="F10" i="2"/>
  <c r="F11" i="2"/>
  <c r="F12" i="2"/>
  <c r="F13" i="2"/>
  <c r="F14" i="2"/>
  <c r="F15" i="2"/>
  <c r="F16" i="2"/>
  <c r="F17" i="2"/>
  <c r="F18" i="2"/>
  <c r="F19" i="2"/>
  <c r="F20" i="2"/>
  <c r="F21" i="2"/>
  <c r="G3" i="2"/>
  <c r="G4" i="2"/>
  <c r="G5" i="2"/>
  <c r="G6" i="2"/>
  <c r="G7" i="2"/>
  <c r="G8" i="2"/>
  <c r="G9" i="2"/>
  <c r="G10" i="2"/>
  <c r="G11" i="2"/>
  <c r="G12" i="2"/>
  <c r="G13" i="2"/>
  <c r="G14" i="2"/>
  <c r="G15" i="2"/>
  <c r="G16" i="2"/>
  <c r="G17" i="2"/>
  <c r="G18" i="2"/>
  <c r="G19" i="2"/>
  <c r="G20" i="2"/>
  <c r="G21" i="2"/>
  <c r="H4" i="2"/>
  <c r="H5" i="2"/>
  <c r="H6" i="2"/>
  <c r="H7" i="2"/>
  <c r="H8" i="2"/>
  <c r="H9" i="2"/>
  <c r="H10" i="2"/>
  <c r="H11" i="2"/>
  <c r="H12" i="2"/>
  <c r="H13" i="2"/>
  <c r="H14" i="2"/>
  <c r="H15" i="2"/>
  <c r="H16" i="2"/>
  <c r="H17" i="2"/>
  <c r="H18" i="2"/>
  <c r="H19" i="2"/>
  <c r="H20" i="2"/>
  <c r="H21" i="2"/>
  <c r="J3" i="2"/>
  <c r="J4" i="2"/>
  <c r="J5" i="2"/>
  <c r="J6" i="2"/>
  <c r="J7" i="2"/>
  <c r="J8" i="2"/>
  <c r="J9" i="2"/>
  <c r="J10" i="2"/>
  <c r="J11" i="2"/>
  <c r="J12" i="2"/>
  <c r="J13" i="2"/>
  <c r="J14" i="2"/>
  <c r="J15" i="2"/>
  <c r="J16" i="2"/>
  <c r="J17" i="2"/>
  <c r="J18" i="2"/>
  <c r="J19" i="2"/>
  <c r="J20" i="2"/>
  <c r="J21" i="2"/>
  <c r="K3" i="2"/>
  <c r="K4" i="2"/>
  <c r="K5" i="2"/>
  <c r="K6" i="2"/>
  <c r="K7" i="2"/>
  <c r="K8" i="2"/>
  <c r="K9" i="2"/>
  <c r="K10" i="2"/>
  <c r="K11" i="2"/>
  <c r="K12" i="2"/>
  <c r="K13" i="2"/>
  <c r="K14" i="2"/>
  <c r="K15" i="2"/>
  <c r="K16" i="2"/>
  <c r="K17" i="2"/>
  <c r="K18" i="2"/>
  <c r="K19" i="2"/>
  <c r="K20" i="2"/>
  <c r="K21" i="2"/>
  <c r="B3" i="4"/>
  <c r="B5" i="4"/>
  <c r="B7" i="4"/>
  <c r="B9" i="4"/>
  <c r="B11" i="4"/>
  <c r="B13" i="4"/>
  <c r="B15" i="4"/>
  <c r="B17" i="4"/>
  <c r="B19" i="4"/>
  <c r="B21" i="4"/>
  <c r="D3" i="4"/>
  <c r="D4" i="4"/>
  <c r="D5" i="4"/>
  <c r="D6" i="4"/>
  <c r="D7" i="4"/>
  <c r="D8" i="4"/>
  <c r="D9" i="4"/>
  <c r="D10" i="4"/>
  <c r="D11" i="4"/>
  <c r="D12" i="4"/>
  <c r="D13" i="4"/>
  <c r="D14" i="4"/>
  <c r="D15" i="4"/>
  <c r="D16" i="4"/>
  <c r="D17" i="4"/>
  <c r="D18" i="4"/>
  <c r="D19" i="4"/>
  <c r="D20" i="4"/>
  <c r="D21" i="4"/>
  <c r="F3" i="4"/>
  <c r="F4" i="4"/>
  <c r="F5" i="4"/>
  <c r="F6" i="4"/>
  <c r="F7" i="4"/>
  <c r="F8" i="4"/>
  <c r="F9" i="4"/>
  <c r="F10" i="4"/>
  <c r="F11" i="4"/>
  <c r="F12" i="4"/>
  <c r="F13" i="4"/>
  <c r="F14" i="4"/>
  <c r="F15" i="4"/>
  <c r="F16" i="4"/>
  <c r="F17" i="4"/>
  <c r="F18" i="4"/>
  <c r="F19" i="4"/>
  <c r="F20" i="4"/>
  <c r="F21" i="4"/>
  <c r="H3" i="4"/>
  <c r="H4" i="4"/>
  <c r="H5" i="4"/>
  <c r="H6" i="4"/>
  <c r="H7" i="4"/>
  <c r="H8" i="4"/>
  <c r="H9" i="4"/>
  <c r="H10" i="4"/>
  <c r="H11" i="4"/>
  <c r="H12" i="4"/>
  <c r="H13" i="4"/>
  <c r="H14" i="4"/>
  <c r="H15" i="4"/>
  <c r="H16" i="4"/>
  <c r="H17" i="4"/>
  <c r="H18" i="4"/>
  <c r="H19" i="4"/>
  <c r="H20" i="4"/>
  <c r="H21" i="4"/>
  <c r="B15" i="7"/>
  <c r="B17" i="7"/>
  <c r="B19" i="7"/>
  <c r="B21" i="7"/>
  <c r="C14" i="7"/>
  <c r="C15" i="7"/>
  <c r="C16" i="7"/>
  <c r="C17" i="7"/>
  <c r="C18" i="7"/>
  <c r="C19" i="7"/>
  <c r="C20" i="7"/>
  <c r="C21" i="7"/>
  <c r="D14" i="7"/>
  <c r="D15" i="7"/>
  <c r="D16" i="7"/>
  <c r="D17" i="7"/>
  <c r="D18" i="7"/>
  <c r="D19" i="7"/>
  <c r="D20" i="7"/>
  <c r="D21" i="7"/>
  <c r="F14" i="7"/>
  <c r="F15" i="7"/>
  <c r="F16" i="7"/>
  <c r="F17" i="7"/>
  <c r="F18" i="7"/>
  <c r="F19" i="7"/>
  <c r="F20" i="7"/>
  <c r="F21" i="7"/>
  <c r="G14" i="7"/>
  <c r="G15" i="7"/>
  <c r="G16" i="7"/>
  <c r="G17" i="7"/>
  <c r="G18" i="7"/>
  <c r="G19" i="7"/>
  <c r="G20" i="7"/>
  <c r="G21" i="7"/>
  <c r="I14" i="7"/>
  <c r="I15" i="7"/>
  <c r="I16" i="7"/>
  <c r="I17" i="7"/>
  <c r="I18" i="7"/>
  <c r="I19" i="7"/>
  <c r="I20" i="7"/>
  <c r="I21" i="7"/>
  <c r="J14" i="7"/>
  <c r="J15" i="7"/>
  <c r="J16" i="7"/>
  <c r="J17" i="7"/>
  <c r="J18" i="7"/>
  <c r="J19" i="7"/>
  <c r="J20" i="7"/>
  <c r="J21" i="7"/>
  <c r="K14" i="7"/>
  <c r="K15" i="7"/>
  <c r="K16" i="7"/>
  <c r="K17" i="7"/>
  <c r="K18" i="7"/>
  <c r="K19" i="7"/>
  <c r="K20" i="7"/>
  <c r="K21" i="7"/>
  <c r="L14" i="7"/>
  <c r="L15" i="7"/>
  <c r="L16" i="7"/>
  <c r="L17" i="7"/>
  <c r="L18" i="7"/>
  <c r="L19" i="7"/>
  <c r="L20" i="7"/>
  <c r="L21" i="7"/>
  <c r="N14" i="7"/>
  <c r="N15" i="7"/>
  <c r="N16" i="7"/>
  <c r="N17" i="7"/>
  <c r="N18" i="7"/>
  <c r="N19" i="7"/>
  <c r="N20" i="7"/>
  <c r="N21" i="7"/>
  <c r="O14" i="7"/>
  <c r="O15" i="7"/>
  <c r="O16" i="7"/>
  <c r="O17" i="7"/>
  <c r="O18" i="7"/>
  <c r="O19" i="7"/>
  <c r="O20" i="7"/>
  <c r="O21" i="7"/>
  <c r="P14" i="7"/>
  <c r="P15" i="7"/>
  <c r="P16" i="7"/>
  <c r="P17" i="7"/>
  <c r="P18" i="7"/>
  <c r="P19" i="7"/>
  <c r="P20" i="7"/>
  <c r="P21" i="7"/>
  <c r="Q14" i="7"/>
  <c r="Q15" i="7"/>
  <c r="Q16" i="7"/>
  <c r="Q17" i="7"/>
  <c r="Q18" i="7"/>
  <c r="Q19" i="7"/>
  <c r="Q20" i="7"/>
  <c r="Q21" i="7"/>
  <c r="S14" i="7"/>
  <c r="S15" i="7"/>
  <c r="S16" i="7"/>
  <c r="S17" i="7"/>
  <c r="S18" i="7"/>
  <c r="S19" i="7"/>
  <c r="S20" i="7"/>
  <c r="S21" i="7"/>
  <c r="T14" i="7"/>
  <c r="T15" i="7"/>
  <c r="T16" i="7"/>
  <c r="T17" i="7"/>
  <c r="T18" i="7"/>
  <c r="T19" i="7"/>
  <c r="T20" i="7"/>
  <c r="T21" i="7"/>
  <c r="B3" i="8"/>
  <c r="B5" i="8"/>
  <c r="B7" i="8"/>
  <c r="B9" i="8"/>
  <c r="B11" i="8"/>
  <c r="B13" i="8"/>
  <c r="B15" i="8"/>
  <c r="B17" i="8"/>
  <c r="B19" i="8"/>
  <c r="B21" i="8"/>
  <c r="C3" i="8"/>
  <c r="C4" i="8"/>
  <c r="C5" i="8"/>
  <c r="C6" i="8"/>
  <c r="C7" i="8"/>
  <c r="C8" i="8"/>
  <c r="C9" i="8"/>
  <c r="C10" i="8"/>
  <c r="C11" i="8"/>
  <c r="C12" i="8"/>
  <c r="C13" i="8"/>
  <c r="C14" i="8"/>
  <c r="C15" i="8"/>
  <c r="C16" i="8"/>
  <c r="C17" i="8"/>
  <c r="C18" i="8"/>
  <c r="C19" i="8"/>
  <c r="C20" i="8"/>
  <c r="C21" i="8"/>
  <c r="D3" i="8"/>
  <c r="D4" i="8"/>
  <c r="D5" i="8"/>
  <c r="D6" i="8"/>
  <c r="D7" i="8"/>
  <c r="D8" i="8"/>
  <c r="D9" i="8"/>
  <c r="D10" i="8"/>
  <c r="D11" i="8"/>
  <c r="D12" i="8"/>
  <c r="D13" i="8"/>
  <c r="D14" i="8"/>
  <c r="D15" i="8"/>
  <c r="D16" i="8"/>
  <c r="D17" i="8"/>
  <c r="D18" i="8"/>
  <c r="D19" i="8"/>
  <c r="D20" i="8"/>
  <c r="D21" i="8"/>
  <c r="E3" i="8"/>
  <c r="E4" i="8"/>
  <c r="E5" i="8"/>
  <c r="E6" i="8"/>
  <c r="E7" i="8"/>
  <c r="E8" i="8"/>
  <c r="E9" i="8"/>
  <c r="E10" i="8"/>
  <c r="E11" i="8"/>
  <c r="E12" i="8"/>
  <c r="E13" i="8"/>
  <c r="E14" i="8"/>
  <c r="E15" i="8"/>
  <c r="E16" i="8"/>
  <c r="E17" i="8"/>
  <c r="E18" i="8"/>
  <c r="E19" i="8"/>
  <c r="E20" i="8"/>
  <c r="E21" i="8"/>
  <c r="F3" i="8"/>
  <c r="F4" i="8"/>
  <c r="F5" i="8"/>
  <c r="F6" i="8"/>
  <c r="F7" i="8"/>
  <c r="F8" i="8"/>
  <c r="F9" i="8"/>
  <c r="F10" i="8"/>
  <c r="F11" i="8"/>
  <c r="F12" i="8"/>
  <c r="F13" i="8"/>
  <c r="F14" i="8"/>
  <c r="F15" i="8"/>
  <c r="F16" i="8"/>
  <c r="F17" i="8"/>
  <c r="F18" i="8"/>
  <c r="F19" i="8"/>
  <c r="F20" i="8"/>
  <c r="F21" i="8"/>
  <c r="G3" i="8"/>
  <c r="G4" i="8"/>
  <c r="G5" i="8"/>
  <c r="G6" i="8"/>
  <c r="G7" i="8"/>
  <c r="G8" i="8"/>
  <c r="G9" i="8"/>
  <c r="G10" i="8"/>
  <c r="G11" i="8"/>
  <c r="G12" i="8"/>
  <c r="G13" i="8"/>
  <c r="G14" i="8"/>
  <c r="G15" i="8"/>
  <c r="G16" i="8"/>
  <c r="G17" i="8"/>
  <c r="G18" i="8"/>
  <c r="G19" i="8"/>
  <c r="G20" i="8"/>
  <c r="G21" i="8"/>
  <c r="C3" i="14"/>
  <c r="C4" i="14"/>
  <c r="C5" i="14"/>
  <c r="C6" i="14"/>
  <c r="C7" i="14"/>
  <c r="C8" i="14"/>
  <c r="C9" i="14"/>
  <c r="C10" i="14"/>
  <c r="C11" i="14"/>
  <c r="C12" i="14"/>
  <c r="C13" i="14"/>
  <c r="C14" i="14"/>
  <c r="C15" i="14"/>
  <c r="C16" i="14"/>
  <c r="C17" i="14"/>
  <c r="C18" i="14"/>
  <c r="C19" i="14"/>
  <c r="C20" i="14"/>
  <c r="C21" i="14"/>
  <c r="C3" i="32"/>
  <c r="C4" i="32"/>
  <c r="C5" i="32"/>
  <c r="C6" i="32"/>
  <c r="C7" i="32"/>
  <c r="C8" i="32"/>
  <c r="C9" i="32"/>
  <c r="C10" i="32"/>
  <c r="C11" i="32"/>
  <c r="C12" i="32"/>
  <c r="C13" i="32"/>
  <c r="C14" i="32"/>
  <c r="C15" i="32"/>
  <c r="C16" i="32"/>
  <c r="C17" i="32"/>
  <c r="C18" i="32"/>
  <c r="C19" i="32"/>
  <c r="C20" i="32"/>
  <c r="C21" i="32"/>
  <c r="C3" i="33"/>
  <c r="C4" i="33"/>
  <c r="C5" i="33"/>
  <c r="C6" i="33"/>
  <c r="C7" i="33"/>
  <c r="C8" i="33"/>
  <c r="C9" i="33"/>
  <c r="C10" i="33"/>
  <c r="C11" i="33"/>
  <c r="C12" i="33"/>
  <c r="C13" i="33"/>
  <c r="C14" i="33"/>
  <c r="C15" i="33"/>
  <c r="C16" i="33"/>
  <c r="C17" i="33"/>
  <c r="C18" i="33"/>
  <c r="C19" i="33"/>
  <c r="C20" i="33"/>
  <c r="C21" i="33"/>
  <c r="B3" i="18"/>
  <c r="B5" i="18"/>
  <c r="B7" i="18"/>
  <c r="B9" i="18"/>
  <c r="B11" i="18"/>
  <c r="B13" i="18"/>
  <c r="B15" i="18"/>
  <c r="B17" i="18"/>
  <c r="B19" i="18"/>
  <c r="B21" i="18"/>
  <c r="C4" i="18"/>
  <c r="C5" i="18"/>
  <c r="C6" i="18"/>
  <c r="C7" i="18"/>
  <c r="C8" i="18"/>
  <c r="C9" i="18"/>
  <c r="C10" i="18"/>
  <c r="C11" i="18"/>
  <c r="C12" i="18"/>
  <c r="C13" i="18"/>
  <c r="C14" i="18"/>
  <c r="C15" i="18"/>
  <c r="C16" i="18"/>
  <c r="C17" i="18"/>
  <c r="C18" i="18"/>
  <c r="C19" i="18"/>
  <c r="C20" i="18"/>
  <c r="C21" i="18"/>
  <c r="B3" i="34"/>
  <c r="B5" i="34"/>
  <c r="B7" i="34"/>
  <c r="B9" i="34"/>
  <c r="B11" i="34"/>
  <c r="B13" i="34"/>
  <c r="B15" i="34"/>
  <c r="B17" i="34"/>
  <c r="B19" i="34"/>
  <c r="B21" i="34"/>
  <c r="C3" i="34"/>
  <c r="C4" i="34"/>
  <c r="C5" i="34"/>
  <c r="C6" i="34"/>
  <c r="C7" i="34"/>
  <c r="C8" i="34"/>
  <c r="C9" i="34"/>
  <c r="C10" i="34"/>
  <c r="C11" i="34"/>
  <c r="C12" i="34"/>
  <c r="C13" i="34"/>
  <c r="C14" i="34"/>
  <c r="C15" i="34"/>
  <c r="C16" i="34"/>
  <c r="C17" i="34"/>
  <c r="C18" i="34"/>
  <c r="C19" i="34"/>
  <c r="C20" i="34"/>
  <c r="C21" i="34"/>
  <c r="B3" i="24"/>
  <c r="B5" i="24"/>
  <c r="B7" i="24"/>
  <c r="B9" i="24"/>
  <c r="B11" i="24"/>
  <c r="B13" i="24"/>
  <c r="B15" i="24"/>
  <c r="B17" i="24"/>
  <c r="B19" i="24"/>
  <c r="B21" i="24"/>
  <c r="C3" i="24"/>
  <c r="C4" i="24"/>
  <c r="C5" i="24"/>
  <c r="C6" i="24"/>
  <c r="C7" i="24"/>
  <c r="C8" i="24"/>
  <c r="C9" i="24"/>
  <c r="C10" i="24"/>
  <c r="C11" i="24"/>
  <c r="C12" i="24"/>
  <c r="C13" i="24"/>
  <c r="C14" i="24"/>
  <c r="C15" i="24"/>
  <c r="C16" i="24"/>
  <c r="C17" i="24"/>
  <c r="C18" i="24"/>
  <c r="C19" i="24"/>
  <c r="C20" i="24"/>
  <c r="C21" i="24"/>
  <c r="B3" i="27"/>
  <c r="B4" i="27"/>
  <c r="B5" i="27"/>
  <c r="B6" i="27"/>
  <c r="B7" i="27"/>
  <c r="B8" i="27"/>
  <c r="B9" i="27"/>
  <c r="B10" i="27"/>
  <c r="B11" i="27"/>
  <c r="B12" i="27"/>
  <c r="B13" i="27"/>
  <c r="B14" i="27"/>
  <c r="B15" i="27"/>
  <c r="B16" i="27"/>
  <c r="B17" i="27"/>
  <c r="B18" i="27"/>
  <c r="B19" i="27"/>
  <c r="B20" i="27"/>
  <c r="B21" i="27"/>
  <c r="C3" i="27"/>
  <c r="C4" i="27"/>
  <c r="C5" i="27"/>
  <c r="C6" i="27"/>
  <c r="C7" i="27"/>
  <c r="C8" i="27"/>
  <c r="C9" i="27"/>
  <c r="C10" i="27"/>
  <c r="C11" i="27"/>
  <c r="C12" i="27"/>
  <c r="C13" i="27"/>
  <c r="C14" i="27"/>
  <c r="C15" i="27"/>
  <c r="C16" i="27"/>
  <c r="C17" i="27"/>
  <c r="C18" i="27"/>
  <c r="C19" i="27"/>
  <c r="C20" i="27"/>
  <c r="C21" i="27"/>
  <c r="F3" i="27"/>
  <c r="F4" i="27"/>
  <c r="F5" i="27"/>
  <c r="F6" i="27"/>
  <c r="F7" i="27"/>
  <c r="F8" i="27"/>
  <c r="F9" i="27"/>
  <c r="F10" i="27"/>
  <c r="F11" i="27"/>
  <c r="F12" i="27"/>
  <c r="F13" i="27"/>
  <c r="F14" i="27"/>
  <c r="F15" i="27"/>
  <c r="F16" i="27"/>
  <c r="F17" i="27"/>
  <c r="F18" i="27"/>
  <c r="F19" i="27"/>
  <c r="F20" i="27"/>
  <c r="F21" i="27"/>
  <c r="B3" i="28"/>
  <c r="B4" i="28"/>
  <c r="B5" i="28"/>
  <c r="B6" i="28"/>
  <c r="B7" i="28"/>
  <c r="B8" i="28"/>
  <c r="B9" i="28"/>
  <c r="B10" i="28"/>
  <c r="B11" i="28"/>
  <c r="B12" i="28"/>
  <c r="B13" i="28"/>
  <c r="B14" i="28"/>
  <c r="B15" i="28"/>
  <c r="B16" i="28"/>
  <c r="B17" i="28"/>
  <c r="B18" i="28"/>
  <c r="B19" i="28"/>
  <c r="B20" i="28"/>
  <c r="B21" i="28"/>
  <c r="C3" i="28"/>
  <c r="C4" i="28"/>
  <c r="C5" i="28"/>
  <c r="C6" i="28"/>
  <c r="C7" i="28"/>
  <c r="C8" i="28"/>
  <c r="C9" i="28"/>
  <c r="C10" i="28"/>
  <c r="C11" i="28"/>
  <c r="C12" i="28"/>
  <c r="C13" i="28"/>
  <c r="C14" i="28"/>
  <c r="C15" i="28"/>
  <c r="C16" i="28"/>
  <c r="C17" i="28"/>
  <c r="C18" i="28"/>
  <c r="C19" i="28"/>
  <c r="C20" i="28"/>
  <c r="C21" i="28"/>
  <c r="D3" i="28"/>
  <c r="D4" i="28"/>
  <c r="D5" i="28"/>
  <c r="D6" i="28"/>
  <c r="D7" i="28"/>
  <c r="D8" i="28"/>
  <c r="D9" i="28"/>
  <c r="D10" i="28"/>
  <c r="D11" i="28"/>
  <c r="D12" i="28"/>
  <c r="D13" i="28"/>
  <c r="D14" i="28"/>
  <c r="D15" i="28"/>
  <c r="D16" i="28"/>
  <c r="D17" i="28"/>
  <c r="D18" i="28"/>
  <c r="D19" i="28"/>
  <c r="D20" i="28"/>
  <c r="D21" i="28"/>
  <c r="D17" i="3"/>
  <c r="I17" i="3" s="1"/>
  <c r="D18" i="3"/>
  <c r="I18" i="3" s="1"/>
  <c r="D19" i="3"/>
  <c r="I19" i="3" s="1"/>
  <c r="D20" i="3"/>
  <c r="I20" i="3" s="1"/>
  <c r="D21" i="3"/>
  <c r="I21" i="3" s="1"/>
  <c r="E17" i="3"/>
  <c r="J17" i="3" s="1"/>
  <c r="E18" i="3"/>
  <c r="J18" i="3" s="1"/>
  <c r="E19" i="3"/>
  <c r="J19" i="3" s="1"/>
  <c r="E20" i="3"/>
  <c r="J20" i="3" s="1"/>
  <c r="E21" i="3"/>
  <c r="J21" i="3" s="1"/>
  <c r="F17" i="3"/>
  <c r="F19" i="3"/>
  <c r="F21" i="3"/>
  <c r="G17" i="3"/>
  <c r="G18" i="3"/>
  <c r="G19" i="3"/>
  <c r="G20" i="3"/>
  <c r="G21" i="3"/>
  <c r="H17" i="3"/>
  <c r="H19" i="3"/>
  <c r="H21" i="3"/>
  <c r="K17" i="3"/>
  <c r="K18" i="3"/>
  <c r="K19" i="3"/>
  <c r="K20" i="3"/>
  <c r="K21" i="3"/>
  <c r="R17" i="3"/>
  <c r="R18" i="3"/>
  <c r="R19" i="3"/>
  <c r="R20" i="3"/>
  <c r="R21" i="3"/>
  <c r="S17" i="3"/>
  <c r="S18" i="3"/>
  <c r="S19" i="3"/>
  <c r="S20" i="3"/>
  <c r="S21" i="3"/>
  <c r="T17" i="3"/>
  <c r="T18" i="3"/>
  <c r="T19" i="3"/>
  <c r="T20" i="3"/>
  <c r="T21" i="3"/>
  <c r="U17" i="3"/>
  <c r="U18" i="3"/>
  <c r="U19" i="3"/>
  <c r="U20" i="3"/>
  <c r="U21" i="3"/>
  <c r="C3" i="5"/>
  <c r="C4" i="5"/>
  <c r="C5" i="5"/>
  <c r="C6" i="5"/>
  <c r="C7" i="5"/>
  <c r="C8" i="5"/>
  <c r="C9" i="5"/>
  <c r="C10" i="5"/>
  <c r="C11" i="5"/>
  <c r="C12" i="5"/>
  <c r="C13" i="5"/>
  <c r="C14" i="5"/>
  <c r="C15" i="5"/>
  <c r="C16" i="5"/>
  <c r="C17" i="5"/>
  <c r="C18" i="5"/>
  <c r="C19" i="5"/>
  <c r="C20" i="5"/>
  <c r="C21" i="5"/>
  <c r="D3" i="5"/>
  <c r="D4" i="5"/>
  <c r="D5" i="5"/>
  <c r="D6" i="5"/>
  <c r="D7" i="5"/>
  <c r="D8" i="5"/>
  <c r="D9" i="5"/>
  <c r="D10" i="5"/>
  <c r="D11" i="5"/>
  <c r="D12" i="5"/>
  <c r="D13" i="5"/>
  <c r="D14" i="5"/>
  <c r="D15" i="5"/>
  <c r="D16" i="5"/>
  <c r="D17" i="5"/>
  <c r="D18" i="5"/>
  <c r="D19" i="5"/>
  <c r="D20" i="5"/>
  <c r="D21" i="5"/>
  <c r="E3" i="5"/>
  <c r="E4" i="5"/>
  <c r="E5" i="5"/>
  <c r="E6" i="5"/>
  <c r="E7" i="5"/>
  <c r="E8" i="5"/>
  <c r="E9" i="5"/>
  <c r="E10" i="5"/>
  <c r="E11" i="5"/>
  <c r="E12" i="5"/>
  <c r="E13" i="5"/>
  <c r="E14" i="5"/>
  <c r="E15" i="5"/>
  <c r="E16" i="5"/>
  <c r="E17" i="5"/>
  <c r="E18" i="5"/>
  <c r="E19" i="5"/>
  <c r="E20" i="5"/>
  <c r="E21" i="5"/>
  <c r="F3" i="5"/>
  <c r="G3" i="5" s="1"/>
  <c r="F4" i="5"/>
  <c r="G4" i="5" s="1"/>
  <c r="F5" i="5"/>
  <c r="G5" i="5" s="1"/>
  <c r="F6" i="5"/>
  <c r="G6" i="5" s="1"/>
  <c r="F7" i="5"/>
  <c r="G7" i="5" s="1"/>
  <c r="F8" i="5"/>
  <c r="G8" i="5" s="1"/>
  <c r="F9" i="5"/>
  <c r="G9" i="5" s="1"/>
  <c r="F10" i="5"/>
  <c r="G10" i="5" s="1"/>
  <c r="F11" i="5"/>
  <c r="G11" i="5" s="1"/>
  <c r="F12" i="5"/>
  <c r="G12" i="5" s="1"/>
  <c r="F13" i="5"/>
  <c r="G13" i="5" s="1"/>
  <c r="F14" i="5"/>
  <c r="G14" i="5" s="1"/>
  <c r="F15" i="5"/>
  <c r="G15" i="5" s="1"/>
  <c r="F16" i="5"/>
  <c r="G16" i="5" s="1"/>
  <c r="F17" i="5"/>
  <c r="G17" i="5" s="1"/>
  <c r="F18" i="5"/>
  <c r="G18" i="5" s="1"/>
  <c r="F19" i="5"/>
  <c r="G19" i="5" s="1"/>
  <c r="F20" i="5"/>
  <c r="G20" i="5" s="1"/>
  <c r="F21" i="5"/>
  <c r="G21" i="5" s="1"/>
  <c r="H3" i="5"/>
  <c r="H4" i="5"/>
  <c r="H5" i="5"/>
  <c r="H6" i="5"/>
  <c r="H7" i="5"/>
  <c r="H8" i="5"/>
  <c r="H9" i="5"/>
  <c r="H10" i="5"/>
  <c r="H11" i="5"/>
  <c r="H12" i="5"/>
  <c r="H13" i="5"/>
  <c r="H14" i="5"/>
  <c r="H15" i="5"/>
  <c r="H16" i="5"/>
  <c r="H17" i="5"/>
  <c r="H18" i="5"/>
  <c r="H19" i="5"/>
  <c r="H20" i="5"/>
  <c r="H21" i="5"/>
  <c r="I3" i="5"/>
  <c r="I4" i="5"/>
  <c r="I5" i="5"/>
  <c r="I6" i="5"/>
  <c r="I7" i="5"/>
  <c r="I8" i="5"/>
  <c r="I9" i="5"/>
  <c r="I10" i="5"/>
  <c r="I11" i="5"/>
  <c r="I12" i="5"/>
  <c r="I13" i="5"/>
  <c r="I14" i="5"/>
  <c r="I15" i="5"/>
  <c r="I16" i="5"/>
  <c r="I17" i="5"/>
  <c r="I18" i="5"/>
  <c r="I19" i="5"/>
  <c r="I20" i="5"/>
  <c r="I21" i="5"/>
  <c r="D3" i="29"/>
  <c r="D4" i="29"/>
  <c r="D5" i="29"/>
  <c r="D6" i="29"/>
  <c r="D7" i="29"/>
  <c r="D8" i="29"/>
  <c r="D9" i="29"/>
  <c r="D10" i="29"/>
  <c r="D11" i="29"/>
  <c r="D12" i="29"/>
  <c r="D13" i="29"/>
  <c r="D14" i="29"/>
  <c r="D15" i="29"/>
  <c r="D16" i="29"/>
  <c r="D17" i="29"/>
  <c r="D18" i="29"/>
  <c r="D19" i="29"/>
  <c r="D20" i="29"/>
  <c r="D21" i="29"/>
  <c r="E3" i="29"/>
  <c r="E4" i="29"/>
  <c r="E5" i="29"/>
  <c r="E6" i="29"/>
  <c r="E7" i="29"/>
  <c r="E8" i="29"/>
  <c r="E9" i="29"/>
  <c r="E10" i="29"/>
  <c r="E11" i="29"/>
  <c r="E12" i="29"/>
  <c r="E13" i="29"/>
  <c r="E14" i="29"/>
  <c r="E15" i="29"/>
  <c r="E16" i="29"/>
  <c r="E17" i="29"/>
  <c r="E18" i="29"/>
  <c r="E19" i="29"/>
  <c r="E20" i="29"/>
  <c r="E21" i="29"/>
  <c r="F3" i="29"/>
  <c r="F4" i="29"/>
  <c r="F5" i="29"/>
  <c r="F6" i="29"/>
  <c r="F7" i="29"/>
  <c r="F8" i="29"/>
  <c r="F9" i="29"/>
  <c r="F10" i="29"/>
  <c r="F11" i="29"/>
  <c r="F12" i="29"/>
  <c r="F13" i="29"/>
  <c r="F14" i="29"/>
  <c r="F15" i="29"/>
  <c r="F16" i="29"/>
  <c r="F17" i="29"/>
  <c r="F18" i="29"/>
  <c r="F19" i="29"/>
  <c r="F20" i="29"/>
  <c r="F21" i="29"/>
  <c r="G3" i="29"/>
  <c r="G4" i="29"/>
  <c r="G5" i="29"/>
  <c r="G6" i="29"/>
  <c r="G7" i="29"/>
  <c r="G8" i="29"/>
  <c r="G9" i="29"/>
  <c r="G10" i="29"/>
  <c r="G11" i="29"/>
  <c r="G12" i="29"/>
  <c r="G13" i="29"/>
  <c r="G14" i="29"/>
  <c r="G15" i="29"/>
  <c r="G16" i="29"/>
  <c r="G17" i="29"/>
  <c r="G18" i="29"/>
  <c r="G19" i="29"/>
  <c r="G20" i="29"/>
  <c r="G21" i="29"/>
  <c r="I3" i="29"/>
  <c r="I4" i="29"/>
  <c r="I5" i="29"/>
  <c r="I6" i="29"/>
  <c r="I7" i="29"/>
  <c r="I8" i="29"/>
  <c r="I9" i="29"/>
  <c r="I10" i="29"/>
  <c r="I11" i="29"/>
  <c r="I12" i="29"/>
  <c r="I13" i="29"/>
  <c r="I14" i="29"/>
  <c r="I15" i="29"/>
  <c r="I16" i="29"/>
  <c r="I17" i="29"/>
  <c r="I18" i="29"/>
  <c r="I19" i="29"/>
  <c r="I20" i="29"/>
  <c r="I21" i="29"/>
  <c r="B4" i="12"/>
  <c r="B5" i="12"/>
  <c r="B6" i="12"/>
  <c r="B7" i="12"/>
  <c r="B8" i="12"/>
  <c r="B9" i="12"/>
  <c r="B10" i="12"/>
  <c r="B11" i="12"/>
  <c r="B12" i="12"/>
  <c r="B13" i="12"/>
  <c r="B14" i="12"/>
  <c r="B15" i="12"/>
  <c r="B16" i="12"/>
  <c r="B17" i="12"/>
  <c r="B18" i="12"/>
  <c r="B19" i="12"/>
  <c r="B20" i="12"/>
  <c r="B21" i="12"/>
  <c r="B4" i="38"/>
  <c r="B5" i="38"/>
  <c r="B6" i="38"/>
  <c r="B7" i="38"/>
  <c r="B8" i="38"/>
  <c r="B9" i="38"/>
  <c r="B10" i="38"/>
  <c r="B11" i="38"/>
  <c r="B12" i="38"/>
  <c r="B13" i="38"/>
  <c r="B14" i="38"/>
  <c r="B15" i="38"/>
  <c r="B16" i="38"/>
  <c r="B17" i="38"/>
  <c r="B18" i="38"/>
  <c r="B19" i="38"/>
  <c r="B20" i="38"/>
  <c r="B21" i="38"/>
  <c r="C3" i="38"/>
  <c r="C4" i="38"/>
  <c r="C5" i="38"/>
  <c r="C6" i="38"/>
  <c r="C7" i="38"/>
  <c r="C8" i="38"/>
  <c r="C9" i="38"/>
  <c r="C10" i="38"/>
  <c r="C11" i="38"/>
  <c r="C12" i="38"/>
  <c r="C13" i="38"/>
  <c r="C14" i="38"/>
  <c r="C15" i="38"/>
  <c r="C16" i="38"/>
  <c r="C17" i="38"/>
  <c r="C18" i="38"/>
  <c r="C19" i="38"/>
  <c r="C20" i="38"/>
  <c r="C21" i="38"/>
  <c r="D3" i="38"/>
  <c r="D4" i="38"/>
  <c r="D5" i="38"/>
  <c r="D6" i="38"/>
  <c r="D7" i="38"/>
  <c r="D8" i="38"/>
  <c r="D9" i="38"/>
  <c r="D10" i="38"/>
  <c r="D11" i="38"/>
  <c r="D12" i="38"/>
  <c r="D13" i="38"/>
  <c r="D14" i="38"/>
  <c r="D15" i="38"/>
  <c r="D16" i="38"/>
  <c r="D17" i="38"/>
  <c r="D18" i="38"/>
  <c r="D19" i="38"/>
  <c r="D20" i="38"/>
  <c r="D21" i="38"/>
  <c r="E3" i="38"/>
  <c r="E4" i="38"/>
  <c r="E5" i="38"/>
  <c r="E6" i="38"/>
  <c r="E7" i="38"/>
  <c r="E8" i="38"/>
  <c r="E9" i="38"/>
  <c r="E10" i="38"/>
  <c r="E11" i="38"/>
  <c r="E12" i="38"/>
  <c r="E13" i="38"/>
  <c r="E14" i="38"/>
  <c r="E15" i="38"/>
  <c r="E16" i="38"/>
  <c r="E17" i="38"/>
  <c r="E18" i="38"/>
  <c r="E19" i="38"/>
  <c r="E20" i="38"/>
  <c r="E21" i="38"/>
  <c r="F3" i="38"/>
  <c r="F4" i="38"/>
  <c r="F5" i="38"/>
  <c r="F6" i="38"/>
  <c r="F7" i="38"/>
  <c r="F8" i="38"/>
  <c r="F9" i="38"/>
  <c r="F10" i="38"/>
  <c r="F11" i="38"/>
  <c r="F12" i="38"/>
  <c r="F13" i="38"/>
  <c r="F14" i="38"/>
  <c r="F15" i="38"/>
  <c r="F16" i="38"/>
  <c r="F17" i="38"/>
  <c r="F18" i="38"/>
  <c r="F19" i="38"/>
  <c r="F20" i="38"/>
  <c r="F21" i="38"/>
  <c r="H3" i="38"/>
  <c r="H4" i="38"/>
  <c r="H5" i="38"/>
  <c r="H6" i="38"/>
  <c r="H7" i="38"/>
  <c r="H8" i="38"/>
  <c r="H9" i="38"/>
  <c r="H10" i="38"/>
  <c r="H11" i="38"/>
  <c r="H12" i="38"/>
  <c r="H13" i="38"/>
  <c r="H14" i="38"/>
  <c r="H15" i="38"/>
  <c r="H16" i="38"/>
  <c r="H17" i="38"/>
  <c r="H18" i="38"/>
  <c r="H19" i="38"/>
  <c r="H20" i="38"/>
  <c r="H21" i="38"/>
  <c r="I3" i="38"/>
  <c r="I4" i="38"/>
  <c r="I5" i="38"/>
  <c r="I6" i="38"/>
  <c r="I7" i="38"/>
  <c r="I8" i="38"/>
  <c r="I9" i="38"/>
  <c r="I10" i="38"/>
  <c r="I11" i="38"/>
  <c r="I12" i="38"/>
  <c r="I13" i="38"/>
  <c r="I14" i="38"/>
  <c r="I15" i="38"/>
  <c r="I16" i="38"/>
  <c r="I17" i="38"/>
  <c r="I18" i="38"/>
  <c r="I19" i="38"/>
  <c r="I20" i="38"/>
  <c r="I21" i="38"/>
  <c r="F3" i="3"/>
  <c r="F4" i="3"/>
  <c r="F5" i="3"/>
  <c r="F6" i="3"/>
  <c r="F7" i="3"/>
  <c r="F8" i="3"/>
  <c r="F9" i="3"/>
  <c r="F10" i="3"/>
  <c r="F11" i="3"/>
  <c r="F12" i="3"/>
  <c r="F13" i="3"/>
  <c r="F14" i="3"/>
  <c r="F15" i="3"/>
  <c r="F16" i="3"/>
  <c r="B20" i="4" l="1"/>
  <c r="B20" i="42"/>
  <c r="B20" i="8"/>
  <c r="B20" i="18"/>
  <c r="B20" i="34"/>
  <c r="B20" i="24"/>
  <c r="F20" i="3"/>
  <c r="B18" i="4"/>
  <c r="B18" i="42"/>
  <c r="B18" i="8"/>
  <c r="B18" i="18"/>
  <c r="B18" i="34"/>
  <c r="B18" i="24"/>
  <c r="F18" i="3"/>
  <c r="B16" i="4"/>
  <c r="B16" i="42"/>
  <c r="B16" i="8"/>
  <c r="B16" i="18"/>
  <c r="B16" i="34"/>
  <c r="B16" i="24"/>
  <c r="B14" i="4"/>
  <c r="B14" i="42"/>
  <c r="B14" i="8"/>
  <c r="B14" i="18"/>
  <c r="B14" i="34"/>
  <c r="B14" i="24"/>
  <c r="B12" i="4"/>
  <c r="B12" i="42"/>
  <c r="B12" i="8"/>
  <c r="B12" i="18"/>
  <c r="B12" i="34"/>
  <c r="B12" i="24"/>
  <c r="B10" i="4"/>
  <c r="B10" i="42"/>
  <c r="B10" i="8"/>
  <c r="B10" i="18"/>
  <c r="B10" i="34"/>
  <c r="B10" i="24"/>
  <c r="B8" i="4"/>
  <c r="B8" i="42"/>
  <c r="B8" i="8"/>
  <c r="B8" i="18"/>
  <c r="B8" i="34"/>
  <c r="B8" i="24"/>
  <c r="B6" i="4"/>
  <c r="B6" i="42"/>
  <c r="B6" i="8"/>
  <c r="B6" i="18"/>
  <c r="B6" i="34"/>
  <c r="B6" i="24"/>
  <c r="B4" i="4"/>
  <c r="B4" i="42"/>
  <c r="B4" i="8"/>
  <c r="B4" i="18"/>
  <c r="B4" i="34"/>
  <c r="B4" i="24"/>
  <c r="B20" i="7"/>
  <c r="B18" i="7"/>
  <c r="B16" i="7"/>
  <c r="B14" i="7"/>
  <c r="K2" i="2" l="1"/>
  <c r="F2" i="5"/>
  <c r="D12" i="3" l="1"/>
  <c r="I12" i="3" s="1"/>
  <c r="D13" i="3"/>
  <c r="I13" i="3" s="1"/>
  <c r="D14" i="3"/>
  <c r="I14" i="3" s="1"/>
  <c r="D15" i="3"/>
  <c r="I15" i="3" s="1"/>
  <c r="D16" i="3"/>
  <c r="I16" i="3" s="1"/>
  <c r="E12" i="3"/>
  <c r="J12" i="3" s="1"/>
  <c r="E13" i="3"/>
  <c r="J13" i="3" s="1"/>
  <c r="E14" i="3"/>
  <c r="J14" i="3" s="1"/>
  <c r="E15" i="3"/>
  <c r="J15" i="3" s="1"/>
  <c r="E16" i="3"/>
  <c r="J16" i="3" s="1"/>
  <c r="G12" i="3"/>
  <c r="G13" i="3"/>
  <c r="G14" i="3"/>
  <c r="G15" i="3"/>
  <c r="G16" i="3"/>
  <c r="H12" i="3"/>
  <c r="H13" i="3"/>
  <c r="H14" i="3"/>
  <c r="H15" i="3"/>
  <c r="H16" i="3"/>
  <c r="K12" i="3"/>
  <c r="K13" i="3"/>
  <c r="K14" i="3"/>
  <c r="K15" i="3"/>
  <c r="K16" i="3"/>
  <c r="R12" i="3"/>
  <c r="R13" i="3"/>
  <c r="R14" i="3"/>
  <c r="R15" i="3"/>
  <c r="R16" i="3"/>
  <c r="S12" i="3"/>
  <c r="S13" i="3"/>
  <c r="S14" i="3"/>
  <c r="S15" i="3"/>
  <c r="S16" i="3"/>
  <c r="T12" i="3"/>
  <c r="T13" i="3"/>
  <c r="T14" i="3"/>
  <c r="T15" i="3"/>
  <c r="T16" i="3"/>
  <c r="U12" i="3"/>
  <c r="U13" i="3"/>
  <c r="U14" i="3"/>
  <c r="U15" i="3"/>
  <c r="U16" i="3"/>
  <c r="D3" i="3"/>
  <c r="I3" i="3" s="1"/>
  <c r="D4" i="3"/>
  <c r="I4" i="3" s="1"/>
  <c r="D5" i="3"/>
  <c r="I5" i="3" s="1"/>
  <c r="D6" i="3"/>
  <c r="I6" i="3" s="1"/>
  <c r="D7" i="3"/>
  <c r="I7" i="3" s="1"/>
  <c r="D8" i="3"/>
  <c r="I8" i="3" s="1"/>
  <c r="D9" i="3"/>
  <c r="I9" i="3" s="1"/>
  <c r="D10" i="3"/>
  <c r="I10" i="3" s="1"/>
  <c r="D11" i="3"/>
  <c r="I11" i="3" s="1"/>
  <c r="E3" i="3"/>
  <c r="J3" i="3" s="1"/>
  <c r="E4" i="3"/>
  <c r="J4" i="3" s="1"/>
  <c r="E5" i="3"/>
  <c r="J5" i="3" s="1"/>
  <c r="E6" i="3"/>
  <c r="J6" i="3" s="1"/>
  <c r="E7" i="3"/>
  <c r="J7" i="3" s="1"/>
  <c r="E8" i="3"/>
  <c r="J8" i="3" s="1"/>
  <c r="E9" i="3"/>
  <c r="J9" i="3" s="1"/>
  <c r="E10" i="3"/>
  <c r="J10" i="3" s="1"/>
  <c r="E11" i="3"/>
  <c r="J11" i="3" s="1"/>
  <c r="G4" i="3"/>
  <c r="G5" i="3"/>
  <c r="G6" i="3"/>
  <c r="G7" i="3"/>
  <c r="G8" i="3"/>
  <c r="G9" i="3"/>
  <c r="G10" i="3"/>
  <c r="G11" i="3"/>
  <c r="H4" i="3"/>
  <c r="H5" i="3"/>
  <c r="H6" i="3"/>
  <c r="H7" i="3"/>
  <c r="H8" i="3"/>
  <c r="H9" i="3"/>
  <c r="H10" i="3"/>
  <c r="H11" i="3"/>
  <c r="N3" i="3"/>
  <c r="N4" i="3"/>
  <c r="N5" i="3"/>
  <c r="N6" i="3"/>
  <c r="N7" i="3"/>
  <c r="N8" i="3"/>
  <c r="O3" i="3"/>
  <c r="O4" i="3"/>
  <c r="O5" i="3"/>
  <c r="O6" i="3"/>
  <c r="O7" i="3"/>
  <c r="O8" i="3"/>
  <c r="R3" i="3"/>
  <c r="R4" i="3"/>
  <c r="R5" i="3"/>
  <c r="R6" i="3"/>
  <c r="R7" i="3"/>
  <c r="R8" i="3"/>
  <c r="R9" i="3"/>
  <c r="R10" i="3"/>
  <c r="R11" i="3"/>
  <c r="S3" i="3"/>
  <c r="S4" i="3"/>
  <c r="S5" i="3"/>
  <c r="S6" i="3"/>
  <c r="S7" i="3"/>
  <c r="S8" i="3"/>
  <c r="S9" i="3"/>
  <c r="S10" i="3"/>
  <c r="S11" i="3"/>
  <c r="T3" i="3"/>
  <c r="T4" i="3"/>
  <c r="T5" i="3"/>
  <c r="T6" i="3"/>
  <c r="T7" i="3"/>
  <c r="T8" i="3"/>
  <c r="T9" i="3"/>
  <c r="T10" i="3"/>
  <c r="T11" i="3"/>
  <c r="U3" i="3"/>
  <c r="U4" i="3"/>
  <c r="U5" i="3"/>
  <c r="U6" i="3"/>
  <c r="U7" i="3"/>
  <c r="U8" i="3"/>
  <c r="U9" i="3"/>
  <c r="U10" i="3"/>
  <c r="U11" i="3"/>
  <c r="V3" i="3"/>
  <c r="V4" i="3"/>
  <c r="V5" i="3"/>
  <c r="V6" i="3"/>
  <c r="K3" i="3"/>
  <c r="K4" i="3"/>
  <c r="K5" i="3"/>
  <c r="K6" i="3"/>
  <c r="K7" i="3"/>
  <c r="K8" i="3"/>
  <c r="K9" i="3"/>
  <c r="K10" i="3"/>
  <c r="K11" i="3"/>
  <c r="B4" i="7"/>
  <c r="B5" i="7"/>
  <c r="B6" i="7"/>
  <c r="B7" i="7"/>
  <c r="B8" i="7"/>
  <c r="B9" i="7"/>
  <c r="B10" i="7"/>
  <c r="B11" i="7"/>
  <c r="B12" i="7"/>
  <c r="B13" i="7"/>
  <c r="C3" i="7"/>
  <c r="C4" i="7"/>
  <c r="C5" i="7"/>
  <c r="C6" i="7"/>
  <c r="C7" i="7"/>
  <c r="C8" i="7"/>
  <c r="C9" i="7"/>
  <c r="C10" i="7"/>
  <c r="C11" i="7"/>
  <c r="C12" i="7"/>
  <c r="C13" i="7"/>
  <c r="D3" i="7"/>
  <c r="D4" i="7"/>
  <c r="D5" i="7"/>
  <c r="D6" i="7"/>
  <c r="D7" i="7"/>
  <c r="D8" i="7"/>
  <c r="D9" i="7"/>
  <c r="D10" i="7"/>
  <c r="D11" i="7"/>
  <c r="D12" i="7"/>
  <c r="D13" i="7"/>
  <c r="F3" i="7"/>
  <c r="F4" i="7"/>
  <c r="F5" i="7"/>
  <c r="F6" i="7"/>
  <c r="F7" i="7"/>
  <c r="F8" i="7"/>
  <c r="F9" i="7"/>
  <c r="F10" i="7"/>
  <c r="F11" i="7"/>
  <c r="F12" i="7"/>
  <c r="F13" i="7"/>
  <c r="G3" i="7"/>
  <c r="G4" i="7"/>
  <c r="G5" i="7"/>
  <c r="G6" i="7"/>
  <c r="G7" i="7"/>
  <c r="G8" i="7"/>
  <c r="G9" i="7"/>
  <c r="G10" i="7"/>
  <c r="G11" i="7"/>
  <c r="G12" i="7"/>
  <c r="G13" i="7"/>
  <c r="I4" i="7"/>
  <c r="I5" i="7"/>
  <c r="I6" i="7"/>
  <c r="I7" i="7"/>
  <c r="I8" i="7"/>
  <c r="I9" i="7"/>
  <c r="I10" i="7"/>
  <c r="I11" i="7"/>
  <c r="I12" i="7"/>
  <c r="I13" i="7"/>
  <c r="J3" i="7"/>
  <c r="J4" i="7"/>
  <c r="J5" i="7"/>
  <c r="J6" i="7"/>
  <c r="J7" i="7"/>
  <c r="J8" i="7"/>
  <c r="J9" i="7"/>
  <c r="J10" i="7"/>
  <c r="J11" i="7"/>
  <c r="J12" i="7"/>
  <c r="J13" i="7"/>
  <c r="K3" i="7"/>
  <c r="K4" i="7"/>
  <c r="K5" i="7"/>
  <c r="K6" i="7"/>
  <c r="K7" i="7"/>
  <c r="K8" i="7"/>
  <c r="K9" i="7"/>
  <c r="K10" i="7"/>
  <c r="K11" i="7"/>
  <c r="K12" i="7"/>
  <c r="K13" i="7"/>
  <c r="L3" i="7"/>
  <c r="L4" i="7"/>
  <c r="L5" i="7"/>
  <c r="L6" i="7"/>
  <c r="L7" i="7"/>
  <c r="L8" i="7"/>
  <c r="L9" i="7"/>
  <c r="L10" i="7"/>
  <c r="L11" i="7"/>
  <c r="L12" i="7"/>
  <c r="L13" i="7"/>
  <c r="N3" i="7"/>
  <c r="N4" i="7"/>
  <c r="N5" i="7"/>
  <c r="N6" i="7"/>
  <c r="N7" i="7"/>
  <c r="N8" i="7"/>
  <c r="N9" i="7"/>
  <c r="N10" i="7"/>
  <c r="N11" i="7"/>
  <c r="N12" i="7"/>
  <c r="N13" i="7"/>
  <c r="O3" i="7"/>
  <c r="O4" i="7"/>
  <c r="O5" i="7"/>
  <c r="O6" i="7"/>
  <c r="O7" i="7"/>
  <c r="O8" i="7"/>
  <c r="O9" i="7"/>
  <c r="O10" i="7"/>
  <c r="O11" i="7"/>
  <c r="O12" i="7"/>
  <c r="O13" i="7"/>
  <c r="P3" i="7"/>
  <c r="P4" i="7"/>
  <c r="P5" i="7"/>
  <c r="P6" i="7"/>
  <c r="P7" i="7"/>
  <c r="P8" i="7"/>
  <c r="P9" i="7"/>
  <c r="P10" i="7"/>
  <c r="P11" i="7"/>
  <c r="P12" i="7"/>
  <c r="P13" i="7"/>
  <c r="Q3" i="7"/>
  <c r="Q4" i="7"/>
  <c r="Q5" i="7"/>
  <c r="Q6" i="7"/>
  <c r="Q7" i="7"/>
  <c r="Q8" i="7"/>
  <c r="Q9" i="7"/>
  <c r="Q10" i="7"/>
  <c r="Q11" i="7"/>
  <c r="Q12" i="7"/>
  <c r="Q13" i="7"/>
  <c r="S3" i="7"/>
  <c r="S4" i="7"/>
  <c r="S5" i="7"/>
  <c r="S6" i="7"/>
  <c r="S7" i="7"/>
  <c r="S8" i="7"/>
  <c r="S9" i="7"/>
  <c r="S10" i="7"/>
  <c r="S11" i="7"/>
  <c r="S12" i="7"/>
  <c r="S13" i="7"/>
  <c r="T3" i="7"/>
  <c r="T4" i="7"/>
  <c r="T5" i="7"/>
  <c r="T6" i="7"/>
  <c r="T7" i="7"/>
  <c r="T8" i="7"/>
  <c r="T9" i="7"/>
  <c r="T10" i="7"/>
  <c r="T11" i="7"/>
  <c r="T12" i="7"/>
  <c r="T13" i="7"/>
  <c r="M2" i="7"/>
  <c r="H3" i="3"/>
  <c r="F2" i="3" l="1"/>
  <c r="B2" i="42"/>
  <c r="B3" i="7"/>
  <c r="B2" i="4"/>
  <c r="O2" i="7"/>
  <c r="G2" i="3"/>
  <c r="E2" i="38" l="1"/>
  <c r="I2" i="38"/>
  <c r="H2" i="38"/>
  <c r="F2" i="38"/>
  <c r="D2" i="38"/>
  <c r="G2" i="29"/>
  <c r="I2" i="29"/>
  <c r="F2" i="29"/>
  <c r="E2" i="29"/>
  <c r="D2" i="29"/>
  <c r="I2" i="5"/>
  <c r="H2" i="5"/>
  <c r="G2" i="5"/>
  <c r="E2" i="5"/>
  <c r="D2" i="5"/>
  <c r="C2" i="5"/>
  <c r="N2" i="3"/>
  <c r="D2" i="28"/>
  <c r="F2" i="27"/>
  <c r="C2" i="34"/>
  <c r="C2" i="18"/>
  <c r="C2" i="33"/>
  <c r="C2" i="32"/>
  <c r="C2" i="14"/>
  <c r="F2" i="8"/>
  <c r="T2" i="7"/>
  <c r="N2" i="7"/>
  <c r="P2" i="7"/>
  <c r="Q2" i="7"/>
  <c r="K2" i="7"/>
  <c r="L2" i="7"/>
  <c r="J2" i="7"/>
  <c r="I2" i="7"/>
  <c r="F2" i="7"/>
  <c r="H2" i="2"/>
  <c r="G2" i="2"/>
  <c r="F2" i="2"/>
  <c r="E2" i="2"/>
  <c r="D2" i="2"/>
  <c r="V2" i="3"/>
  <c r="U2" i="3"/>
  <c r="T2" i="3"/>
  <c r="S2" i="3"/>
  <c r="R2" i="3"/>
  <c r="O2" i="3"/>
  <c r="D2" i="3"/>
  <c r="I2" i="3" s="1"/>
  <c r="E2" i="3"/>
  <c r="J2" i="3" s="1"/>
  <c r="K2" i="3"/>
  <c r="C2" i="28"/>
  <c r="C2" i="27"/>
  <c r="C2" i="24"/>
  <c r="G2" i="8"/>
  <c r="E2" i="8"/>
  <c r="D2" i="8"/>
  <c r="C2" i="8"/>
  <c r="S2" i="7"/>
  <c r="G2" i="7"/>
  <c r="D2" i="7"/>
  <c r="C2" i="7"/>
  <c r="H2" i="4"/>
  <c r="D2" i="4"/>
  <c r="F2" i="4"/>
  <c r="J2" i="2" l="1"/>
  <c r="H2" i="3" l="1"/>
  <c r="B2" i="38" l="1"/>
  <c r="B2" i="28"/>
  <c r="B2" i="24"/>
  <c r="B2" i="12"/>
  <c r="B2" i="27"/>
  <c r="B2" i="34"/>
  <c r="B2" i="8"/>
  <c r="B2" i="7"/>
  <c r="B2" i="18"/>
  <c r="C2"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D5" authorId="0" shapeId="0" xr:uid="{00000000-0006-0000-0000-000001000000}">
      <text>
        <r>
          <rPr>
            <b/>
            <sz val="9"/>
            <color indexed="81"/>
            <rFont val="Tahoma"/>
            <family val="2"/>
          </rPr>
          <t>Estrada, Stacey [AGRON]:</t>
        </r>
        <r>
          <rPr>
            <sz val="9"/>
            <color indexed="81"/>
            <rFont val="Tahoma"/>
            <family val="2"/>
          </rPr>
          <t xml:space="preserve">
NPGS prefix (NC7 = Ames)</t>
        </r>
      </text>
    </comment>
    <comment ref="D6" authorId="0" shapeId="0" xr:uid="{00000000-0006-0000-0000-000002000000}">
      <text>
        <r>
          <rPr>
            <b/>
            <sz val="9"/>
            <color indexed="81"/>
            <rFont val="Tahoma"/>
            <family val="2"/>
          </rPr>
          <t>Estrada, Stacey [AGRON]:</t>
        </r>
        <r>
          <rPr>
            <sz val="9"/>
            <color indexed="81"/>
            <rFont val="Tahoma"/>
            <family val="2"/>
          </rPr>
          <t xml:space="preserve">
Assigned by GPA</t>
        </r>
      </text>
    </comment>
    <comment ref="D10" authorId="0" shapeId="0" xr:uid="{00000000-0006-0000-0000-000003000000}">
      <text>
        <r>
          <rPr>
            <b/>
            <sz val="9"/>
            <color indexed="81"/>
            <rFont val="Tahoma"/>
            <family val="2"/>
          </rPr>
          <t>Estrada, Stacey [AGRON]:</t>
        </r>
        <r>
          <rPr>
            <sz val="9"/>
            <color indexed="81"/>
            <rFont val="Tahoma"/>
            <family val="2"/>
          </rPr>
          <t xml:space="preserve">
Lookup Picker</t>
        </r>
      </text>
    </comment>
    <comment ref="D11" authorId="0" shapeId="0" xr:uid="{00000000-0006-0000-0000-000004000000}">
      <text>
        <r>
          <rPr>
            <b/>
            <sz val="9"/>
            <color indexed="81"/>
            <rFont val="Tahoma"/>
            <family val="2"/>
          </rPr>
          <t>Estrada, Stacey [AGRON]:</t>
        </r>
        <r>
          <rPr>
            <sz val="9"/>
            <color indexed="81"/>
            <rFont val="Tahoma"/>
            <family val="2"/>
          </rPr>
          <t xml:space="preserve">
Lookup Picker</t>
        </r>
      </text>
    </comment>
    <comment ref="D12" authorId="0" shapeId="0" xr:uid="{00000000-0006-0000-0000-000005000000}">
      <text>
        <r>
          <rPr>
            <b/>
            <sz val="9"/>
            <color indexed="81"/>
            <rFont val="Tahoma"/>
            <family val="2"/>
          </rPr>
          <t>Estrada, Stacey [AGRON]:</t>
        </r>
        <r>
          <rPr>
            <sz val="9"/>
            <color indexed="81"/>
            <rFont val="Tahoma"/>
            <family val="2"/>
          </rPr>
          <t xml:space="preserve">
Date accession was received by the site</t>
        </r>
      </text>
    </comment>
    <comment ref="D13" authorId="0" shapeId="0" xr:uid="{00000000-0006-0000-0000-000006000000}">
      <text>
        <r>
          <rPr>
            <b/>
            <sz val="9"/>
            <color indexed="81"/>
            <rFont val="Tahoma"/>
            <family val="2"/>
          </rPr>
          <t>Estrada, Stacey [AGRON]:</t>
        </r>
        <r>
          <rPr>
            <sz val="9"/>
            <color indexed="81"/>
            <rFont val="Tahoma"/>
            <family val="2"/>
          </rPr>
          <t xml:space="preserve">
Lookup Picker</t>
        </r>
      </text>
    </comment>
    <comment ref="D14" authorId="0" shapeId="0" xr:uid="{00000000-0006-0000-0000-000007000000}">
      <text>
        <r>
          <rPr>
            <b/>
            <sz val="9"/>
            <color indexed="81"/>
            <rFont val="Tahoma"/>
            <family val="2"/>
          </rPr>
          <t>Estrada, Stacey [AGRON]:</t>
        </r>
        <r>
          <rPr>
            <sz val="9"/>
            <color indexed="81"/>
            <rFont val="Tahoma"/>
            <family val="2"/>
          </rPr>
          <t xml:space="preserve">
Lookup Picker</t>
        </r>
      </text>
    </comment>
    <comment ref="D15" authorId="0" shapeId="0" xr:uid="{00000000-0006-0000-0000-000008000000}">
      <text>
        <r>
          <rPr>
            <b/>
            <sz val="9"/>
            <color indexed="81"/>
            <rFont val="Tahoma"/>
            <family val="2"/>
          </rPr>
          <t>Estrada, Stacey [AGRON]:</t>
        </r>
        <r>
          <rPr>
            <sz val="9"/>
            <color indexed="81"/>
            <rFont val="Tahoma"/>
            <family val="2"/>
          </rPr>
          <t xml:space="preserve">
Lookup Picker</t>
        </r>
      </text>
    </comment>
    <comment ref="D17" authorId="0" shapeId="0" xr:uid="{00000000-0006-0000-0000-000009000000}">
      <text>
        <r>
          <rPr>
            <b/>
            <sz val="9"/>
            <color indexed="81"/>
            <rFont val="Tahoma"/>
            <family val="2"/>
          </rPr>
          <t>Estrada, Stacey [AGRON]:</t>
        </r>
        <r>
          <rPr>
            <sz val="9"/>
            <color indexed="81"/>
            <rFont val="Tahoma"/>
            <family val="2"/>
          </rPr>
          <t xml:space="preserve">
Lookup Picker</t>
        </r>
      </text>
    </comment>
    <comment ref="D21" authorId="0" shapeId="0" xr:uid="{00000000-0006-0000-0000-00000A000000}">
      <text>
        <r>
          <rPr>
            <b/>
            <sz val="9"/>
            <color indexed="81"/>
            <rFont val="Tahoma"/>
            <family val="2"/>
          </rPr>
          <t>Estrada, Stacey [AGRON]:</t>
        </r>
        <r>
          <rPr>
            <sz val="9"/>
            <color indexed="81"/>
            <rFont val="Tahoma"/>
            <family val="2"/>
          </rPr>
          <t xml:space="preserve">
Lookup Picker</t>
        </r>
      </text>
    </comment>
    <comment ref="D22" authorId="0" shapeId="0" xr:uid="{00000000-0006-0000-0000-00000B000000}">
      <text>
        <r>
          <rPr>
            <b/>
            <sz val="9"/>
            <color indexed="81"/>
            <rFont val="Tahoma"/>
            <family val="2"/>
          </rPr>
          <t>Estrada, Stacey [AGRON]:</t>
        </r>
        <r>
          <rPr>
            <sz val="9"/>
            <color indexed="81"/>
            <rFont val="Tahoma"/>
            <family val="2"/>
          </rPr>
          <t xml:space="preserve">
Lookup Picker</t>
        </r>
      </text>
    </comment>
    <comment ref="D23" authorId="0" shapeId="0" xr:uid="{00000000-0006-0000-0000-00000C000000}">
      <text>
        <r>
          <rPr>
            <b/>
            <sz val="9"/>
            <color indexed="81"/>
            <rFont val="Tahoma"/>
            <family val="2"/>
          </rPr>
          <t>Estrada, Stacey [AGRON]:</t>
        </r>
        <r>
          <rPr>
            <sz val="9"/>
            <color indexed="81"/>
            <rFont val="Tahoma"/>
            <family val="2"/>
          </rPr>
          <t xml:space="preserve">
Lookup Picker</t>
        </r>
      </text>
    </comment>
    <comment ref="D25" authorId="0" shapeId="0" xr:uid="{00000000-0006-0000-0000-00000D000000}">
      <text>
        <r>
          <rPr>
            <b/>
            <sz val="9"/>
            <color indexed="81"/>
            <rFont val="Tahoma"/>
            <family val="2"/>
          </rPr>
          <t>Estrada, Stacey [AGRON]:</t>
        </r>
        <r>
          <rPr>
            <sz val="9"/>
            <color indexed="81"/>
            <rFont val="Tahoma"/>
            <family val="2"/>
          </rPr>
          <t xml:space="preserve">
List of Options</t>
        </r>
      </text>
    </comment>
    <comment ref="D29" authorId="0" shapeId="0" xr:uid="{00000000-0006-0000-0000-00000E000000}">
      <text>
        <r>
          <rPr>
            <b/>
            <sz val="9"/>
            <color indexed="81"/>
            <rFont val="Tahoma"/>
            <family val="2"/>
          </rPr>
          <t xml:space="preserve">Estrada, Stacey [AGRON]:
</t>
        </r>
        <r>
          <rPr>
            <sz val="9"/>
            <color indexed="81"/>
            <rFont val="Tahoma"/>
            <family val="2"/>
          </rPr>
          <t>Optional. Grin records elevation in meters (m). This column may be used to convert ft to m if necessary</t>
        </r>
      </text>
    </comment>
    <comment ref="D34" authorId="0" shapeId="0" xr:uid="{00000000-0006-0000-0000-00000F000000}">
      <text>
        <r>
          <rPr>
            <b/>
            <sz val="9"/>
            <color indexed="81"/>
            <rFont val="Tahoma"/>
            <family val="2"/>
          </rPr>
          <t>Estrada, Stacey [AGRON]:</t>
        </r>
        <r>
          <rPr>
            <sz val="9"/>
            <color indexed="81"/>
            <rFont val="Tahoma"/>
            <family val="2"/>
          </rPr>
          <t xml:space="preserve">
Lookup Picker</t>
        </r>
      </text>
    </comment>
    <comment ref="D36" authorId="0" shapeId="0" xr:uid="{00000000-0006-0000-0000-000010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7" authorId="0" shapeId="0" xr:uid="{00000000-0006-0000-0000-000011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8" authorId="0" shapeId="0" xr:uid="{00000000-0006-0000-0000-000012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9" authorId="0" shapeId="0" xr:uid="{00000000-0006-0000-0000-000013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0" authorId="0" shapeId="0" xr:uid="{00000000-0006-0000-0000-00001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1" authorId="0" shapeId="0" xr:uid="{00000000-0006-0000-0000-000015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2" authorId="0" shapeId="0" xr:uid="{00000000-0006-0000-0000-000016000000}">
      <text>
        <r>
          <rPr>
            <b/>
            <sz val="9"/>
            <color indexed="81"/>
            <rFont val="Tahoma"/>
            <family val="2"/>
          </rPr>
          <t>Estrada, Stacey [AGRON]:</t>
        </r>
        <r>
          <rPr>
            <sz val="9"/>
            <color indexed="81"/>
            <rFont val="Tahoma"/>
            <family val="2"/>
          </rPr>
          <t xml:space="preserve">
Single number. NOT a range.</t>
        </r>
      </text>
    </comment>
    <comment ref="D43" authorId="0" shapeId="0" xr:uid="{00000000-0006-0000-0000-000017000000}">
      <text>
        <r>
          <rPr>
            <b/>
            <sz val="9"/>
            <color indexed="81"/>
            <rFont val="Tahoma"/>
            <family val="2"/>
          </rPr>
          <t>Estrada, Stacey [AGRON]:</t>
        </r>
        <r>
          <rPr>
            <sz val="9"/>
            <color indexed="81"/>
            <rFont val="Tahoma"/>
            <family val="2"/>
          </rPr>
          <t xml:space="preserve">
Lookup picker</t>
        </r>
      </text>
    </comment>
    <comment ref="D44" authorId="0" shapeId="0" xr:uid="{00000000-0006-0000-0000-000018000000}">
      <text>
        <r>
          <rPr>
            <b/>
            <sz val="9"/>
            <color indexed="81"/>
            <rFont val="Tahoma"/>
            <family val="2"/>
          </rPr>
          <t>Estrada, Stacey [AGRON]:</t>
        </r>
        <r>
          <rPr>
            <sz val="9"/>
            <color indexed="81"/>
            <rFont val="Tahoma"/>
            <family val="2"/>
          </rPr>
          <t xml:space="preserve">
Lookup Picker</t>
        </r>
      </text>
    </comment>
    <comment ref="D46" authorId="0" shapeId="0" xr:uid="{00000000-0006-0000-0000-000019000000}">
      <text>
        <r>
          <rPr>
            <b/>
            <sz val="9"/>
            <color indexed="81"/>
            <rFont val="Tahoma"/>
            <family val="2"/>
          </rPr>
          <t>Estrada, Stacey [AGRON]:</t>
        </r>
        <r>
          <rPr>
            <sz val="9"/>
            <color indexed="81"/>
            <rFont val="Tahoma"/>
            <family val="2"/>
          </rPr>
          <t xml:space="preserve">
Lookup Picker</t>
        </r>
      </text>
    </comment>
    <comment ref="D47" authorId="0" shapeId="0" xr:uid="{00000000-0006-0000-0000-00001A000000}">
      <text>
        <r>
          <rPr>
            <b/>
            <sz val="9"/>
            <color indexed="81"/>
            <rFont val="Tahoma"/>
            <family val="2"/>
          </rPr>
          <t>Estrada, Stacey [AGRON]:</t>
        </r>
        <r>
          <rPr>
            <sz val="9"/>
            <color indexed="81"/>
            <rFont val="Tahoma"/>
            <family val="2"/>
          </rPr>
          <t xml:space="preserve">
Lookup Picker</t>
        </r>
      </text>
    </comment>
    <comment ref="D48" authorId="0" shapeId="0" xr:uid="{00000000-0006-0000-0000-00001B000000}">
      <text>
        <r>
          <rPr>
            <b/>
            <sz val="9"/>
            <color indexed="81"/>
            <rFont val="Tahoma"/>
            <family val="2"/>
          </rPr>
          <t>Estrada, Stacey [AGRON]:</t>
        </r>
        <r>
          <rPr>
            <sz val="9"/>
            <color indexed="81"/>
            <rFont val="Tahoma"/>
            <family val="2"/>
          </rPr>
          <t xml:space="preserve">
Whole numbers only</t>
        </r>
      </text>
    </comment>
    <comment ref="D49" authorId="0" shapeId="0" xr:uid="{00000000-0006-0000-0000-00001C000000}">
      <text>
        <r>
          <rPr>
            <b/>
            <sz val="9"/>
            <color indexed="81"/>
            <rFont val="Tahoma"/>
            <family val="2"/>
          </rPr>
          <t>Estrada, Stacey [AGRON]:</t>
        </r>
        <r>
          <rPr>
            <sz val="9"/>
            <color indexed="81"/>
            <rFont val="Tahoma"/>
            <family val="2"/>
          </rPr>
          <t xml:space="preserve">
Please select from dropdown</t>
        </r>
      </text>
    </comment>
    <comment ref="D58" authorId="0" shapeId="0" xr:uid="{00000000-0006-0000-0000-00001D000000}">
      <text>
        <r>
          <rPr>
            <b/>
            <sz val="9"/>
            <color indexed="81"/>
            <rFont val="Tahoma"/>
            <family val="2"/>
          </rPr>
          <t>Estrada, Stacey [AGRON]:</t>
        </r>
        <r>
          <rPr>
            <sz val="9"/>
            <color indexed="81"/>
            <rFont val="Tahoma"/>
            <family val="2"/>
          </rPr>
          <t xml:space="preserve">
Lookup Picker</t>
        </r>
      </text>
    </comment>
    <comment ref="D59" authorId="0" shapeId="0" xr:uid="{00000000-0006-0000-0000-00001E000000}">
      <text>
        <r>
          <rPr>
            <b/>
            <sz val="9"/>
            <color indexed="81"/>
            <rFont val="Tahoma"/>
            <family val="2"/>
          </rPr>
          <t>Estrada, Stacey [AGRON]:</t>
        </r>
        <r>
          <rPr>
            <sz val="9"/>
            <color indexed="81"/>
            <rFont val="Tahoma"/>
            <family val="2"/>
          </rPr>
          <t xml:space="preserve">
Lookup Picker</t>
        </r>
      </text>
    </comment>
    <comment ref="D60" authorId="0" shapeId="0" xr:uid="{00000000-0006-0000-0000-00001F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62" authorId="0" shapeId="0" xr:uid="{00000000-0006-0000-0000-000020000000}">
      <text>
        <r>
          <rPr>
            <b/>
            <sz val="9"/>
            <color indexed="81"/>
            <rFont val="Tahoma"/>
            <family val="2"/>
          </rPr>
          <t>Estrada, Stacey [AGRON]:</t>
        </r>
        <r>
          <rPr>
            <sz val="9"/>
            <color indexed="81"/>
            <rFont val="Tahoma"/>
            <family val="2"/>
          </rPr>
          <t xml:space="preserve">
Lookup Picker</t>
        </r>
      </text>
    </comment>
    <comment ref="D63" authorId="0" shapeId="0" xr:uid="{00000000-0006-0000-0000-000021000000}">
      <text>
        <r>
          <rPr>
            <b/>
            <sz val="9"/>
            <color indexed="81"/>
            <rFont val="Tahoma"/>
            <family val="2"/>
          </rPr>
          <t>Estrada, Stacey [AGRON]:</t>
        </r>
        <r>
          <rPr>
            <sz val="9"/>
            <color indexed="81"/>
            <rFont val="Tahoma"/>
            <family val="2"/>
          </rPr>
          <t xml:space="preserve">
Lookup Picker</t>
        </r>
      </text>
    </comment>
    <comment ref="D64" authorId="0" shapeId="0" xr:uid="{00000000-0006-0000-0000-000022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66" authorId="0" shapeId="0" xr:uid="{00000000-0006-0000-0000-000023000000}">
      <text>
        <r>
          <rPr>
            <b/>
            <sz val="9"/>
            <color indexed="81"/>
            <rFont val="Tahoma"/>
            <family val="2"/>
          </rPr>
          <t>Estrada, Stacey [AGRON]:</t>
        </r>
        <r>
          <rPr>
            <sz val="9"/>
            <color indexed="81"/>
            <rFont val="Tahoma"/>
            <family val="2"/>
          </rPr>
          <t xml:space="preserve">
Lookup Picker</t>
        </r>
      </text>
    </comment>
    <comment ref="D67" authorId="0" shapeId="0" xr:uid="{00000000-0006-0000-0000-000024000000}">
      <text>
        <r>
          <rPr>
            <b/>
            <sz val="9"/>
            <color indexed="81"/>
            <rFont val="Tahoma"/>
            <family val="2"/>
          </rPr>
          <t>Estrada, Stacey [AGRON]:</t>
        </r>
        <r>
          <rPr>
            <sz val="9"/>
            <color indexed="81"/>
            <rFont val="Tahoma"/>
            <family val="2"/>
          </rPr>
          <t xml:space="preserve">
Lookup Picker</t>
        </r>
      </text>
    </comment>
    <comment ref="D68" authorId="0" shapeId="0" xr:uid="{00000000-0006-0000-0000-000025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74" authorId="0" shapeId="0" xr:uid="{00000000-0006-0000-0000-000026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76" authorId="0" shapeId="0" xr:uid="{00000000-0006-0000-0000-000027000000}">
      <text>
        <r>
          <rPr>
            <b/>
            <sz val="9"/>
            <color indexed="81"/>
            <rFont val="Tahoma"/>
            <family val="2"/>
          </rPr>
          <t>Estrada, Stacey [AGRON]:</t>
        </r>
        <r>
          <rPr>
            <sz val="9"/>
            <color indexed="81"/>
            <rFont val="Tahoma"/>
            <family val="2"/>
          </rPr>
          <t xml:space="preserve">
Lookup Picker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E5" authorId="0" shapeId="0" xr:uid="{00000000-0006-0000-0100-000001000000}">
      <text>
        <r>
          <rPr>
            <b/>
            <sz val="9"/>
            <color indexed="81"/>
            <rFont val="Tahoma"/>
            <family val="2"/>
          </rPr>
          <t>Estrada, Stacey [AGRON]:</t>
        </r>
        <r>
          <rPr>
            <sz val="9"/>
            <color indexed="81"/>
            <rFont val="Tahoma"/>
            <family val="2"/>
          </rPr>
          <t xml:space="preserve">
Lookup Picker</t>
        </r>
      </text>
    </comment>
    <comment ref="F5" authorId="0" shapeId="0" xr:uid="{00000000-0006-0000-0100-000002000000}">
      <text>
        <r>
          <rPr>
            <b/>
            <sz val="9"/>
            <color indexed="81"/>
            <rFont val="Tahoma"/>
            <family val="2"/>
          </rPr>
          <t>Estrada, Stacey [AGRON]:</t>
        </r>
        <r>
          <rPr>
            <sz val="9"/>
            <color indexed="81"/>
            <rFont val="Tahoma"/>
            <family val="2"/>
          </rPr>
          <t xml:space="preserve">
Lookup Picker</t>
        </r>
      </text>
    </comment>
    <comment ref="G5" authorId="0" shapeId="0" xr:uid="{00000000-0006-0000-0100-000003000000}">
      <text>
        <r>
          <rPr>
            <b/>
            <sz val="9"/>
            <color indexed="81"/>
            <rFont val="Tahoma"/>
            <family val="2"/>
          </rPr>
          <t>Estrada, Stacey [AGRON]:</t>
        </r>
        <r>
          <rPr>
            <sz val="9"/>
            <color indexed="81"/>
            <rFont val="Tahoma"/>
            <family val="2"/>
          </rPr>
          <t xml:space="preserve">
Date accession was received by the site</t>
        </r>
      </text>
    </comment>
    <comment ref="H5" authorId="0" shapeId="0" xr:uid="{00000000-0006-0000-0100-00000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K5" authorId="0" shapeId="0" xr:uid="{00000000-0006-0000-0100-000005000000}">
      <text>
        <r>
          <rPr>
            <b/>
            <sz val="9"/>
            <color indexed="81"/>
            <rFont val="Tahoma"/>
            <family val="2"/>
          </rPr>
          <t>Estrada, Stacey [AGRON]:</t>
        </r>
        <r>
          <rPr>
            <sz val="9"/>
            <color indexed="81"/>
            <rFont val="Tahoma"/>
            <family val="2"/>
          </rPr>
          <t xml:space="preserve">
Lookup Picker</t>
        </r>
      </text>
    </comment>
    <comment ref="L5" authorId="0" shapeId="0" xr:uid="{00000000-0006-0000-0100-000006000000}">
      <text>
        <r>
          <rPr>
            <b/>
            <sz val="9"/>
            <color indexed="81"/>
            <rFont val="Tahoma"/>
            <family val="2"/>
          </rPr>
          <t>Estrada, Stacey [AGRON]:</t>
        </r>
        <r>
          <rPr>
            <sz val="9"/>
            <color indexed="81"/>
            <rFont val="Tahoma"/>
            <family val="2"/>
          </rPr>
          <t xml:space="preserve">
Lookup Picker</t>
        </r>
      </text>
    </comment>
    <comment ref="M5" authorId="0" shapeId="0" xr:uid="{00000000-0006-0000-0100-000007000000}">
      <text>
        <r>
          <rPr>
            <b/>
            <sz val="9"/>
            <color indexed="81"/>
            <rFont val="Tahoma"/>
            <family val="2"/>
          </rPr>
          <t>Estrada, Stacey [AGRON]:</t>
        </r>
        <r>
          <rPr>
            <sz val="9"/>
            <color indexed="81"/>
            <rFont val="Tahoma"/>
            <family val="2"/>
          </rPr>
          <t xml:space="preserve">
Whole numbers only</t>
        </r>
      </text>
    </comment>
    <comment ref="N5" authorId="0" shapeId="0" xr:uid="{00000000-0006-0000-0100-000008000000}">
      <text>
        <r>
          <rPr>
            <b/>
            <sz val="9"/>
            <color indexed="81"/>
            <rFont val="Tahoma"/>
            <family val="2"/>
          </rPr>
          <t>Estrada, Stacey [AGRON]:</t>
        </r>
        <r>
          <rPr>
            <sz val="9"/>
            <color indexed="81"/>
            <rFont val="Tahoma"/>
            <family val="2"/>
          </rPr>
          <t xml:space="preserve">
Please select from dropdown</t>
        </r>
      </text>
    </comment>
    <comment ref="V5" authorId="0" shapeId="0" xr:uid="{00000000-0006-0000-0100-000009000000}">
      <text>
        <r>
          <rPr>
            <b/>
            <sz val="9"/>
            <color indexed="81"/>
            <rFont val="Tahoma"/>
            <family val="2"/>
          </rPr>
          <t>Estrada, Stacey [AGRON]:</t>
        </r>
        <r>
          <rPr>
            <sz val="9"/>
            <color indexed="81"/>
            <rFont val="Tahoma"/>
            <family val="2"/>
          </rPr>
          <t xml:space="preserve">
Lookup Picker</t>
        </r>
      </text>
    </comment>
    <comment ref="W5" authorId="0" shapeId="0" xr:uid="{00000000-0006-0000-0100-00000A000000}">
      <text>
        <r>
          <rPr>
            <b/>
            <sz val="9"/>
            <color indexed="81"/>
            <rFont val="Tahoma"/>
            <family val="2"/>
          </rPr>
          <t>Estrada, Stacey [AGRON]:</t>
        </r>
        <r>
          <rPr>
            <sz val="9"/>
            <color indexed="81"/>
            <rFont val="Tahoma"/>
            <family val="2"/>
          </rPr>
          <t xml:space="preserve">
Lookup Picker</t>
        </r>
      </text>
    </comment>
    <comment ref="X5" authorId="0" shapeId="0" xr:uid="{00000000-0006-0000-0100-00000B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AB1" authorId="0" shapeId="0" xr:uid="{00000000-0006-0000-0300-00000F000000}">
      <text>
        <r>
          <rPr>
            <b/>
            <sz val="9"/>
            <color indexed="81"/>
            <rFont val="Tahoma"/>
            <family val="2"/>
          </rPr>
          <t>Estrada, Stacey [AGRON]:</t>
        </r>
        <r>
          <rPr>
            <sz val="9"/>
            <color indexed="81"/>
            <rFont val="Tahoma"/>
            <family val="2"/>
          </rPr>
          <t xml:space="preserve">
Lookup Picker</t>
        </r>
      </text>
    </comment>
    <comment ref="AD1" authorId="0" shapeId="0" xr:uid="{00000000-0006-0000-0300-000010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E1" authorId="0" shapeId="0" xr:uid="{00000000-0006-0000-0300-000011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F1" authorId="0" shapeId="0" xr:uid="{00000000-0006-0000-0300-000013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G1" authorId="0" shapeId="0" xr:uid="{00000000-0006-0000-0300-00001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H1" authorId="0" shapeId="0" xr:uid="{00000000-0006-0000-0300-000015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I1" authorId="0" shapeId="0" xr:uid="{00000000-0006-0000-0300-000016000000}">
      <text>
        <r>
          <rPr>
            <b/>
            <sz val="9"/>
            <color indexed="81"/>
            <rFont val="Tahoma"/>
            <family val="2"/>
          </rPr>
          <t>Estrada, Stacey [AGRON]:</t>
        </r>
        <r>
          <rPr>
            <sz val="9"/>
            <color indexed="81"/>
            <rFont val="Tahoma"/>
            <family val="2"/>
          </rPr>
          <t xml:space="preserve">
Single number. NOT a range.</t>
        </r>
      </text>
    </comment>
    <comment ref="AK1" authorId="0" shapeId="0" xr:uid="{00000000-0006-0000-0300-000017000000}">
      <text>
        <r>
          <rPr>
            <b/>
            <sz val="9"/>
            <color indexed="81"/>
            <rFont val="Tahoma"/>
            <family val="2"/>
          </rPr>
          <t>Estrada, Stacey [AGRON]:</t>
        </r>
        <r>
          <rPr>
            <sz val="9"/>
            <color indexed="81"/>
            <rFont val="Tahoma"/>
            <family val="2"/>
          </rPr>
          <t xml:space="preserve">
Lookup picker</t>
        </r>
      </text>
    </comment>
    <comment ref="AM1" authorId="0" shapeId="0" xr:uid="{00000000-0006-0000-0300-000018000000}">
      <text>
        <r>
          <rPr>
            <b/>
            <sz val="9"/>
            <color indexed="81"/>
            <rFont val="Tahoma"/>
            <family val="2"/>
          </rPr>
          <t>Estrada, Stacey [AGRON]:</t>
        </r>
        <r>
          <rPr>
            <sz val="9"/>
            <color indexed="81"/>
            <rFont val="Tahoma"/>
            <family val="2"/>
          </rPr>
          <t xml:space="preserve">
Lookup Picker</t>
        </r>
      </text>
    </comment>
    <comment ref="AQ1" authorId="0" shapeId="0" xr:uid="{00000000-0006-0000-0300-000019000000}">
      <text>
        <r>
          <rPr>
            <b/>
            <sz val="9"/>
            <color indexed="81"/>
            <rFont val="Tahoma"/>
            <family val="2"/>
          </rPr>
          <t>Estrada, Stacey [AGRON]:</t>
        </r>
        <r>
          <rPr>
            <sz val="9"/>
            <color indexed="81"/>
            <rFont val="Tahoma"/>
            <family val="2"/>
          </rPr>
          <t xml:space="preserve">
Lookup Picker</t>
        </r>
      </text>
    </comment>
    <comment ref="AR1" authorId="0" shapeId="0" xr:uid="{00000000-0006-0000-0300-00001A000000}">
      <text>
        <r>
          <rPr>
            <b/>
            <sz val="9"/>
            <color indexed="81"/>
            <rFont val="Tahoma"/>
            <family val="2"/>
          </rPr>
          <t>Estrada, Stacey [AGRON]:</t>
        </r>
        <r>
          <rPr>
            <sz val="9"/>
            <color indexed="81"/>
            <rFont val="Tahoma"/>
            <family val="2"/>
          </rPr>
          <t xml:space="preserve">
Lookup Picker</t>
        </r>
      </text>
    </comment>
    <comment ref="AS1" authorId="0" shapeId="0" xr:uid="{00000000-0006-0000-0300-00001B000000}">
      <text>
        <r>
          <rPr>
            <b/>
            <sz val="9"/>
            <color indexed="81"/>
            <rFont val="Tahoma"/>
            <family val="2"/>
          </rPr>
          <t>Estrada, Stacey [AGRON]:</t>
        </r>
        <r>
          <rPr>
            <sz val="9"/>
            <color indexed="81"/>
            <rFont val="Tahoma"/>
            <family val="2"/>
          </rPr>
          <t xml:space="preserve">
Whole numbers only</t>
        </r>
      </text>
    </comment>
    <comment ref="AT1" authorId="0" shapeId="0" xr:uid="{00000000-0006-0000-0300-00001C000000}">
      <text>
        <r>
          <rPr>
            <b/>
            <sz val="9"/>
            <color indexed="81"/>
            <rFont val="Tahoma"/>
            <family val="2"/>
          </rPr>
          <t>Estrada, Stacey [AGRON]:</t>
        </r>
        <r>
          <rPr>
            <sz val="9"/>
            <color indexed="81"/>
            <rFont val="Tahoma"/>
            <family val="2"/>
          </rPr>
          <t xml:space="preserve">
Please select from dropdown</t>
        </r>
      </text>
    </comment>
    <comment ref="BC1" authorId="0" shapeId="0" xr:uid="{00000000-0006-0000-0300-00001D000000}">
      <text>
        <r>
          <rPr>
            <b/>
            <sz val="9"/>
            <color indexed="81"/>
            <rFont val="Tahoma"/>
            <family val="2"/>
          </rPr>
          <t>Estrada, Stacey [AGRON]:</t>
        </r>
        <r>
          <rPr>
            <sz val="9"/>
            <color indexed="81"/>
            <rFont val="Tahoma"/>
            <family val="2"/>
          </rPr>
          <t xml:space="preserve">
Lookup Picker</t>
        </r>
      </text>
    </comment>
    <comment ref="BD1" authorId="0" shapeId="0" xr:uid="{00000000-0006-0000-0300-00001F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BF1" authorId="0" shapeId="0" xr:uid="{00000000-0006-0000-0300-000020000000}">
      <text>
        <r>
          <rPr>
            <b/>
            <sz val="9"/>
            <color indexed="81"/>
            <rFont val="Tahoma"/>
            <family val="2"/>
          </rPr>
          <t>Estrada, Stacey [AGRON]:</t>
        </r>
        <r>
          <rPr>
            <sz val="9"/>
            <color indexed="81"/>
            <rFont val="Tahoma"/>
            <family val="2"/>
          </rPr>
          <t xml:space="preserve">
Lookup Picker</t>
        </r>
      </text>
    </comment>
    <comment ref="BG1" authorId="0" shapeId="0" xr:uid="{00000000-0006-0000-0300-000022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BP1" authorId="0" shapeId="0" xr:uid="{00000000-0006-0000-0300-000026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I1" authorId="0" shapeId="0" xr:uid="{00000000-0006-0000-0900-000001000000}">
      <text>
        <r>
          <rPr>
            <b/>
            <sz val="9"/>
            <color indexed="81"/>
            <rFont val="Tahoma"/>
            <family val="2"/>
          </rPr>
          <t>Estrada, Stacey [AGRON]:</t>
        </r>
        <r>
          <rPr>
            <sz val="9"/>
            <color indexed="81"/>
            <rFont val="Tahoma"/>
            <family val="2"/>
          </rPr>
          <t xml:space="preserve">
Use the GRIN lookup picker to choose your own coop record (person loading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C1" authorId="0" shapeId="0" xr:uid="{00000000-0006-0000-1000-000001000000}">
      <text>
        <r>
          <rPr>
            <b/>
            <sz val="9"/>
            <color indexed="81"/>
            <rFont val="Tahoma"/>
            <family val="2"/>
          </rPr>
          <t>Estrada, Stacey [AGRON]:</t>
        </r>
        <r>
          <rPr>
            <sz val="9"/>
            <color indexed="81"/>
            <rFont val="Tahoma"/>
            <family val="2"/>
          </rPr>
          <t xml:space="preserve">
Use this table to assign inventory to an accession group.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C1" authorId="0" shapeId="0" xr:uid="{00000000-0006-0000-1100-000001000000}">
      <text>
        <r>
          <rPr>
            <b/>
            <sz val="9"/>
            <color indexed="81"/>
            <rFont val="Tahoma"/>
            <family val="2"/>
          </rPr>
          <t>Estrada, Stacey [AGRON]:</t>
        </r>
        <r>
          <rPr>
            <sz val="9"/>
            <color indexed="81"/>
            <rFont val="Tahoma"/>
            <family val="2"/>
          </rPr>
          <t xml:space="preserve">
Use this table to assign inventory to an accession group.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Taylor, Lisa D</author>
  </authors>
  <commentList>
    <comment ref="I1" authorId="0" shapeId="0" xr:uid="{573D30DE-AD73-471A-8A56-2E711A78BD4C}">
      <text>
        <r>
          <rPr>
            <b/>
            <sz val="9"/>
            <color indexed="81"/>
            <rFont val="Tahoma"/>
            <family val="2"/>
          </rPr>
          <t>Taylor, Lisa D:</t>
        </r>
        <r>
          <rPr>
            <sz val="9"/>
            <color indexed="81"/>
            <rFont val="Tahoma"/>
            <family val="2"/>
          </rPr>
          <t xml:space="preserve">
This name is automatically entered, so do not need to load these records anymore.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B1" authorId="0" shapeId="0" xr:uid="{00000000-0006-0000-2100-000001000000}">
      <text>
        <r>
          <rPr>
            <b/>
            <sz val="9"/>
            <color indexed="81"/>
            <rFont val="Tahoma"/>
            <family val="2"/>
          </rPr>
          <t>Estrada, Stacey [AGRON]:</t>
        </r>
        <r>
          <rPr>
            <sz val="9"/>
            <color indexed="81"/>
            <rFont val="Tahoma"/>
            <family val="2"/>
          </rPr>
          <t xml:space="preserve">
Lookup Picker</t>
        </r>
      </text>
    </comment>
    <comment ref="G1" authorId="0" shapeId="0" xr:uid="{00000000-0006-0000-2100-000002000000}">
      <text>
        <r>
          <rPr>
            <b/>
            <sz val="9"/>
            <color indexed="81"/>
            <rFont val="Tahoma"/>
            <family val="2"/>
          </rPr>
          <t>Estrada, Stacey [AGRON]:</t>
        </r>
        <r>
          <rPr>
            <sz val="9"/>
            <color indexed="81"/>
            <rFont val="Tahoma"/>
            <family val="2"/>
          </rPr>
          <t xml:space="preserve">
Lookup Picker</t>
        </r>
      </text>
    </comment>
  </commentList>
</comments>
</file>

<file path=xl/sharedStrings.xml><?xml version="1.0" encoding="utf-8"?>
<sst xmlns="http://schemas.openxmlformats.org/spreadsheetml/2006/main" count="5527" uniqueCount="1747">
  <si>
    <t>Taxon</t>
  </si>
  <si>
    <t>Accession ID</t>
  </si>
  <si>
    <t>Accession Prefix</t>
  </si>
  <si>
    <t>Accession Number</t>
  </si>
  <si>
    <t>Life Form</t>
  </si>
  <si>
    <t>Level Of Improvement</t>
  </si>
  <si>
    <t>Reproductive Uniformity</t>
  </si>
  <si>
    <t>Received As</t>
  </si>
  <si>
    <t>Received Date</t>
  </si>
  <si>
    <t>Note</t>
  </si>
  <si>
    <t>Accession</t>
  </si>
  <si>
    <t>N</t>
  </si>
  <si>
    <t>SD</t>
  </si>
  <si>
    <t>Y</t>
  </si>
  <si>
    <t>Inventory Maintenance Policy</t>
  </si>
  <si>
    <t>Inventory Suffix</t>
  </si>
  <si>
    <t>Inventory ID</t>
  </si>
  <si>
    <t>Inventory Prefix</t>
  </si>
  <si>
    <t>Inventory Number</t>
  </si>
  <si>
    <t>Inventory Type</t>
  </si>
  <si>
    <t>Inventory Maintenance Site</t>
  </si>
  <si>
    <t>Is Default Inventory?</t>
  </si>
  <si>
    <t>Is Auto Deducted?</t>
  </si>
  <si>
    <t>Is Available?</t>
  </si>
  <si>
    <t>Availability Status</t>
  </si>
  <si>
    <t>Quantity On Hand</t>
  </si>
  <si>
    <t>Quantity On Hand Units</t>
  </si>
  <si>
    <t>Latitude</t>
  </si>
  <si>
    <t>Longitude</t>
  </si>
  <si>
    <t>Parent Inventory</t>
  </si>
  <si>
    <t>Hundred Seed Weight</t>
  </si>
  <si>
    <t>Inventory</t>
  </si>
  <si>
    <t>Collected Form</t>
  </si>
  <si>
    <t>Number Plants Sampled</t>
  </si>
  <si>
    <t>Environment Description</t>
  </si>
  <si>
    <t>Collector Verbatim Locality</t>
  </si>
  <si>
    <t>Elevation (meters)</t>
  </si>
  <si>
    <t>Georeference Datum</t>
  </si>
  <si>
    <t>Georeference Protocol</t>
  </si>
  <si>
    <t>Accession Inventory Group</t>
  </si>
  <si>
    <t>nc7.first.lots</t>
  </si>
  <si>
    <t>Voucher Location (1)</t>
  </si>
  <si>
    <t>Voucher Location (2)</t>
  </si>
  <si>
    <t>Voucher Location (3)</t>
  </si>
  <si>
    <t>Vouchered Date</t>
  </si>
  <si>
    <t>Note (Voucher)</t>
  </si>
  <si>
    <t>Curator Unique Number</t>
  </si>
  <si>
    <t>Note (Accession Narrative)</t>
  </si>
  <si>
    <t>Accession Action ID</t>
  </si>
  <si>
    <t>Action Name</t>
  </si>
  <si>
    <t>Started Date Format</t>
  </si>
  <si>
    <t>Started Date</t>
  </si>
  <si>
    <t>Completed Date Format</t>
  </si>
  <si>
    <t>Completed Date</t>
  </si>
  <si>
    <t>Is Web Visible?</t>
  </si>
  <si>
    <t>Cooperator</t>
  </si>
  <si>
    <t>mm/dd/yyyy</t>
  </si>
  <si>
    <t>Inventory Action ID</t>
  </si>
  <si>
    <t>Quantity</t>
  </si>
  <si>
    <t>Units</t>
  </si>
  <si>
    <t>Form</t>
  </si>
  <si>
    <t>Accession Source ID</t>
  </si>
  <si>
    <t>Source Type</t>
  </si>
  <si>
    <t>Source Date Format</t>
  </si>
  <si>
    <t>Source Date</t>
  </si>
  <si>
    <t>Geography</t>
  </si>
  <si>
    <t>Is Origin?</t>
  </si>
  <si>
    <t>Accession Inventory Name ID</t>
  </si>
  <si>
    <t>Category</t>
  </si>
  <si>
    <t>Name</t>
  </si>
  <si>
    <t>Name Group</t>
  </si>
  <si>
    <t>Ames</t>
  </si>
  <si>
    <t>Accession Inventory Group Map ID</t>
  </si>
  <si>
    <t>Accession Source Map ID</t>
  </si>
  <si>
    <t>Accession Source</t>
  </si>
  <si>
    <t>Accession Inventory Voucher ID</t>
  </si>
  <si>
    <t>Collector Voucher Number</t>
  </si>
  <si>
    <t>Voucher Location</t>
  </si>
  <si>
    <t>Vouchered Date Format</t>
  </si>
  <si>
    <t>Voucher Cooperator</t>
  </si>
  <si>
    <t>Source Descriptor Observation ID</t>
  </si>
  <si>
    <t>Source Descriptor</t>
  </si>
  <si>
    <t>Coded Value</t>
  </si>
  <si>
    <t>Code</t>
  </si>
  <si>
    <t>Numeric Value</t>
  </si>
  <si>
    <t>Text Value</t>
  </si>
  <si>
    <t>Original Value</t>
  </si>
  <si>
    <t>ASPECT</t>
  </si>
  <si>
    <t>SLOPE</t>
  </si>
  <si>
    <t>SOIL pH</t>
  </si>
  <si>
    <t>SOIL TEXTURE</t>
  </si>
  <si>
    <t>Newly received. Not yet counted.</t>
  </si>
  <si>
    <t>Accession Name (Identifier 1)</t>
  </si>
  <si>
    <t>Note (Inventory)</t>
  </si>
  <si>
    <t>Collector</t>
  </si>
  <si>
    <t>Required Field?</t>
  </si>
  <si>
    <t>BLANK</t>
  </si>
  <si>
    <t>YES</t>
  </si>
  <si>
    <t>Accession Action</t>
  </si>
  <si>
    <t>ACCNUMBERD</t>
  </si>
  <si>
    <t>standard fill</t>
  </si>
  <si>
    <t>Type/Name</t>
  </si>
  <si>
    <t>Collector/Donor</t>
  </si>
  <si>
    <t>Accession Source Cooperator</t>
  </si>
  <si>
    <t>Date loaded to GRIN</t>
  </si>
  <si>
    <t>full record</t>
  </si>
  <si>
    <t>Source Descriptor Observation</t>
  </si>
  <si>
    <t>ASPECT/SLOPE/SOIL</t>
  </si>
  <si>
    <t>auto-populated</t>
  </si>
  <si>
    <t>unique to inv</t>
  </si>
  <si>
    <t>Inventory Action</t>
  </si>
  <si>
    <t>Received/Harvested</t>
  </si>
  <si>
    <t>Accession Inventory Group Map</t>
  </si>
  <si>
    <t>concatanated inv record</t>
  </si>
  <si>
    <t>Accession Inventory Name</t>
  </si>
  <si>
    <t>System Record</t>
  </si>
  <si>
    <t>lookup picker</t>
  </si>
  <si>
    <t>concatanated</t>
  </si>
  <si>
    <t>Accession Inventory Voucher</t>
  </si>
  <si>
    <t>GRIN Order</t>
  </si>
  <si>
    <t>GRIN Tab (colors show "umbrella")</t>
  </si>
  <si>
    <t>GRIN Headings</t>
  </si>
  <si>
    <t>received or collected date?</t>
  </si>
  <si>
    <t>why diff loc for collector/donor?</t>
  </si>
  <si>
    <t>Collector (Y). Donor (N).</t>
  </si>
  <si>
    <t>Note (Accession Source - Collector)</t>
  </si>
  <si>
    <t>Collector Identifier</t>
  </si>
  <si>
    <t>Accession Number -Assigned</t>
  </si>
  <si>
    <t>Taxon -Lookup Picker</t>
  </si>
  <si>
    <t>Received Date -received by site</t>
  </si>
  <si>
    <t>Life Form -Lookup Picker</t>
  </si>
  <si>
    <t>Level of Improvement -Lookup Picker</t>
  </si>
  <si>
    <t>Reproductive Uniformity -Lookup Picker</t>
  </si>
  <si>
    <t>Geography (Donor)  -Lookup Picker</t>
  </si>
  <si>
    <t>Geography (Collection) -Lookup Picker</t>
  </si>
  <si>
    <t>Latitude -decimal degrees</t>
  </si>
  <si>
    <t>Longitude -decimal degrees</t>
  </si>
  <si>
    <t>Cooperator (Donor) 1 -full record</t>
  </si>
  <si>
    <t>Cooperator (Donor) 2 -full record</t>
  </si>
  <si>
    <t>Cooperator (Collector) 1 -full record</t>
  </si>
  <si>
    <t>Cooperator (Collector) 2 -full record</t>
  </si>
  <si>
    <t>Cooperator (Collector) 3 -full record</t>
  </si>
  <si>
    <t>Inventory Maintenance Site -NC7</t>
  </si>
  <si>
    <t>Quantity On Hand Units -'count' or 'packet'</t>
  </si>
  <si>
    <t>Hundred Seed Weight -gram</t>
  </si>
  <si>
    <t>Seed Count Verification 
(VALUE CLOSE TO ZERO) -Calcuated column</t>
  </si>
  <si>
    <t>Accession Name Category (Identifier 1) -Lookup Picker</t>
  </si>
  <si>
    <t>Accession Name Cooperator (Identifier 1) -name, organization</t>
  </si>
  <si>
    <t>Voucher Collector -name, organization</t>
  </si>
  <si>
    <t>Total Weight -gram (if unknown, leave blank)</t>
  </si>
  <si>
    <t>Accession Name (Identifier 2)</t>
  </si>
  <si>
    <t>Accession Name Cooperator (Identifier 2) -name, organization</t>
  </si>
  <si>
    <t>Headings on Master File (in order)</t>
  </si>
  <si>
    <t>Quick and Dirty Directions:</t>
  </si>
  <si>
    <t>If a tab is not relevant to your accessions, skip loading it into GRIN.</t>
  </si>
  <si>
    <r>
      <t xml:space="preserve">Fill out information on the </t>
    </r>
    <r>
      <rPr>
        <b/>
        <u/>
        <sz val="12"/>
        <color theme="1"/>
        <rFont val="Calibri"/>
        <family val="2"/>
        <scheme val="minor"/>
      </rPr>
      <t>"Master File"</t>
    </r>
    <r>
      <rPr>
        <sz val="11"/>
        <color theme="1"/>
        <rFont val="Calibri"/>
        <family val="2"/>
        <scheme val="minor"/>
      </rPr>
      <t xml:space="preserve"> tab.</t>
    </r>
  </si>
  <si>
    <r>
      <t>The color of the</t>
    </r>
    <r>
      <rPr>
        <b/>
        <u/>
        <sz val="12"/>
        <color theme="1"/>
        <rFont val="Calibri"/>
        <family val="2"/>
        <scheme val="minor"/>
      </rPr>
      <t xml:space="preserve"> "Master File" </t>
    </r>
    <r>
      <rPr>
        <sz val="11"/>
        <color theme="1"/>
        <rFont val="Calibri"/>
        <family val="2"/>
        <scheme val="minor"/>
      </rPr>
      <t>heading indicates which GRIN "umbrella" the data is associated with.</t>
    </r>
  </si>
  <si>
    <r>
      <t>All other tabs will auto populate with information pulled from the</t>
    </r>
    <r>
      <rPr>
        <b/>
        <sz val="12"/>
        <color theme="1"/>
        <rFont val="Calibri"/>
        <family val="2"/>
        <scheme val="minor"/>
      </rPr>
      <t xml:space="preserve"> </t>
    </r>
    <r>
      <rPr>
        <b/>
        <u/>
        <sz val="12"/>
        <color theme="1"/>
        <rFont val="Calibri"/>
        <family val="2"/>
        <scheme val="minor"/>
      </rPr>
      <t>"Master File"</t>
    </r>
    <r>
      <rPr>
        <b/>
        <u/>
        <sz val="11"/>
        <color theme="1"/>
        <rFont val="Calibri"/>
        <family val="2"/>
        <scheme val="minor"/>
      </rPr>
      <t xml:space="preserve"> </t>
    </r>
    <r>
      <rPr>
        <sz val="11"/>
        <color theme="1"/>
        <rFont val="Calibri"/>
        <family val="2"/>
        <scheme val="minor"/>
      </rPr>
      <t>tab.</t>
    </r>
  </si>
  <si>
    <r>
      <t xml:space="preserve">When you/GPA is loading data into grin, go through the tabs in order - start with </t>
    </r>
    <r>
      <rPr>
        <b/>
        <u/>
        <sz val="11"/>
        <color theme="1"/>
        <rFont val="Calibri"/>
        <family val="2"/>
        <scheme val="minor"/>
      </rPr>
      <t>"Accession Table"</t>
    </r>
  </si>
  <si>
    <t>Wild material</t>
  </si>
  <si>
    <t>Inventory Type - Lookup Picker</t>
  </si>
  <si>
    <t>PL</t>
  </si>
  <si>
    <t>Annual</t>
  </si>
  <si>
    <t>Biennial</t>
  </si>
  <si>
    <t>Perennial</t>
  </si>
  <si>
    <t>Shrub</t>
  </si>
  <si>
    <t>Tree</t>
  </si>
  <si>
    <t>Vine</t>
  </si>
  <si>
    <t>Landrace</t>
  </si>
  <si>
    <t>Cultivated material</t>
  </si>
  <si>
    <t>Breeding material</t>
  </si>
  <si>
    <t>Clone</t>
  </si>
  <si>
    <t>Cultivar</t>
  </si>
  <si>
    <t>Uncertain improvement status</t>
  </si>
  <si>
    <t>Apomictic</t>
  </si>
  <si>
    <t>Highly inbred</t>
  </si>
  <si>
    <t>Hybrid</t>
  </si>
  <si>
    <t>Mixture</t>
  </si>
  <si>
    <t>Nucellar</t>
  </si>
  <si>
    <t>Outcross</t>
  </si>
  <si>
    <t>Partial inbred</t>
  </si>
  <si>
    <t>Population</t>
  </si>
  <si>
    <t>Pureline</t>
  </si>
  <si>
    <t>Recombinant Inbred Line</t>
  </si>
  <si>
    <t>Selfing</t>
  </si>
  <si>
    <t>Genetic material</t>
  </si>
  <si>
    <t>Rootstock</t>
  </si>
  <si>
    <t>Annual and/or Biennial</t>
  </si>
  <si>
    <t>Annual and/or Perennial</t>
  </si>
  <si>
    <t>Annual/Biennial and/or Perennial</t>
  </si>
  <si>
    <t>Biennial and/or Perennial</t>
  </si>
  <si>
    <t>Female Tree</t>
  </si>
  <si>
    <t>Male Tree</t>
  </si>
  <si>
    <t>TU</t>
  </si>
  <si>
    <t>CGIAR International Center Identifier</t>
  </si>
  <si>
    <t>Collector identifier</t>
  </si>
  <si>
    <t>Cultivar name</t>
  </si>
  <si>
    <t>Developer identifier</t>
  </si>
  <si>
    <t>Donor identifier</t>
  </si>
  <si>
    <t>Institute identifier</t>
  </si>
  <si>
    <t>Local name</t>
  </si>
  <si>
    <t>Misidentified cultivar name</t>
  </si>
  <si>
    <t>Other or unclassified name</t>
  </si>
  <si>
    <t>Plot</t>
  </si>
  <si>
    <t>Quarantine identifier</t>
  </si>
  <si>
    <t>Site identifier</t>
  </si>
  <si>
    <t>Trademark name</t>
  </si>
  <si>
    <t>Unverified name</t>
  </si>
  <si>
    <t>Elevation (Feet)</t>
  </si>
  <si>
    <t>Elevation (meters) - Calculated Column</t>
  </si>
  <si>
    <t>count</t>
  </si>
  <si>
    <t>NA</t>
  </si>
  <si>
    <t>Center of 1st adminstrative level</t>
  </si>
  <si>
    <t>Center of 2nd Order Admin Level</t>
  </si>
  <si>
    <t>Center of 3rd Order Admin Level</t>
  </si>
  <si>
    <t>Center of country</t>
  </si>
  <si>
    <t>Coordinates determined by IRRI georef</t>
  </si>
  <si>
    <t>Gazetteer</t>
  </si>
  <si>
    <t>Lat/lon determined by GPS</t>
  </si>
  <si>
    <t>Lat/lon determined by unknown method</t>
  </si>
  <si>
    <t>Map - scale between 1:100000 &amp; 1:250000</t>
  </si>
  <si>
    <t>Map - scale larger than 1:100000</t>
  </si>
  <si>
    <t>Map - scale smaller than 1:250000</t>
  </si>
  <si>
    <t>Market</t>
  </si>
  <si>
    <t>Research station</t>
  </si>
  <si>
    <t>Georeference Protocol - Lookup Picker</t>
  </si>
  <si>
    <t>All Red headings are not loaded into GRIN.</t>
  </si>
  <si>
    <t>Source/Habitat Observation - Source Descriptor</t>
  </si>
  <si>
    <t>Pedigree Description</t>
  </si>
  <si>
    <t>Date Received</t>
  </si>
  <si>
    <t>Taxonomy</t>
  </si>
  <si>
    <t>Location Description</t>
  </si>
  <si>
    <t>Donor Cooperator</t>
  </si>
  <si>
    <t>Final Steps</t>
  </si>
  <si>
    <t>Transfer ownership of Accession to appropriate curator</t>
  </si>
  <si>
    <t>Directions</t>
  </si>
  <si>
    <t>Print the "Print This" summary tab for paper records.</t>
  </si>
  <si>
    <t>Detailed Directions</t>
  </si>
  <si>
    <t>Print Log in Labels</t>
  </si>
  <si>
    <t>Print in landscape mode and fit all columns to one page.</t>
  </si>
  <si>
    <t>Side notes</t>
  </si>
  <si>
    <t>BD</t>
  </si>
  <si>
    <t>BL</t>
  </si>
  <si>
    <t>CA</t>
  </si>
  <si>
    <t>CL</t>
  </si>
  <si>
    <t>CM</t>
  </si>
  <si>
    <t>CT</t>
  </si>
  <si>
    <t>DN</t>
  </si>
  <si>
    <t>ER</t>
  </si>
  <si>
    <t>FR</t>
  </si>
  <si>
    <t>GS</t>
  </si>
  <si>
    <t>HE</t>
  </si>
  <si>
    <t>HS</t>
  </si>
  <si>
    <t>IO</t>
  </si>
  <si>
    <t>IV</t>
  </si>
  <si>
    <t>LV</t>
  </si>
  <si>
    <t>MF</t>
  </si>
  <si>
    <t>MS</t>
  </si>
  <si>
    <t>PD</t>
  </si>
  <si>
    <t>PO</t>
  </si>
  <si>
    <t>PR</t>
  </si>
  <si>
    <t>RH</t>
  </si>
  <si>
    <t>RN</t>
  </si>
  <si>
    <t>RT</t>
  </si>
  <si>
    <t>SC</t>
  </si>
  <si>
    <t>SG</t>
  </si>
  <si>
    <t>SP</t>
  </si>
  <si>
    <t>ST</t>
  </si>
  <si>
    <t>TC</t>
  </si>
  <si>
    <t>FI</t>
  </si>
  <si>
    <t>MI</t>
  </si>
  <si>
    <t>PF</t>
  </si>
  <si>
    <t>LA</t>
  </si>
  <si>
    <t>PA</t>
  </si>
  <si>
    <t>EA</t>
  </si>
  <si>
    <t>Bacteria</t>
  </si>
  <si>
    <t>Virus</t>
  </si>
  <si>
    <t>Cooperator (Developer) - full record</t>
  </si>
  <si>
    <t>Geography (Developer) -Lookup Picker</t>
  </si>
  <si>
    <t>Inventory Maintanence Policy</t>
  </si>
  <si>
    <t>Site</t>
  </si>
  <si>
    <t>COT</t>
  </si>
  <si>
    <t>BRW</t>
  </si>
  <si>
    <t>COR</t>
  </si>
  <si>
    <t>DAV</t>
  </si>
  <si>
    <t>GEN</t>
  </si>
  <si>
    <t>HILO</t>
  </si>
  <si>
    <t>MAY</t>
  </si>
  <si>
    <t>MIA</t>
  </si>
  <si>
    <t>RIV</t>
  </si>
  <si>
    <t>DBMU</t>
  </si>
  <si>
    <t>FLAX</t>
  </si>
  <si>
    <t>PGQO</t>
  </si>
  <si>
    <t>TGRC</t>
  </si>
  <si>
    <t>PVPO</t>
  </si>
  <si>
    <t>NC7</t>
  </si>
  <si>
    <t>NE9</t>
  </si>
  <si>
    <t>NPMC</t>
  </si>
  <si>
    <t>NSGC</t>
  </si>
  <si>
    <t>INACTIVE</t>
  </si>
  <si>
    <t>PIO</t>
  </si>
  <si>
    <t>S9</t>
  </si>
  <si>
    <t>SBML</t>
  </si>
  <si>
    <t>SOY</t>
  </si>
  <si>
    <t>TOB</t>
  </si>
  <si>
    <t>W6</t>
  </si>
  <si>
    <t>PEO</t>
  </si>
  <si>
    <t>NGRL</t>
  </si>
  <si>
    <t>NR6</t>
  </si>
  <si>
    <t>CLO</t>
  </si>
  <si>
    <t>GSZE</t>
  </si>
  <si>
    <t>NTSL</t>
  </si>
  <si>
    <t>DLEG</t>
  </si>
  <si>
    <t>GSPI</t>
  </si>
  <si>
    <t>NSSB</t>
  </si>
  <si>
    <t>PALM</t>
  </si>
  <si>
    <t>PARL</t>
  </si>
  <si>
    <t>OPGC</t>
  </si>
  <si>
    <t>FRA</t>
  </si>
  <si>
    <t>GSOR</t>
  </si>
  <si>
    <t>NSSL</t>
  </si>
  <si>
    <t>SYS</t>
  </si>
  <si>
    <t>Status Note</t>
  </si>
  <si>
    <t>Color Key for GRIN Parent/Child records</t>
  </si>
  <si>
    <t>Color Key for Workbook Tab colors</t>
  </si>
  <si>
    <t>Start HERE</t>
  </si>
  <si>
    <t>Extra Information</t>
  </si>
  <si>
    <t>Applies to Everything</t>
  </si>
  <si>
    <t>Developed Material (cultivated)</t>
  </si>
  <si>
    <t>Collected Material (wild)</t>
  </si>
  <si>
    <t>STOP and perform an action</t>
  </si>
  <si>
    <t>Work in progress (coming soon)</t>
  </si>
  <si>
    <t>Accepted Date</t>
  </si>
  <si>
    <t>FAO Standard Material Transfer Agreement</t>
  </si>
  <si>
    <t>IPR? (SMTA) -Lookup Picker</t>
  </si>
  <si>
    <t>Collection/Developer Geography (origin)</t>
  </si>
  <si>
    <t xml:space="preserve">Print a pdf of the email chain, the "Print This" summary tab, and any additional paperwork. </t>
  </si>
  <si>
    <t>Store paperwork in the log-in cabinet in seed storage.</t>
  </si>
  <si>
    <t>Upload all documentation to Sharepoint &gt; Germplasm Management</t>
  </si>
  <si>
    <t>pdf of email, NPGS assignment workbook, any add'l documentation.</t>
  </si>
  <si>
    <t>Email the curator. Copy the seed storage manager</t>
  </si>
  <si>
    <t>Navigate to Accessions tab. Highlight all records that belong to a single curator. Right click in highlighted area and select "change owner" then find the correct curator from the "New Owner" drop down menu. Select the radial button for "Selected rows" then click OK.</t>
  </si>
  <si>
    <t>Fill in completed date in accession action</t>
  </si>
  <si>
    <t>After all above steps are complete, fill in the "Completed Date" field</t>
  </si>
  <si>
    <t>Skeleton Record Required Fields</t>
  </si>
  <si>
    <t>Yes</t>
  </si>
  <si>
    <t>Developed Material "Perfect Record"</t>
  </si>
  <si>
    <t>Collected Material "Perfect Record"</t>
  </si>
  <si>
    <t>If applicable</t>
  </si>
  <si>
    <r>
      <t xml:space="preserve">If you need to add information and there is not a field in the </t>
    </r>
    <r>
      <rPr>
        <b/>
        <u/>
        <sz val="11"/>
        <color theme="1"/>
        <rFont val="Calibri"/>
        <family val="2"/>
        <scheme val="minor"/>
      </rPr>
      <t>"Master File"</t>
    </r>
    <r>
      <rPr>
        <sz val="11"/>
        <color theme="1"/>
        <rFont val="Calibri"/>
        <family val="2"/>
        <scheme val="minor"/>
      </rPr>
      <t xml:space="preserve"> tab, add them on the GRIN tab.</t>
    </r>
  </si>
  <si>
    <t>CIAT Disclaimer</t>
  </si>
  <si>
    <t>CIMMYT Disclaimer</t>
  </si>
  <si>
    <t>CIP Disclaimer</t>
  </si>
  <si>
    <t>CIP Disclaimer: Non-Designated Material</t>
  </si>
  <si>
    <t>Crop Science Registration</t>
  </si>
  <si>
    <t>Foreign patent or license</t>
  </si>
  <si>
    <t>ICARDA Disclaimer</t>
  </si>
  <si>
    <t>ICRISAT Disclaimer</t>
  </si>
  <si>
    <t>IITA Disclaimer</t>
  </si>
  <si>
    <t>IRRI Disclaimer</t>
  </si>
  <si>
    <t>Journal of Plant Registration</t>
  </si>
  <si>
    <t>MOU between the U.S. and Cameroon</t>
  </si>
  <si>
    <t>MOU between the U.S. and Paraguay</t>
  </si>
  <si>
    <t>MOU between the U.S. and the Ukraine</t>
  </si>
  <si>
    <t>MTA between the U.S. and Azerbaijan</t>
  </si>
  <si>
    <t>MTA between the U.S. and Georgia</t>
  </si>
  <si>
    <t>MTA between the U.S. and Hebron Univ.</t>
  </si>
  <si>
    <t>MTA between the U.S. and Japan</t>
  </si>
  <si>
    <t>MTA between the U.S. and Turkey</t>
  </si>
  <si>
    <t>MTA-WAGENINGEN</t>
  </si>
  <si>
    <t>NFCA and MTA between U.S. and Japan 2009</t>
  </si>
  <si>
    <t>NR6 Canada disclaimer</t>
  </si>
  <si>
    <t>Patent of license pending</t>
  </si>
  <si>
    <t>Restriction</t>
  </si>
  <si>
    <t>State patent or license</t>
  </si>
  <si>
    <t>Tunisia/U.S. Protocol of Scientific Coop</t>
  </si>
  <si>
    <t>U.S. Plant patent</t>
  </si>
  <si>
    <t>U.S. Plant Variety Protection</t>
  </si>
  <si>
    <t>U.S. Utility patent</t>
  </si>
  <si>
    <t>WARDA Disclaimer</t>
  </si>
  <si>
    <t>Accession Restriction Type (IPR)</t>
  </si>
  <si>
    <t>Site grown in situ</t>
  </si>
  <si>
    <t>Market or store</t>
  </si>
  <si>
    <t>Research station or other ex situ site</t>
  </si>
  <si>
    <t>Obtained from farmer's storage</t>
  </si>
  <si>
    <t>Unknown source</t>
  </si>
  <si>
    <t>Wild Habitat</t>
  </si>
  <si>
    <t>Farm</t>
  </si>
  <si>
    <t>Market or shop</t>
  </si>
  <si>
    <t>Institute</t>
  </si>
  <si>
    <t>Forest / woodland</t>
  </si>
  <si>
    <t>Shrubland</t>
  </si>
  <si>
    <t>Grassland</t>
  </si>
  <si>
    <t>Desert / tundra</t>
  </si>
  <si>
    <t>Aquatic habitat</t>
  </si>
  <si>
    <t>Field</t>
  </si>
  <si>
    <t>Orchard</t>
  </si>
  <si>
    <t>Backyard</t>
  </si>
  <si>
    <t>Fallow land</t>
  </si>
  <si>
    <t>Pasture</t>
  </si>
  <si>
    <t>Farm store</t>
  </si>
  <si>
    <t>Threshing floor</t>
  </si>
  <si>
    <t>Park</t>
  </si>
  <si>
    <t>Seed company</t>
  </si>
  <si>
    <t>Weedy, disturbed, or ruderal habitat</t>
  </si>
  <si>
    <t>Roadside</t>
  </si>
  <si>
    <t>Field margin</t>
  </si>
  <si>
    <t>Other</t>
  </si>
  <si>
    <t>Collecting or Acquisition Source</t>
  </si>
  <si>
    <t>AGE CLASS DISTRIBUTION</t>
  </si>
  <si>
    <t>ELEVATION ACCURACY</t>
  </si>
  <si>
    <t>ELEVATION METHOD</t>
  </si>
  <si>
    <t>ENVIRONMENT DESCRIPTION</t>
  </si>
  <si>
    <t>FECUNDITY</t>
  </si>
  <si>
    <t>HABITAT CATEGORY</t>
  </si>
  <si>
    <t>INDIVIDUAL STRUCTURE</t>
  </si>
  <si>
    <t>LAND ELEMENT</t>
  </si>
  <si>
    <t>LAND OWNER</t>
  </si>
  <si>
    <t>LAND OWNER REMARKS</t>
  </si>
  <si>
    <t>LAND USE</t>
  </si>
  <si>
    <t>MODIFYING FACTORS</t>
  </si>
  <si>
    <t>PLANT DISTRIBUTION</t>
  </si>
  <si>
    <t>POPULATION SIZE</t>
  </si>
  <si>
    <t>PROPAGULE MATURITY</t>
  </si>
  <si>
    <t>SAMPLE AREA</t>
  </si>
  <si>
    <t>SAMPLE COVERAGE</t>
  </si>
  <si>
    <t>SAMPLE METHOD</t>
  </si>
  <si>
    <t>SAMPLE STRUCTURE</t>
  </si>
  <si>
    <t>SEED COLLECTION SOURCE</t>
  </si>
  <si>
    <t>SLOPE FORM</t>
  </si>
  <si>
    <t>SOIL MOISTURE</t>
  </si>
  <si>
    <t>THREAT CATEGORY</t>
  </si>
  <si>
    <t>TOPOGRAPHY</t>
  </si>
  <si>
    <t>UNCERTAINTY COMMENT</t>
  </si>
  <si>
    <t>UNCERTAINTY UNITS</t>
  </si>
  <si>
    <t>Southwest</t>
  </si>
  <si>
    <t>Lat/Lon determined from GIS</t>
  </si>
  <si>
    <t>Lat/Lon determined via Map location</t>
  </si>
  <si>
    <t>Standard Distribution Form</t>
  </si>
  <si>
    <t>No.</t>
  </si>
  <si>
    <t>Coded Value (Source Descriptor SOIL TEXTURE)</t>
  </si>
  <si>
    <t>Clay</t>
  </si>
  <si>
    <t>Clay loam</t>
  </si>
  <si>
    <t>Coarse sand</t>
  </si>
  <si>
    <t>Coarse sandy loam</t>
  </si>
  <si>
    <t>Fine sand</t>
  </si>
  <si>
    <t>Fine sandy loam</t>
  </si>
  <si>
    <t>Loam</t>
  </si>
  <si>
    <t>Loamy coarse sand</t>
  </si>
  <si>
    <t>Loamy fine sand</t>
  </si>
  <si>
    <t>Loamy sand</t>
  </si>
  <si>
    <t>Loamy very fine</t>
  </si>
  <si>
    <t>Sand</t>
  </si>
  <si>
    <t>Sandy unsorted</t>
  </si>
  <si>
    <t>Sandy clay</t>
  </si>
  <si>
    <t>Sandy clay loam</t>
  </si>
  <si>
    <t>Sandy loam</t>
  </si>
  <si>
    <t>Silt</t>
  </si>
  <si>
    <t>Silt clay</t>
  </si>
  <si>
    <t>Silt clay loam</t>
  </si>
  <si>
    <t>Silt loam</t>
  </si>
  <si>
    <t>Unspecified</t>
  </si>
  <si>
    <t>Very fine sand</t>
  </si>
  <si>
    <t>Received Date Format</t>
  </si>
  <si>
    <t>ASPECT -lookup picker</t>
  </si>
  <si>
    <t>Coded Value (Source Descriptor ASPECT)</t>
  </si>
  <si>
    <t>East</t>
  </si>
  <si>
    <t>North</t>
  </si>
  <si>
    <t>Northeast</t>
  </si>
  <si>
    <t>Northwest</t>
  </si>
  <si>
    <t>South</t>
  </si>
  <si>
    <t>Southeast</t>
  </si>
  <si>
    <t>Uncertain</t>
  </si>
  <si>
    <t>West</t>
  </si>
  <si>
    <t>Literature Source -Lookup picker</t>
  </si>
  <si>
    <t>Citation Title</t>
  </si>
  <si>
    <t>Author(s) Name</t>
  </si>
  <si>
    <t>Citation Year</t>
  </si>
  <si>
    <t>Reference</t>
  </si>
  <si>
    <t>Example Row - Not uploaded to Grin</t>
  </si>
  <si>
    <t>Citation ID</t>
  </si>
  <si>
    <t>Literature Source</t>
  </si>
  <si>
    <t>DOI Reference</t>
  </si>
  <si>
    <t>URL</t>
  </si>
  <si>
    <t>Reference Title</t>
  </si>
  <si>
    <t>Reference Description</t>
  </si>
  <si>
    <t>Method</t>
  </si>
  <si>
    <t>Taxonomy Species</t>
  </si>
  <si>
    <t>Extended Genus</t>
  </si>
  <si>
    <t>Accepted Extended Family</t>
  </si>
  <si>
    <t>Accession IPR</t>
  </si>
  <si>
    <t>Accession Pedigree</t>
  </si>
  <si>
    <t>Genetic Marker</t>
  </si>
  <si>
    <t>Type</t>
  </si>
  <si>
    <t>Unique Key</t>
  </si>
  <si>
    <t>Associated Species</t>
  </si>
  <si>
    <t>Collecting or Acquisition Source - List</t>
  </si>
  <si>
    <t>Let Jeff/Stacey know if you have any problems.</t>
  </si>
  <si>
    <t>Location Section 1</t>
  </si>
  <si>
    <t>Accession Suffix</t>
  </si>
  <si>
    <t>Origin</t>
  </si>
  <si>
    <t>Maintenance Site</t>
  </si>
  <si>
    <t>Is Core?</t>
  </si>
  <si>
    <t>Is Backed Up?</t>
  </si>
  <si>
    <t>Backup Location 1</t>
  </si>
  <si>
    <t>Backup Location 2</t>
  </si>
  <si>
    <t>Status</t>
  </si>
  <si>
    <t>Created Date</t>
  </si>
  <si>
    <t>Created By</t>
  </si>
  <si>
    <t>Modified Date</t>
  </si>
  <si>
    <t>Modified By</t>
  </si>
  <si>
    <t>Owned Date</t>
  </si>
  <si>
    <t>Owned By</t>
  </si>
  <si>
    <t>Active</t>
  </si>
  <si>
    <t>Column1</t>
  </si>
  <si>
    <r>
      <t xml:space="preserve">"Refresh Data"
in GRIN CT
</t>
    </r>
    <r>
      <rPr>
        <sz val="36"/>
        <color rgb="FFFF0000"/>
        <rFont val="Calibri"/>
        <family val="2"/>
        <scheme val="minor"/>
      </rPr>
      <t>so you can load child records</t>
    </r>
  </si>
  <si>
    <t>Name Group (Identifier 2) - Lookup Picker</t>
  </si>
  <si>
    <t>Name Group (Identifier 1) -Lookup Picker</t>
  </si>
  <si>
    <t>Accession Name Category (Identifier 2) -Lookup Picker</t>
  </si>
  <si>
    <t>After GRIN assigns numbers: 
1. "Drag &amp; drop" the accession dataview into the next sheet
2.  "Copy &amp; Paste" the accession numbers into the "Master File" sheet</t>
  </si>
  <si>
    <t>SOIL TEXTURE - lookup picker</t>
  </si>
  <si>
    <t>Level of Improvement</t>
  </si>
  <si>
    <t>Accession Name Category (Identifier #)</t>
  </si>
  <si>
    <t>Accession Prefix (NPGS)</t>
  </si>
  <si>
    <t>Notify them the NPGS numbers have been assigned, where the seed is located, where paperwork can be found</t>
  </si>
  <si>
    <t>Voucher Date</t>
  </si>
  <si>
    <t>GERMS from DONOR (viability)</t>
  </si>
  <si>
    <t>GERMS from DONOR (test date)</t>
  </si>
  <si>
    <t>Inventory Viability ID</t>
  </si>
  <si>
    <t>Inventory Viability Rule</t>
  </si>
  <si>
    <t>Test Date Format</t>
  </si>
  <si>
    <t>Tested Date</t>
  </si>
  <si>
    <t>Percent Normal</t>
  </si>
  <si>
    <t>Percent Abnormal</t>
  </si>
  <si>
    <t>Percent Dormant</t>
  </si>
  <si>
    <t>Percent Viable</t>
  </si>
  <si>
    <t>Vigor Rating</t>
  </si>
  <si>
    <t>Sample Count</t>
  </si>
  <si>
    <t>Replication Count</t>
  </si>
  <si>
    <t>Percent Hard</t>
  </si>
  <si>
    <t>Percent Empty</t>
  </si>
  <si>
    <t>Percent Infested</t>
  </si>
  <si>
    <t>Percent Dead</t>
  </si>
  <si>
    <t>Percent Unknown</t>
  </si>
  <si>
    <t>Genus</t>
  </si>
  <si>
    <t>Date Collected or Developed</t>
  </si>
  <si>
    <t>Date Harvested/Developed</t>
  </si>
  <si>
    <t>**LEAVE ACCESSSION INFORMATION BLANK</t>
  </si>
  <si>
    <t>INVENTORY - Multiple Lots</t>
  </si>
  <si>
    <t>do NOT fill in Accession information</t>
  </si>
  <si>
    <t>ONLY fill in these columns:</t>
  </si>
  <si>
    <t>Inventory Name (Identifier 1)</t>
  </si>
  <si>
    <t>Inventory Name Category (Identifier 1) -Lookup Picker</t>
  </si>
  <si>
    <t>Inventory Name Cooperator (Identifier 1) -name, organization</t>
  </si>
  <si>
    <t>Inventory Name Group (Identifier 1) - Lookup Picker</t>
  </si>
  <si>
    <t>Multiple Inventory Lot Loading</t>
  </si>
  <si>
    <t>When filling in "Lookup Picker" fields, use the in-cell drop downs</t>
  </si>
  <si>
    <t>CALCULATED</t>
  </si>
  <si>
    <t>If known</t>
  </si>
  <si>
    <t>Upload all documentation to GRIN via the Inventory Attachment Wizard (Group Attach)</t>
  </si>
  <si>
    <t>under development</t>
  </si>
  <si>
    <t>same files as above</t>
  </si>
  <si>
    <t>Sort No.</t>
  </si>
  <si>
    <t>Inventory Name Cooperator -name, organization</t>
  </si>
  <si>
    <t>Inventory Name Group - Lookup Picker</t>
  </si>
  <si>
    <t>Inventory Name Category -Lookup Picker</t>
  </si>
  <si>
    <t>Inventory Name</t>
  </si>
  <si>
    <t>Collection/Developer Number</t>
  </si>
  <si>
    <t>FILE FORMAT: Date Received_Donor_Accession et al</t>
  </si>
  <si>
    <t>Inventory Maintenance Site - W6 OR GSPI</t>
  </si>
  <si>
    <t>gspi</t>
  </si>
  <si>
    <t>w6_alfalfa</t>
  </si>
  <si>
    <t>w6_beans</t>
  </si>
  <si>
    <t>w6_lettuce</t>
  </si>
  <si>
    <t>w6_grass</t>
  </si>
  <si>
    <t>w6_safflower</t>
  </si>
  <si>
    <t>w6_cicer</t>
  </si>
  <si>
    <t>w6_pea</t>
  </si>
  <si>
    <t>w6_allium</t>
  </si>
  <si>
    <t>w6_beta</t>
  </si>
  <si>
    <t>w6_clover</t>
  </si>
  <si>
    <t>w6_legumes</t>
  </si>
  <si>
    <t>w6_lens</t>
  </si>
  <si>
    <t>w6_vicia</t>
  </si>
  <si>
    <t>w6_lotus</t>
  </si>
  <si>
    <t>w6_misc</t>
  </si>
  <si>
    <t>w6_native</t>
  </si>
  <si>
    <t>w6_alfalfa_checks</t>
  </si>
  <si>
    <t>w6_grass_checks</t>
  </si>
  <si>
    <t>w6_palmer</t>
  </si>
  <si>
    <t>w6_inactive</t>
  </si>
  <si>
    <t>w6_archive</t>
  </si>
  <si>
    <t>w6_null</t>
  </si>
  <si>
    <t>w6_transfer</t>
  </si>
  <si>
    <t>gspi_null</t>
  </si>
  <si>
    <t>w6_brachypodium_t-dna</t>
  </si>
  <si>
    <t>2019o</t>
  </si>
  <si>
    <t>Unknown/Blank</t>
  </si>
  <si>
    <t>None</t>
  </si>
  <si>
    <t>NAD83</t>
  </si>
  <si>
    <t>Inventory Maintenance Site -W6</t>
  </si>
  <si>
    <t>Klamath Mountains</t>
  </si>
  <si>
    <t>Mojave Basin and Range</t>
  </si>
  <si>
    <t>Snake River Plain</t>
  </si>
  <si>
    <t>Middle Rockies</t>
  </si>
  <si>
    <t>Willamette Valley</t>
  </si>
  <si>
    <t>Columbia Plateau</t>
  </si>
  <si>
    <t>Central Basin and Range</t>
  </si>
  <si>
    <t>Aberdeen Plains</t>
  </si>
  <si>
    <t>Abitibi Plains and Riviere Rupert Plateau</t>
  </si>
  <si>
    <t>Acadian Plains and Hills</t>
  </si>
  <si>
    <t>Ahklun and Kilbuck Mountains</t>
  </si>
  <si>
    <t>Alaska Peninsula Mountains</t>
  </si>
  <si>
    <t>Alaska Range</t>
  </si>
  <si>
    <t>Aleution Islands</t>
  </si>
  <si>
    <t>Algonquin/Southern Laurentians</t>
  </si>
  <si>
    <t>Amundsen Plains</t>
  </si>
  <si>
    <t>Arctic Coastal Plain</t>
  </si>
  <si>
    <t>Arctic Foothills</t>
  </si>
  <si>
    <t>Arizona/New Mexico Mountains</t>
  </si>
  <si>
    <t>Arizona/New Mexico Plateau</t>
  </si>
  <si>
    <t>Arkansas Valley</t>
  </si>
  <si>
    <t>Aspen Parkland/Northern Glaciated Plains</t>
  </si>
  <si>
    <t>Athabasca Plain and Churchill River Upland</t>
  </si>
  <si>
    <t>Atlantic Coastal Pine Barrens</t>
  </si>
  <si>
    <t>Baffin and Torngat Mountains</t>
  </si>
  <si>
    <t>Baffin Uplands</t>
  </si>
  <si>
    <t>Baja Californian Desert</t>
  </si>
  <si>
    <t>Balsas Depression with Low Tropical Deciduous Forest and Xerophytic Shrub</t>
  </si>
  <si>
    <t>Banks Island and Amundsen Gulf Lowlands</t>
  </si>
  <si>
    <t>Blue Mountains</t>
  </si>
  <si>
    <t>Blue Ridge</t>
  </si>
  <si>
    <t>Boston Mountains</t>
  </si>
  <si>
    <t>Bristol Bay-Nushagak Lowlands</t>
  </si>
  <si>
    <t>Brooks Range/Richardson Mountains</t>
  </si>
  <si>
    <t>California Coastal Sage, Chaparral, and Oak Woodlands</t>
  </si>
  <si>
    <t>Canadian Rockies</t>
  </si>
  <si>
    <t>Cascades</t>
  </si>
  <si>
    <t>Central American Sierra Madre with Conifer, Oak, and Mixed Forests</t>
  </si>
  <si>
    <t>Central Appalachians</t>
  </si>
  <si>
    <t>Central California Valley</t>
  </si>
  <si>
    <t>Central Corn Belt Plains</t>
  </si>
  <si>
    <t>Central Great Plains</t>
  </si>
  <si>
    <t>Central Irregular Plains</t>
  </si>
  <si>
    <t>Central Laurentians and Mecatina Plateau</t>
  </si>
  <si>
    <t>Central Ungava Peninsula and Ottawa and Belcher Islands</t>
  </si>
  <si>
    <t>Chiapas Depression with Low Deciduous and Medium Semi-Deciduous Tropical Forest</t>
  </si>
  <si>
    <t>Chiapas Highlands with Conifer, Oak, and Mixed Forest</t>
  </si>
  <si>
    <t>Chihuahuan Desert</t>
  </si>
  <si>
    <t>Chilcotin Ranges and Fraser Plateau</t>
  </si>
  <si>
    <t>Clear Hills and Western Alberta Upland</t>
  </si>
  <si>
    <t>Coast Range</t>
  </si>
  <si>
    <t>Coastal Hudson Bay Lowland</t>
  </si>
  <si>
    <t>Coastal Plain and Hills with High and Medium-High Evergreen Tropical Forest and Wetlands</t>
  </si>
  <si>
    <t>Coastal Plain with Low Tropical Deciduous Forest</t>
  </si>
  <si>
    <t>Coastal Western Hemlock-Sitka Spruce Forests</t>
  </si>
  <si>
    <t>Colorado Plateaus</t>
  </si>
  <si>
    <t>Columbia Mountains/Northern Rockies</t>
  </si>
  <si>
    <t>Cook Inlet</t>
  </si>
  <si>
    <t>Copper Plateau</t>
  </si>
  <si>
    <t>Coppermine River and Tazin Lake Uplands</t>
  </si>
  <si>
    <t>Cross Timbers</t>
  </si>
  <si>
    <t>Cypress Upland</t>
  </si>
  <si>
    <t>Driftless Area</t>
  </si>
  <si>
    <t>East Central Texas Plains</t>
  </si>
  <si>
    <t>Eastern Cascades Slopes and Foothills</t>
  </si>
  <si>
    <t>Eastern Corn Belt Plains</t>
  </si>
  <si>
    <t>Eastern Great Lakes Lowlands</t>
  </si>
  <si>
    <t>Edwards Plateau</t>
  </si>
  <si>
    <t>Ellesmere and Devon Islands Ice Caps</t>
  </si>
  <si>
    <t>Ellesmere Mountains and Eureka Hills</t>
  </si>
  <si>
    <t>Erie Drift Plain</t>
  </si>
  <si>
    <t>Flint Hills</t>
  </si>
  <si>
    <t>Foxe Uplands</t>
  </si>
  <si>
    <t>Great Bear Plains</t>
  </si>
  <si>
    <t>Gulf of Boothia and Foxe Basin Plains</t>
  </si>
  <si>
    <t>Gulf of Mexico Coastal Plain with Wetlands and High Tropical Rain Forest</t>
  </si>
  <si>
    <t>Hay and Slave River Lowlands</t>
  </si>
  <si>
    <t>Hayes River Upland and Big Trout Lake</t>
  </si>
  <si>
    <t>High Plains</t>
  </si>
  <si>
    <t>Hills and Interior Plains with Xeric Shrub and Mesquite Low Forest</t>
  </si>
  <si>
    <t>Hills and Sierra with Low Tropical Deciduous Forest and Oak Forest</t>
  </si>
  <si>
    <t>Hills and Sierras with Conifer, Oak, and Mixed Forests</t>
  </si>
  <si>
    <t>Hills with High and Medium Semi-Evergreen Tropical Forest</t>
  </si>
  <si>
    <t>Hills with Medium and High Evergreen Tropical Forest</t>
  </si>
  <si>
    <t>Hudson Bay and James Bay Lowlands</t>
  </si>
  <si>
    <t>Huron/Erie Lake Plains</t>
  </si>
  <si>
    <t>Idaho Batholith</t>
  </si>
  <si>
    <t>Interior Bottomlands</t>
  </si>
  <si>
    <t>Interior Forested Lowlands and Uplands</t>
  </si>
  <si>
    <t>Interior Highlands and Klondike Plateau</t>
  </si>
  <si>
    <t>Interior Plains and Piedmonts with Grasslands and Xeric Shrub</t>
  </si>
  <si>
    <t>Interior Plateau</t>
  </si>
  <si>
    <t>Interior River Valleys and Hills</t>
  </si>
  <si>
    <t>Jalisco and Nayarit Hills and Plains with Medium Semi-Evergreen Tropical Forest</t>
  </si>
  <si>
    <t>Kazan River and Selwyn Lake Uplands</t>
  </si>
  <si>
    <t>La Grande Hills and New Quebec Central Plateau</t>
  </si>
  <si>
    <t>La Laguna Mountains with Oak and Conifer Forest</t>
  </si>
  <si>
    <t>Lake Erie Lowland</t>
  </si>
  <si>
    <t>Lake Manitoba and Lake Agassiz Plain</t>
  </si>
  <si>
    <t>Lake Nipigon and Lac Seul Upland</t>
  </si>
  <si>
    <t>Lancaster and Borden Peninsula Plateaus</t>
  </si>
  <si>
    <t>Los Cabos Plains and Hills with Low Tropical Deciduous Forest and Xeric Shrub</t>
  </si>
  <si>
    <t>Los Tuxtlas Sierra with High Evergreen Tropical Forest</t>
  </si>
  <si>
    <t>Mackenzie and Selwyn Mountains</t>
  </si>
  <si>
    <t>Madrean Archipelago</t>
  </si>
  <si>
    <t>Maritime Lowlands</t>
  </si>
  <si>
    <t>Mid-Boreal Lowland and Interlake Plain</t>
  </si>
  <si>
    <t>Mid-Boreal Uplands and Peace-Wabaska Lowlands</t>
  </si>
  <si>
    <t>Middle Atlantic Coastal Plain</t>
  </si>
  <si>
    <t>Mississippi Alluvial Plain</t>
  </si>
  <si>
    <t>Mississippi Valley Loess Plains</t>
  </si>
  <si>
    <t>Nayarit and Sinaloa Plain with Low Thorn Tropical Forest</t>
  </si>
  <si>
    <t>Nebraska Sand Hills</t>
  </si>
  <si>
    <t>Newfoundland Island</t>
  </si>
  <si>
    <t>North Cascades</t>
  </si>
  <si>
    <t>North Central Appalachians</t>
  </si>
  <si>
    <t>North Central Hardwood Forests</t>
  </si>
  <si>
    <t>Northeastern Coastal Zone</t>
  </si>
  <si>
    <t>Northern Allegheny Plateau</t>
  </si>
  <si>
    <t>Northern Appalachian and Atlantic Maritime Highlands</t>
  </si>
  <si>
    <t>Northern Basin and Range</t>
  </si>
  <si>
    <t>Northern Lakes and Forests</t>
  </si>
  <si>
    <t>Northern Minnesota Wetlands</t>
  </si>
  <si>
    <t>Northern Piedmont</t>
  </si>
  <si>
    <t>Northwestern Glaciated Plains</t>
  </si>
  <si>
    <t>Northwestern Great Plains</t>
  </si>
  <si>
    <t>Northwestern Yucatan Plain with Low Tropical Deciduous Forest</t>
  </si>
  <si>
    <t>Ogilvie Mountains</t>
  </si>
  <si>
    <t>Ouachita Mountains</t>
  </si>
  <si>
    <t>Ozark Highlands</t>
  </si>
  <si>
    <t>Pacific and Nass Ranges</t>
  </si>
  <si>
    <t>Pacific Coastal Mountains</t>
  </si>
  <si>
    <t>Parry Islands Plateau</t>
  </si>
  <si>
    <t>Peel River and Nahanni Plateaus</t>
  </si>
  <si>
    <t>Piedmont</t>
  </si>
  <si>
    <t>Piedmonts and Plains with Grasslands, Xeric Shrub, and Oak and Conifer Forests</t>
  </si>
  <si>
    <t>Plain with Low and Medium Deciduous Tropical Forest</t>
  </si>
  <si>
    <t>Plain with Medium and High Semi-Evergreen Tropical Forest</t>
  </si>
  <si>
    <t>Queen Maud Gulf and Chantrey Inlet Lowlands</t>
  </si>
  <si>
    <t>Ridge and Valley</t>
  </si>
  <si>
    <t>Seward Peninsula</t>
  </si>
  <si>
    <t>Sierra Madre Occidental with Conifer, Oak, and Mixed Forests</t>
  </si>
  <si>
    <t>Sierra Madre Oriental with Conifer, Oak, and Mixed Forests</t>
  </si>
  <si>
    <t>Sierra Nevada</t>
  </si>
  <si>
    <t>Sierras of Guerrero and Oaxaca with Conifer, Oak, and Mixed Forests</t>
  </si>
  <si>
    <t>Sierras of Jalisco and Michoacan with Conifer, Oak, and Mixed Forests</t>
  </si>
  <si>
    <t>Sinaloa and Sonora Hills and Canyons with Xeric Shrub and Low Tropical Deciduous Forest</t>
  </si>
  <si>
    <t>Sinaloa Coastal Plain with Low Thorn Tropical Forest and Wetlands</t>
  </si>
  <si>
    <t>Skeena-Omineca-Central Canadian Rocky Mountains</t>
  </si>
  <si>
    <t>Smallwood Uplands</t>
  </si>
  <si>
    <t>Sonoran Desert</t>
  </si>
  <si>
    <t>South Central Plains</t>
  </si>
  <si>
    <t>South Pacific Hills and Piedmonts with Low Tropical Deciduous Forest</t>
  </si>
  <si>
    <t>Southeastern Plains</t>
  </si>
  <si>
    <t>Southeastern Wisconsin Till Plains</t>
  </si>
  <si>
    <t>Southern and Baja California Pine-Oak Mountains</t>
  </si>
  <si>
    <t>Southern Coastal Plain</t>
  </si>
  <si>
    <t>Southern Florida Coastal Plain</t>
  </si>
  <si>
    <t>Southern Michigan/Northern Indiana Drift Plains</t>
  </si>
  <si>
    <t>Southern Rockies</t>
  </si>
  <si>
    <t>Southern Texas Plains/Interior Plains and Hills with Xerophytic Shrub and Oak Forest</t>
  </si>
  <si>
    <t>Southwestern Appalachians</t>
  </si>
  <si>
    <t>Southwestern Tablelands</t>
  </si>
  <si>
    <t>Strait of Georgia/Puget Lowland</t>
  </si>
  <si>
    <t>Subarctic Coastal Plains</t>
  </si>
  <si>
    <t>Sverdrup Islands Lowland</t>
  </si>
  <si>
    <t>Tehuantepec Canyon and Plain with Low Tropical Deciduous Forest and Low Thorn Tropical Forest</t>
  </si>
  <si>
    <t>Texas Blackland Prairies</t>
  </si>
  <si>
    <t>Thompson-Okanogan Plateau</t>
  </si>
  <si>
    <t>Ungava Bay Basin and George Plateau</t>
  </si>
  <si>
    <t>Valleys and Depressions with Xeric Shrub and Low Tropical Deciduous Forest</t>
  </si>
  <si>
    <t>Victoria Island Lowlands</t>
  </si>
  <si>
    <t>Wasatch and Uinta Mountains</t>
  </si>
  <si>
    <t>Water</t>
  </si>
  <si>
    <t>Watson Highlands</t>
  </si>
  <si>
    <t>Western Allegheny Plateau</t>
  </si>
  <si>
    <t>Western Corn Belt Plains</t>
  </si>
  <si>
    <t>Western Gulf Coastal Plain</t>
  </si>
  <si>
    <t>Wrangell and St. Elias Mountains</t>
  </si>
  <si>
    <t>Wyoming Basin</t>
  </si>
  <si>
    <t>Yukon Flats</t>
  </si>
  <si>
    <t>Yukon-Stikine Highlands/Boreal Mountains and Plateaus</t>
  </si>
  <si>
    <t>Coded Value (Source Descriptor ECOREGION)</t>
  </si>
  <si>
    <t>ECOREGION - Lookup picker</t>
  </si>
  <si>
    <t>Custom Category</t>
  </si>
  <si>
    <t>ECOREGION - lookup picker</t>
  </si>
  <si>
    <t>Ecoregion Original Value</t>
  </si>
  <si>
    <t>Total</t>
  </si>
  <si>
    <t>Taylor, Lisa, USDA-ARS</t>
  </si>
  <si>
    <t>Accession Name (Identifier 3)</t>
  </si>
  <si>
    <t>Accession Name Category (Identifier 3) -Lookup Picker</t>
  </si>
  <si>
    <t>Accession Name Cooperator (Identifier 3) -name, organization</t>
  </si>
  <si>
    <t>Note2</t>
  </si>
  <si>
    <t>Geography (Collection) -Lookup Picker in GRIN</t>
  </si>
  <si>
    <t>Geography (Donor)  -Lookup Picker in GRIN</t>
  </si>
  <si>
    <t>Taxon -Lookup Picker in GRIN</t>
  </si>
  <si>
    <t>Re-identification</t>
  </si>
  <si>
    <t>Archived</t>
  </si>
  <si>
    <t>Accessions availablility comment</t>
  </si>
  <si>
    <t>Reply from seed requestor</t>
  </si>
  <si>
    <t>Accessions data was added</t>
  </si>
  <si>
    <t>Accessions data was deleted</t>
  </si>
  <si>
    <t>Directions for regeneration</t>
  </si>
  <si>
    <t>Only herbarium sample collected</t>
  </si>
  <si>
    <t>Locality not shown to the public</t>
  </si>
  <si>
    <t>Inactivated Accession</t>
  </si>
  <si>
    <t>New geographic data added</t>
  </si>
  <si>
    <t>Geographic data corrected</t>
  </si>
  <si>
    <t>Geographic data verified</t>
  </si>
  <si>
    <t>Passport locality from PIO books</t>
  </si>
  <si>
    <t>Observation data was deleted</t>
  </si>
  <si>
    <t>PASS_ADD</t>
  </si>
  <si>
    <t>Passport attention needed</t>
  </si>
  <si>
    <t>Brief passport check only</t>
  </si>
  <si>
    <t>Passport data corrected</t>
  </si>
  <si>
    <t>Initial passport data entered</t>
  </si>
  <si>
    <t>Passport data completed</t>
  </si>
  <si>
    <t>Passport data verified</t>
  </si>
  <si>
    <t>Passport data received from donor</t>
  </si>
  <si>
    <t>Skeleton passport record added</t>
  </si>
  <si>
    <t>PINUMBERED</t>
  </si>
  <si>
    <t>Reviewed latitude and longitude data.</t>
  </si>
  <si>
    <t>Site received the accessions</t>
  </si>
  <si>
    <t>Split into several accessions</t>
  </si>
  <si>
    <t>Accession split into sublines</t>
  </si>
  <si>
    <t>Backed up at Svalbard Global Seed Vault</t>
  </si>
  <si>
    <t>Changed the taxonomy or received</t>
  </si>
  <si>
    <t>Township collected</t>
  </si>
  <si>
    <t>Accession has site narrative</t>
  </si>
  <si>
    <t>Country and/or State</t>
  </si>
  <si>
    <t>Accession data was changed</t>
  </si>
  <si>
    <t>Duplicate Check</t>
  </si>
  <si>
    <t>Why duplicate accession</t>
  </si>
  <si>
    <t xml:space="preserve">Genetically engineered organism </t>
  </si>
  <si>
    <t>Latitude not shown on web</t>
  </si>
  <si>
    <t>Longitude not shown on the web</t>
  </si>
  <si>
    <t>Historic documents</t>
  </si>
  <si>
    <t>Latitude and Longitude on 2010</t>
  </si>
  <si>
    <t xml:space="preserve">Latitude and Longitude obtained </t>
  </si>
  <si>
    <t>Locality from IRRI</t>
  </si>
  <si>
    <t>Locality on 2010</t>
  </si>
  <si>
    <t>Description of NC7 ornamental trials</t>
  </si>
  <si>
    <t>Passport comment</t>
  </si>
  <si>
    <t>Passport file to view</t>
  </si>
  <si>
    <t>Photoperiod response</t>
  </si>
  <si>
    <t>Reactivated accession</t>
  </si>
  <si>
    <t>Seeds of Success</t>
  </si>
  <si>
    <t>PDF file of the passport data</t>
  </si>
  <si>
    <t>Transferred in from another site</t>
  </si>
  <si>
    <t>Transferred out to another site</t>
  </si>
  <si>
    <t>Universal transverse mercator</t>
  </si>
  <si>
    <t>Habitat not shown on web</t>
  </si>
  <si>
    <t>Information not yet publicly available</t>
  </si>
  <si>
    <t>IPR Distribution Permission Notes</t>
  </si>
  <si>
    <t>Longitude of the accession</t>
  </si>
  <si>
    <t>Summary of the ten year performance</t>
  </si>
  <si>
    <t>Observation data added</t>
  </si>
  <si>
    <t>Standard Material Transfer Agreement</t>
  </si>
  <si>
    <t>SOS Accession accepted</t>
  </si>
  <si>
    <t>Accessions is a Table Beet</t>
  </si>
  <si>
    <t xml:space="preserve">Taxonomic determination </t>
  </si>
  <si>
    <t>Non Genetically-Engineered Organism</t>
  </si>
  <si>
    <t>Unknown Genetically-Engineered Organism Status</t>
  </si>
  <si>
    <t>SLOPE Original Value</t>
  </si>
  <si>
    <t>ASPECT Original Value</t>
  </si>
  <si>
    <t>Soil TEXTURE Original Value</t>
  </si>
  <si>
    <t>Linum kingii</t>
  </si>
  <si>
    <t>(General remarks about Accession.)</t>
  </si>
  <si>
    <t>United States, Wyoming, Fremont</t>
  </si>
  <si>
    <t>United States, Oregon</t>
  </si>
  <si>
    <t>Sparsely Vegetated Grassland Slopes</t>
  </si>
  <si>
    <t>Comandra umbellata:Psoralidium lanceolatum:Yermo xanthocephalus:Astragalus spatulatus:Draba sp.</t>
  </si>
  <si>
    <t>Collectors: R. Cross, E. Freeland, D. Tevlin</t>
  </si>
  <si>
    <t>United States Forest Service (Bend)</t>
  </si>
  <si>
    <t>Bureau of Land Management, SOS project</t>
  </si>
  <si>
    <t>, , USDA-ARS, Western Regional Plant Introduction Station</t>
  </si>
  <si>
    <t>WY050-182</t>
  </si>
  <si>
    <t>, , Bureau of Land Management, SOS project</t>
  </si>
  <si>
    <t>LIKI2-SOS-WY050-182-FREMONT-18</t>
  </si>
  <si>
    <t>Seeds Of Success , , United States Forest Service (Bend)</t>
  </si>
  <si>
    <t>W6 57036</t>
  </si>
  <si>
    <t>Stout, Dave, USDA, ARS, WRPIS</t>
  </si>
  <si>
    <t>(Today's date)</t>
  </si>
  <si>
    <t>NAME</t>
  </si>
  <si>
    <t>Koeleria macrantha</t>
  </si>
  <si>
    <t>Ratibida columnifera</t>
  </si>
  <si>
    <t>Aristida purpurea</t>
  </si>
  <si>
    <t>Achnatherum hymenoides</t>
  </si>
  <si>
    <t>Elymus elymoides</t>
  </si>
  <si>
    <t>Leymus cinereus</t>
  </si>
  <si>
    <t>Linum lewisii</t>
  </si>
  <si>
    <t>Phacelia hastata</t>
  </si>
  <si>
    <t>Pseudoroegneria spicata</t>
  </si>
  <si>
    <t>Poa secunda</t>
  </si>
  <si>
    <t>Helianthus annuus</t>
  </si>
  <si>
    <t>Achillea millefolium</t>
  </si>
  <si>
    <t>Eriogonum heracleoides</t>
  </si>
  <si>
    <t>Eriogonum umbellatum</t>
  </si>
  <si>
    <t>Machaeranthera canescens</t>
  </si>
  <si>
    <t>COLL_DT</t>
  </si>
  <si>
    <t>ACC_NUM</t>
  </si>
  <si>
    <t>100-Seed Wt (G)</t>
  </si>
  <si>
    <t>PHYTOREGION: PHYTOREGION_FULL</t>
  </si>
  <si>
    <t>SUB_CNT3/GEOG_AREA/LOCALITY</t>
  </si>
  <si>
    <t>SOIL_TYPE</t>
  </si>
  <si>
    <t>Other : Silty Clay Loam</t>
  </si>
  <si>
    <t>Other : Sandy Clay Loam</t>
  </si>
  <si>
    <t>Other : Silty Clay</t>
  </si>
  <si>
    <t>Other : Clay Loam</t>
  </si>
  <si>
    <t>Other : Sandy Loam</t>
  </si>
  <si>
    <t>Other : Loamy Sand</t>
  </si>
  <si>
    <t>Other : Loam</t>
  </si>
  <si>
    <t>Other : loam</t>
  </si>
  <si>
    <t>Other : Sandy clay loam</t>
  </si>
  <si>
    <t>Other : Silty Loam</t>
  </si>
  <si>
    <t>Other : Silty loam</t>
  </si>
  <si>
    <t>Clay, Silt</t>
  </si>
  <si>
    <t>Other : Sandy loam</t>
  </si>
  <si>
    <t>: Sandy Loam</t>
  </si>
  <si>
    <t>: Loam</t>
  </si>
  <si>
    <t>COLLECTION_MISC</t>
  </si>
  <si>
    <t>SE</t>
  </si>
  <si>
    <t>NW</t>
  </si>
  <si>
    <t>E</t>
  </si>
  <si>
    <t>W</t>
  </si>
  <si>
    <t>NE</t>
  </si>
  <si>
    <t>SW</t>
  </si>
  <si>
    <t>S</t>
  </si>
  <si>
    <t>N, NE, E, SE, S, SW, W, NW</t>
  </si>
  <si>
    <t>N, NE</t>
  </si>
  <si>
    <t>5-10</t>
  </si>
  <si>
    <t>0-20</t>
  </si>
  <si>
    <t>2-5</t>
  </si>
  <si>
    <t>5-25</t>
  </si>
  <si>
    <t>COLLECTED_WITH</t>
  </si>
  <si>
    <t>DESCRIPTION</t>
  </si>
  <si>
    <t>Packera multilobata</t>
  </si>
  <si>
    <t>Penstemon osterhoutii</t>
  </si>
  <si>
    <t>Orthocarpus luteus</t>
  </si>
  <si>
    <t>Purshia tridentata</t>
  </si>
  <si>
    <t>Pascopyrum smithii</t>
  </si>
  <si>
    <t>Erigeron speciosus</t>
  </si>
  <si>
    <t>Hymenoxys hoopesii</t>
  </si>
  <si>
    <t>Heliomeris multiflora</t>
  </si>
  <si>
    <t>Mentzelia multiflora</t>
  </si>
  <si>
    <t>Ericameria nauseosa</t>
  </si>
  <si>
    <t>Asclepias speciosa</t>
  </si>
  <si>
    <t>Chrysothamnus viscidiflorus</t>
  </si>
  <si>
    <t>Puccinellia nuttalliana</t>
  </si>
  <si>
    <t>Angelica lineariloba</t>
  </si>
  <si>
    <t>Asclepias fascicularis</t>
  </si>
  <si>
    <t>Grindelia squarrosa</t>
  </si>
  <si>
    <t>Rumex hymenosepalus</t>
  </si>
  <si>
    <t>Typha latifolia</t>
  </si>
  <si>
    <t>Symphyotrichum ascendens</t>
  </si>
  <si>
    <t>Hordeum jubatum</t>
  </si>
  <si>
    <t>Symphyotrichum frondosum</t>
  </si>
  <si>
    <t>Atriplex canescens</t>
  </si>
  <si>
    <t>Rosa woodsii</t>
  </si>
  <si>
    <t>Atriplex canescens var. canescens</t>
  </si>
  <si>
    <t>Atriplex torreyi</t>
  </si>
  <si>
    <t>Pectis papposa</t>
  </si>
  <si>
    <t>Euthamia occidentalis</t>
  </si>
  <si>
    <t>Artemisia tridentata</t>
  </si>
  <si>
    <t>Schoenoplectus pungens var. longispicatus</t>
  </si>
  <si>
    <t>Triglochin maritima</t>
  </si>
  <si>
    <t>Pleuraphis jamesii</t>
  </si>
  <si>
    <t>Sphaeralcea parvifolia</t>
  </si>
  <si>
    <t>Sporobolus airoides</t>
  </si>
  <si>
    <t>Astragalus mollissimus</t>
  </si>
  <si>
    <t>Asclepias labriformis</t>
  </si>
  <si>
    <t>Cleome lutea</t>
  </si>
  <si>
    <t>Cleome serrulata</t>
  </si>
  <si>
    <t>Balsamorhiza incana</t>
  </si>
  <si>
    <t>Nothocalais troximoides</t>
  </si>
  <si>
    <t>Erigeron caespitosus</t>
  </si>
  <si>
    <t>Heterotheca villosa</t>
  </si>
  <si>
    <t>Sphaeralcea coccinea</t>
  </si>
  <si>
    <t>Balsamorhiza sagittata</t>
  </si>
  <si>
    <t>Lomatium dissectum</t>
  </si>
  <si>
    <t>Penstemon procerus</t>
  </si>
  <si>
    <t>CO932-397</t>
  </si>
  <si>
    <t>CO932-398</t>
  </si>
  <si>
    <t>CO932-399</t>
  </si>
  <si>
    <t>CO932-401</t>
  </si>
  <si>
    <t>CO932-402</t>
  </si>
  <si>
    <t>CO932-403</t>
  </si>
  <si>
    <t>CO932-404</t>
  </si>
  <si>
    <t>CO932-405</t>
  </si>
  <si>
    <t>CO932-406</t>
  </si>
  <si>
    <t>CO932-407</t>
  </si>
  <si>
    <t>CO932-408</t>
  </si>
  <si>
    <t>CO932-409</t>
  </si>
  <si>
    <t>CO932-410</t>
  </si>
  <si>
    <t>CO932-411</t>
  </si>
  <si>
    <t>CO932-412</t>
  </si>
  <si>
    <t>CO932-413</t>
  </si>
  <si>
    <t>CO932-414</t>
  </si>
  <si>
    <t>CO932-415</t>
  </si>
  <si>
    <t>CO932-416</t>
  </si>
  <si>
    <t>CO932-417</t>
  </si>
  <si>
    <t>CO932-419</t>
  </si>
  <si>
    <t>CO932-423</t>
  </si>
  <si>
    <t>CO932-424</t>
  </si>
  <si>
    <t>CO932-425</t>
  </si>
  <si>
    <t>CO932-426</t>
  </si>
  <si>
    <t>CO932-427</t>
  </si>
  <si>
    <t>CO932-428</t>
  </si>
  <si>
    <t>NV030-1506</t>
  </si>
  <si>
    <t>NV030-1507</t>
  </si>
  <si>
    <t>NV030-1508</t>
  </si>
  <si>
    <t>NV030-1509</t>
  </si>
  <si>
    <t>NV030-1510</t>
  </si>
  <si>
    <t>NV030-1511</t>
  </si>
  <si>
    <t>NV030-1513</t>
  </si>
  <si>
    <t>NV030-1515</t>
  </si>
  <si>
    <t>NV030-1517</t>
  </si>
  <si>
    <t>NV030-1519</t>
  </si>
  <si>
    <t>NV030-1520</t>
  </si>
  <si>
    <t>NV030-1521</t>
  </si>
  <si>
    <t>NV030-1522</t>
  </si>
  <si>
    <t>NV030-1523</t>
  </si>
  <si>
    <t>NV030-1524</t>
  </si>
  <si>
    <t>NV030-1525</t>
  </si>
  <si>
    <t>NV030-1526</t>
  </si>
  <si>
    <t>NV030-1527</t>
  </si>
  <si>
    <t>NV030-1528</t>
  </si>
  <si>
    <t>NV030-1529</t>
  </si>
  <si>
    <t>NV030-1530</t>
  </si>
  <si>
    <t>NV030-1531</t>
  </si>
  <si>
    <t>NV030-1532</t>
  </si>
  <si>
    <t>NV030-1534</t>
  </si>
  <si>
    <t>NV030-1535</t>
  </si>
  <si>
    <t>NV030-1536</t>
  </si>
  <si>
    <t>UT020-85</t>
  </si>
  <si>
    <t>UT020-86</t>
  </si>
  <si>
    <t>UT020-87</t>
  </si>
  <si>
    <t>UT020-88</t>
  </si>
  <si>
    <t>UT020-89</t>
  </si>
  <si>
    <t>UT020-90</t>
  </si>
  <si>
    <t>UT020-91</t>
  </si>
  <si>
    <t>UT020-92</t>
  </si>
  <si>
    <t>UT020-93</t>
  </si>
  <si>
    <t>UT020-94</t>
  </si>
  <si>
    <t>UT020-95</t>
  </si>
  <si>
    <t>UT020-96</t>
  </si>
  <si>
    <t>UT080-309</t>
  </si>
  <si>
    <t>UT080-310</t>
  </si>
  <si>
    <t>UT080-311</t>
  </si>
  <si>
    <t>UT080-313</t>
  </si>
  <si>
    <t>UT080-314</t>
  </si>
  <si>
    <t>UT080-317</t>
  </si>
  <si>
    <t>UT080-319</t>
  </si>
  <si>
    <t>UT080-320</t>
  </si>
  <si>
    <t>UT080-321</t>
  </si>
  <si>
    <t>UT080-322</t>
  </si>
  <si>
    <t>UT080-323</t>
  </si>
  <si>
    <t>UT080-324</t>
  </si>
  <si>
    <t>UT080-325</t>
  </si>
  <si>
    <t>UT080-326</t>
  </si>
  <si>
    <t>UT080-327</t>
  </si>
  <si>
    <t>UT080-329</t>
  </si>
  <si>
    <t>UT080-330</t>
  </si>
  <si>
    <t>UT080-336</t>
  </si>
  <si>
    <t>UT080-337</t>
  </si>
  <si>
    <t>UT080-338</t>
  </si>
  <si>
    <t>UT080-340</t>
  </si>
  <si>
    <t>UT080-342</t>
  </si>
  <si>
    <t>UT080-343</t>
  </si>
  <si>
    <t>UT080-344</t>
  </si>
  <si>
    <t>UT080-345</t>
  </si>
  <si>
    <t>UT080-348</t>
  </si>
  <si>
    <t>UT080-351</t>
  </si>
  <si>
    <t>UT080-352</t>
  </si>
  <si>
    <t>WY050-229</t>
  </si>
  <si>
    <t>WY070-76</t>
  </si>
  <si>
    <t>WY070-77</t>
  </si>
  <si>
    <t>WY070-78</t>
  </si>
  <si>
    <t>WY070-79</t>
  </si>
  <si>
    <t>WY070-80</t>
  </si>
  <si>
    <t>WY070-81</t>
  </si>
  <si>
    <t>WY070-82</t>
  </si>
  <si>
    <t>WY070-83</t>
  </si>
  <si>
    <t>WY070-84</t>
  </si>
  <si>
    <t>WY070-85</t>
  </si>
  <si>
    <t>WY070-86</t>
  </si>
  <si>
    <t>WY070-87</t>
  </si>
  <si>
    <t>WY070-88</t>
  </si>
  <si>
    <t>WY070-89</t>
  </si>
  <si>
    <t>WY070-90</t>
  </si>
  <si>
    <t>WY070-92</t>
  </si>
  <si>
    <t>WY070-93</t>
  </si>
  <si>
    <t>WY070-94</t>
  </si>
  <si>
    <t>WY070-95</t>
  </si>
  <si>
    <t>WY070-96</t>
  </si>
  <si>
    <t>WY070-97</t>
  </si>
  <si>
    <t>WY070-98</t>
  </si>
  <si>
    <t>WY070-99</t>
  </si>
  <si>
    <t>WY070-100</t>
  </si>
  <si>
    <t>WY070-101</t>
  </si>
  <si>
    <t>WY070-102</t>
  </si>
  <si>
    <t>WY070-103</t>
  </si>
  <si>
    <t>WY070-104</t>
  </si>
  <si>
    <t>WY070-105</t>
  </si>
  <si>
    <t>WY090-173</t>
  </si>
  <si>
    <t>WY090-175</t>
  </si>
  <si>
    <t>WY090-176</t>
  </si>
  <si>
    <t>WY090-178</t>
  </si>
  <si>
    <t>WY090-179</t>
  </si>
  <si>
    <t>WY090-180</t>
  </si>
  <si>
    <t>WY090-183</t>
  </si>
  <si>
    <t>WY090-184</t>
  </si>
  <si>
    <t>WY090-185</t>
  </si>
  <si>
    <t>WY090-186</t>
  </si>
  <si>
    <t>WY090-187</t>
  </si>
  <si>
    <t>WY090-188</t>
  </si>
  <si>
    <t>WY090-189</t>
  </si>
  <si>
    <t>WY090-190</t>
  </si>
  <si>
    <t>WY090-191</t>
  </si>
  <si>
    <t>WY090-192</t>
  </si>
  <si>
    <t>WY090-193</t>
  </si>
  <si>
    <t>WY090-194</t>
  </si>
  <si>
    <t>WY090-196</t>
  </si>
  <si>
    <t>WY090-197</t>
  </si>
  <si>
    <t>WY090-198</t>
  </si>
  <si>
    <t>WY090-199</t>
  </si>
  <si>
    <t>WY090-200</t>
  </si>
  <si>
    <t>WY090-201</t>
  </si>
  <si>
    <t>WY090-202</t>
  </si>
  <si>
    <t>Gardner, M., Varone, E.</t>
  </si>
  <si>
    <t>McCreary, M., Mahlmeister, K.</t>
  </si>
  <si>
    <t>McCreary, M., Mahlmeister, K., Tonenna, D.</t>
  </si>
  <si>
    <t>McCreary, M., Mahlmeister, K., McNeil, K., Siller, S.</t>
  </si>
  <si>
    <t>McCreary, M., Mahlmeister, K., Siller, S., McNeil, K.</t>
  </si>
  <si>
    <t>Mahlmeister, K., Siller, S., McNeil, K., McCreary, M.</t>
  </si>
  <si>
    <t>Mahlmeister, K., McCreary, M., Siller, S., McNeil, K.</t>
  </si>
  <si>
    <t>M. McCreary, K. Mahlmeister</t>
  </si>
  <si>
    <t>S. Siller, K. Mahlmeister</t>
  </si>
  <si>
    <t>M. McCreary, K. McNeil, S. Siller</t>
  </si>
  <si>
    <t>K. McNeil, M. McCreary, S. Siller</t>
  </si>
  <si>
    <t>K. McNeil, M. McCreary, S. Siller, K. Mahlmeister</t>
  </si>
  <si>
    <t>K. McNeill, M. McCreary, S. Siller, K. Mahlmeister</t>
  </si>
  <si>
    <t>K. Mcneill, M. Mccreary, S. Siller, K. Mahlmeister</t>
  </si>
  <si>
    <t>M. McCreary</t>
  </si>
  <si>
    <t>M. McCreary, K. Mahlmeister, S. Siller, K McNeill</t>
  </si>
  <si>
    <t>M. McCreary, K. Mahlmeister, S. Siller</t>
  </si>
  <si>
    <t>K McNeill, M McCreary, K Mahlmeister, S Siller</t>
  </si>
  <si>
    <t>Connor Desmond and Logan Vogel</t>
  </si>
  <si>
    <t>Connor Desmond, Logan Vogel, Karen Pollard, and Alex Hewitt</t>
  </si>
  <si>
    <t>Connor Desmond, Logan Vogel, Summer Traylor, and David Sauve</t>
  </si>
  <si>
    <t>Clark, M. Beale, A.</t>
  </si>
  <si>
    <t>Clark, M., Beale, A.</t>
  </si>
  <si>
    <t>Clark, M., Beale,A.</t>
  </si>
  <si>
    <t>Emma Freeland, Rebecca Cross, John Ference</t>
  </si>
  <si>
    <t>Miller, A; Arnold, A; Mirkes, M</t>
  </si>
  <si>
    <t>Boies, A., Grelecki, A.</t>
  </si>
  <si>
    <t>Boies, A., Grelecki, A</t>
  </si>
  <si>
    <t>21E:Southern Rockies (Omernik)</t>
  </si>
  <si>
    <t>13E:Central Basin and Range (Omernik)</t>
  </si>
  <si>
    <t>5E:Sierra Nevada (Omernik)</t>
  </si>
  <si>
    <t>80E:Northwestern Basin and Range (Omernik)</t>
  </si>
  <si>
    <t>20E:Colorado Plateau (Omernik)</t>
  </si>
  <si>
    <t>17E:Middle Rockies (Omernik)</t>
  </si>
  <si>
    <t>43E:Northwestern Great Plains (Omernik)</t>
  </si>
  <si>
    <t>18E:Wyoming Basin (Omernik)</t>
  </si>
  <si>
    <t>COUNTRY/SUB_CNT1/SUB_CNT2</t>
  </si>
  <si>
    <t>United States, Colorado, Grand</t>
  </si>
  <si>
    <t>United States, Colorado, Eagle</t>
  </si>
  <si>
    <t>United States, Colorado, Jackson</t>
  </si>
  <si>
    <t>United States, Colorado, Routt</t>
  </si>
  <si>
    <t>United States, California, Mono</t>
  </si>
  <si>
    <t>United States, Nevada, Washoe</t>
  </si>
  <si>
    <t>United States, Nevada, Lyon</t>
  </si>
  <si>
    <t>United States, Nevada, Churchill</t>
  </si>
  <si>
    <t>United States, Utah, Juab</t>
  </si>
  <si>
    <t>United States, Utah, Tooele</t>
  </si>
  <si>
    <t>United States, Utah, Box Elder</t>
  </si>
  <si>
    <t>United States, Utah, Unitah</t>
  </si>
  <si>
    <t>United States, Wyoming, Johnson</t>
  </si>
  <si>
    <t>United States, Wyoming, Campbell</t>
  </si>
  <si>
    <t>United States, Wyoming, Natrona</t>
  </si>
  <si>
    <t>United States, Wyoming, Washakie</t>
  </si>
  <si>
    <t>United States, Wyoming, Sheridan</t>
  </si>
  <si>
    <t>United States, Wyoming, Lincoln</t>
  </si>
  <si>
    <t>United States, Wyoming, Uinta</t>
  </si>
  <si>
    <t>BLM Area/ Dirt Road/ From Kremmling head east on Park Ave, turn left/north on 22nd St, continue on CO HWY 22 for 2.5 miles, turn left/west on dirt road about .25 miles, collected on both sides of the road</t>
  </si>
  <si>
    <t>BLM Area/ CO HWY 11/ Take CO Rd 1/Trough Rd, Turn right/west onto CO HWY 11 just past Radium River Access, stay on CO HWY 11 for about .5 miles, collection on both sides of road</t>
  </si>
  <si>
    <t>BLM area/ dirt two-track/ Going northeast on CO-14, turn southwest on 24 to Coalmont. Follow 24 for 7.2 miles and turn north on 5, take 5 for 0.7 miles on 5E. Take two-track northwest through shrubland. Follow two-tack for 0.16 miles. Population is on north and south sides of road.</t>
  </si>
  <si>
    <t>BLM area/ Dirt road/trail/ From Kremmling turn south on 6th st/HWY 9, follow for 2.3 miles to CO HWY 1/Trough Rd, turn west, follow for 7.4 miles to dirt road pull off on north side of road, park and walk road about 500 ft north west, population on both sides of road</t>
  </si>
  <si>
    <t>BLM Area/ Ridge Trail/ From Steamboat Springs take US-40W/S Lincoln Ave north, turn left/northwest onto 13th St, continue onto CO Rd 33, turn left/south onto CO Rd 45, for .9 miles to Emerald Mountain, park in the lot and walk up the multi-use trail, species is in lot and follows trails.</t>
  </si>
  <si>
    <t>BLM Area/ / From US-40E continue onto CO-134W, turn right/southwest onto COHWY19, continue on CO Rd185, turn right/northwest onto COHWY19/Forest Rd 100, turn right/north onto Forest Rd 101 and follow for about 3.8 miles to bottom of reservoir, park, walk across dirt road to trail, follow for 1.3 miles to GPS point.</t>
  </si>
  <si>
    <t>BLM Area/ / From Walden take CO125N about 10 miles up to JCR6W, take a right/east and follow road to North Sand Hills Park info stop, take a right/southeast and follow for about 1 miles, stay right and pass under powerlines .2 miles, take a left/north follow .2 miles to aspen stand</t>
  </si>
  <si>
    <t>BLM Area/ / From Walden head north on CO125N/CO14E for 10.6 miles, turn left/west on JCRD6W in Cowdrey, follow for 15.2 miles until GPS point. Park and stay to the right, species is along the ditch into the aspens about .3 miles</t>
  </si>
  <si>
    <t>BLM area/ Reservoir/ Going north on CO-125, turn west on County Rd 12 W. Turn north on Co Rd 15 to Walden Reservoir, follow for 1.1 miles and turn west on dirt road toward reservoir. Population is on on both sides of road and floodplain of reservoir.</t>
  </si>
  <si>
    <t>BLM area/ / Going south on US-40, turn east onto Co HWY 27/Forest Rd 103 to Chimney Rock. Follow for 8.6 miles. Pull off in the turn out to the west. Follow Lindsey Creek south west through National Forest on game trails for about 2 miles. Population is on south facing hillside on north side of creek.</t>
  </si>
  <si>
    <t>BLM area/ Trail/ From Wolford Reservoir Overlook, take US-40 south to CO-134. Turn west onto CO-134, follow for 2 miles. Turn west onto County Highway 19, follow for 3.8 miles where the road become Forest Road 100. Continue on 100. Turn northeast onto Forest Road 101 to Red Dirt Reservoir, follow 101 for 3.1 miles and take the first east turn toward the reservoir. Park at gate that leads out east over dam. Walk over dam and follow trail north around reservoir about 1.5 miles. Population is west of trail in aspen grove and sagebrush north and east of trees.</t>
  </si>
  <si>
    <t>BLM Area/ Dirt trail/ Take CO-14 E off Us-40 E, follow road about .5 miles, there are small pull-offs on either side of road, park car and go under fenced gate, follow game trails south up the hill about another .5 miles to GPS point</t>
  </si>
  <si>
    <t>BLM Area/ Dirt road, trail/ From Tabernash, head south on US-40E, turn left/east onto CO HWY 83, turn left/north onto CO Rd 84/FS 129, turn left/north onto Strawberry Rd, continue onto US Forest Service Road 2751 for about 2.4 miles to GPS point</t>
  </si>
  <si>
    <t>BLM area/ Dirt road/trail/ From Toponas going south CO-131, 2.4 miles after passing CO-134 turn off, turn into King Mountain Trailhead parking lot. Park and walk southwest up old dirt road about 0.55 miles where footpath head northwest off dirt road toward aspen grove. Population is about 0.2 miles down trail, on both sides of trail in sagebrush.</t>
  </si>
  <si>
    <t>BLM area/ Dirt road/trail/ From Tabernash going south on US-40, go east onto Co HWY 83. At the split go north on USFS 129/County Rd 84. Follow 84 for 0.8 miles and go west onto Strawberry Rd. Follow Strawberry Rd/USFS 2751 for 2.8 miles. Pull into camp spot on southwest side of road. Population is in field at campsite, along USFS 2751, and along trail that goes from campsite on east side of road. Trail runs parallel to 2751 and comes out at pull off to the east 0.6 miles from campsite.</t>
  </si>
  <si>
    <t>BLM area/ Dirt road/ Take CO-131 south from Toponas, turn south west on Colorado River Rd headed southwest toward Bond. Follow Colorado River Rd for 1 mile. Population is on northwest side of road on berm.</t>
  </si>
  <si>
    <t>BLM area/ OHV area/ From Cowdrey go north on 125, turn east onto 6E, follow 6E for 3.4 miles and turn southeast toward North Sand Hills. Continue southeast for 2.3 miles driving past the information center. Turn northeast up hill toward dunefield 0.8 miles past info center. Travel northeast up sandy road 0.24 miles until arriving at aspen grove camp site. Population is northeast and southeast of camp site/aspen grove in sagebrush shrubland.</t>
  </si>
  <si>
    <t>BLM Area/ / From US-40E/CO-14E intersection take CO-14E for 17.4 miles, turn right/east onto CO Rd 34, follow for about 3 miles, take a slight right/southeast and follow dirt road to GPS point. Population is in grassy fields</t>
  </si>
  <si>
    <t>BLM Area/ CO-131/ From Wolcott, follow CO-131 north to GPS point, about .4 miles. Collection is along ditch .4 miles up/west the road</t>
  </si>
  <si>
    <t>BLM Area/ Dirt road/ From Parshall take CO HWY 20 from US-40 E, follow for about 3.7 miles, park and walk to GPS point</t>
  </si>
  <si>
    <t>BLM area/ Dirt road/ From Coalmont on 26, take CO-14 southwest for 9 miles. Turn west onto dirt road with mailbox at the end running parallel to Lawrence Number 1 Ditch. Follow for 0.2 miles and veer south at split in road. Population is 0.15 miles down road, both northwest and southeast sides of road.</t>
  </si>
  <si>
    <t>BLM Area/ / Highway 9 to Williams Peak Rd/FS200, go through gate, follow dirt road about 1.5 miles to GPS point. Collected on right/south side continuing uphill</t>
  </si>
  <si>
    <t>BLM Area/ / From Kremmling head east on Park Ave/US-40, turn left/north onto 22nd St, continue onto CO HWY 22 for about 8.3 miles, turn left/north onto County Rd 2, follow for about 5.3 miles to GPS point</t>
  </si>
  <si>
    <t>BLM area/ Dirt road/ Take CO-131 south from Toponas, turn south west on Colorado River Rd, follow for 1.4 miles and turn north 8600. Follow 8600 for 0.4 miles taking the two-track northwest. Stop at Y. Population is about 0.1 miles on both west and east sides of ditch spreading up the hillsides.</t>
  </si>
  <si>
    <t>BLM Area/ / From Toponas, head south on CO-131 S, after about 2 miles take a right/west onto Colorado River Rd, follow for about 1.5 miles then take a right/north onto 8600, follow for about .4 miles, park and walk out to GPS point</t>
  </si>
  <si>
    <t>BLM Area/ / From Kremmling head south on CO-9S/6th St for about 2 miles, turn left/east onto CO HWY 33, follow for 6 miles to pull off on left/north, park and walk over to GPS point</t>
  </si>
  <si>
    <t>BLM Area/ Ridge Trail/ From Steamboat Springs take US-40W/S Lincoln Ave north, turn left/northwest onto 13th St, continue onto CO Rd 33, turn left/south onto CO Rd 45, for .9 miles to Emerald Mountain, park in the lot and walk up the multi-use trail, species is in lot and follows trails</t>
  </si>
  <si>
    <t>Inyo National Forest/ Mono Lake/ Grassy area near lakeshore. North of large rabbitbrush patch.</t>
  </si>
  <si>
    <t>Inyo National Forest/ Grant Lake/ End of service road. West of 158, drive to turnaround point, hike East towards Grant Lake Marina, between road and first "shelf"/plateau</t>
  </si>
  <si>
    <t>Inyo National Forest/ Mono Craters/ From 395 S, turn east onto HWY 120. Follow 120 for approx. 3 miles. Then turn left onto Mono Craters road. Follow dirt road for approx. 0.3 miles, keeping left at fork. Road ends in parking area. Follow hiking path around the mountain and up through the valley for approx. 1.5 miles, Plants are on either side of trail up and down slope.</t>
  </si>
  <si>
    <t>Washoe Lake State Park/ Miner's Mayhem parking lot/ West of Eastlake Blvd., off of County road 222. Around parking lot with mine maze and between this parking lot and the group area parking lot.</t>
  </si>
  <si>
    <t>/ / 136 E Walker Rd., Yerington, NV Farthest north pasture, road runs between properties, follow for 1/8 mile until secondary road on right; will see Showy under willow.</t>
  </si>
  <si>
    <t>Santa Margarita Ranch/ West pasture/ 136 E Walker Rd., Yerington, NV</t>
  </si>
  <si>
    <t>Washoe Lake State Park/ Sand dunes and playa lake area/ Park at Miner Mayhem play area, hike northwest towards sand dunes (~0.5 miles), species along both sand dunes</t>
  </si>
  <si>
    <t>Washoe Lake State Park/ Miner's Mayhem, sand dunes, playa lakes, Deadman's trail/ Park at Miner's Mayhem play area, hike northwest towards sand dunes, species is abundant</t>
  </si>
  <si>
    <t>Washoe Lake State Park/ Deadman's trail, Western shoreline/ Hike east on Deadman's trail about 100 yards until trail forks, cross stream on foot bridge on right, species southeast of foot bridge</t>
  </si>
  <si>
    <t>Washoe Lake State Park/ Deadman's Trail/ Take Deadman's Trail up to fork, go right, just after foot bridge, hike up hill about 200 feet. Sps on left.</t>
  </si>
  <si>
    <t>Washoe Lake State Park/ Deadman's trail/ Take deadman's trail, at fork, go right, hike ~100f up hill</t>
  </si>
  <si>
    <t>Washoe Lake State Park/ Playa lake area/ Park at miner's mayhem, walk toward sand dunes. species found around playa lake</t>
  </si>
  <si>
    <t>Washoe Lake State Park/ Playa Lake/ Park at miner mayhem, walk toward sand dunes. Species located between two sand dunes</t>
  </si>
  <si>
    <t>Washoe Lake State Park/ / From the group parking lot and restroom area, hike north along the lake shore for about 2 miles. Salt bush shrubs can be found on east facing slopes about 200 feet from lake shore</t>
  </si>
  <si>
    <t>Desatoya Mountains/ Smith Creek Ranch/ Take 722 for approximately 22.2 miles, take a left, drive 7.5 miles, keep left at fork, drive 6.7 miles, to homestead, keep straight for 4.8 miles to site, near wooden outhouse and dilapidated building</t>
  </si>
  <si>
    <t>Santa margarita ranch/ west pasture/ Park alongside fence, species is visible all over pasture. 136 E Walker Road, Yerington, NV</t>
  </si>
  <si>
    <t>McCarran Ranch Preserve/ 102 Ranch Trailhead/ Park at 102 Ranch Trailhead. Plants are directly behind the fence.</t>
  </si>
  <si>
    <t>McCarran Ranch Preserve/ 102 Ranch Trailhead/ Park at 102 Ranch Trailhead. Plants are directly behind fence.</t>
  </si>
  <si>
    <t>Fort Churchill St Park/ Off-Road Recreation Area/ Turn onto Simpson Road from Alt. 95. Follow dirt road for about 1/2 mile to open parking area. Plants are located between Park fence and the highway.</t>
  </si>
  <si>
    <t>Bedell Flats/ / Plants are found along the road.</t>
  </si>
  <si>
    <t>Santa Margarita Ranch/ / Santa Margarita Ranch service roads along river.</t>
  </si>
  <si>
    <t>Santa Margarita Ranch/ / Santa Margarita Ranch service roads along river</t>
  </si>
  <si>
    <t>Washoe Lake State Park/ / West of Eastlake Blvs off of 222. Park at Miner Mayhem play area. Plants are in all directions as dominant species.</t>
  </si>
  <si>
    <t>Inyo National Forest/ Mono Lake/ North side of riparian area/lakeshore. Near end of FS-2N19A.</t>
  </si>
  <si>
    <t>Inyo National Forest/ Mono Lake/ Grassy area near lakeshore, north of large rabbitbrush patch</t>
  </si>
  <si>
    <t>/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on this winding road for 3.5 miles, avoiding turning on any of the narrower, worse-quality roads on the way. Then, keep left on Pismire N Fork Rd and drive 2 miles further west to the collection site, which is marked by a fork in the road, where Pismire N Fork Rd and Pismire S Fork Rd split off. The surrounding sagebrush shrubland in this valley is the collection site.</t>
  </si>
  <si>
    <t>/ / From Salt Lake City, head west on I-80 for about 119 miles toward West Wendover, Nevada. Take exit 410 for US-93 Alt, take a left to cross south beneath the interstate, take an immediate left (east) on Wendover Blvd, drive a few blocks, and then an immediate right (south) onto US-93 Alt. Drive 25.6 miles south on US-93 Alt and then take a left (heading southeast) on Ibapah Rd. Follow Ibapah Rd for 16.4 miles, then turn left (southeast) onto Upper Gold Hill Rd. Drive 12 miles further southeast to the small town of Gold Hill, turn left (north) at the town, drive 0.7 miles, and then keep right (east) at the road junction just north of town. Next, drive 7.1 miles gradually curving southeast, stay right again at the next road junction heading straight south, and after driving for another 15.5 miles, take a right onto Snake Valley Road, continuing southwest through the Snake Valley. After another 10.1 miles, turn right onto Granite Creek Rd, and continue west for about 4 miles to a pull-over on the left alongside the riparian narrowleaf cottonwood forest. We collected seed in the sagebrush shrubland on the north and south side of this point along Granite Creek Rd.</t>
  </si>
  <si>
    <t>/ / From Salt Lake City, take I-80 west for 42.2 miles. Get off on exit 77 for state highway 196 towards Dugway. Follow UT-196 south for 17 miles and then turn right (west) onto an unpaved road marked by a wooden BLM sign. Drive 0.8 miles down this road before turning left and gradually curving southwest. After driving 12 miles, turn right and head west up into Rydalch Canyon. After driving about 3 miles, you will arrive at the Poa secunda collection site. Seed was collected from plants throughout the juniper forest ravines, sagebrush shrublands, and bluebunch wheatgrass slopes surrounding this point.</t>
  </si>
  <si>
    <t>/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toward the Thomas Range on this winding road for 3.5 miles, avoiding turning on any of the narrower, worse-quality roads on the way. Then, turn left (west) on Pismire N Fork Rd and drive 2 miles to the junction of Pismire N Fork Rd and Pismire S Fork Rd. Turn right here, heading northwest for about one mile. We collected seed from bluebunch wheatgrass along slopes in all directions from this point.</t>
  </si>
  <si>
    <t>Sawtooth National Forest/ Minidoka Ranger District/ From Salt Lake City, follow I-15 north about 71 miles and then keep left to follow I-84 northwest for another 37 miles. Take exit 5 to get onto UT-30, and follow this highway directly west for 15.8 miles. Then, stay right to continue west on UT-42 for 8.7 miles, crossing into Idaho. At this point, turn left to head straight west on East Naf Rd, and follow this road for 18 miles. Then, turn left to head south along S Yost Rd for 2.3 miles, crossing into Utah again. At the junction here, turn right to head straight south for 1.3 miles. Then, turn right again to head west and then south for a total of 1 mile, and then turn right again to head south for 6.1 miles into the Raft River Mountains, following Johnson Creek Road. At this point, turn right onto Johnson Creek Spur B Road, driving about 2 miles to the end of the road at a small meadow. The collection site is directly northwest of here, just outside of the Douglas fir forest along a dry slope with sheer rock cliffs.</t>
  </si>
  <si>
    <t>/ / From Salt Lake City, take I-80 west for about 63 miles and take exit 56. Turn left to head south underneath overpass and continue south on Aragonite Road for 2.3 miles toward the Clean Harbors Aragonite Incineration Facility. Near the gate of the facility, turn left to head southwest along Hastings Pass Road. Continue for 4.4 miles to Hastings Pass. Seeds were collected from plants on the slopes northeast of this point.</t>
  </si>
  <si>
    <t>/ / From Salt Lake City, follow I-15 north about 71 miles, and then keep left to follow I-84 northwest for another 37 miles. Take exit 5 to get onto UT-30, and follow this highway west and then southwest for 57.5 miles. At this point, turn right onto Immigrant Trail Road and follow it west for 2.1 miles. Then, turn right to head northwest on Ingham Pass Road for 6.6 miles. At this junction, stay left on Ingham Pass Road and continue west for 2.5 miles up to Ingham Pass. Here, turn right on N Ridge Road and drive 50 feet to reach the mountain meadow where we collected seed.</t>
  </si>
  <si>
    <t>/ / From the small town of Grouse Creek, UT, head northeast on Grouse Creek Rd for about 3.3 miles. Then, turn right, heading straight east and then north along Cotton Thomas Rd. Continue along this improved unpaved road for 8.3 miles before turning left onto another unpaved road at the top of a hill. Follow this road northwest toward Cotton Thomas Basin for just 0.4 miles. The collection site is the flat, open field of Leymus cinereus at the bottom of the canyon.</t>
  </si>
  <si>
    <t>/ / From the small town of Grouse Creek, UT, head northeast along Grouse Creek Rd. Stay left at the junction with Cotton Thomas Rd after 3.3 miles to continue heading north along Grouse Creek Rd. Follow this improved unpaved road for another 23.7 miles as it continues northwest and then north across the Idaho border. Then, turn right onto Birch Creek Rd and continue southeast along this unimproved unpaved road for about 6.2 miles to a pull-out on the north side of the road beside a dense cluster of Leymus cinereus. Seeds were collected from plants from this point in the canyon southeastward to the private property boundary. It is imperative to take the route described above, since the road east of our collection site is owned by a private mining company and is legally impassable.</t>
  </si>
  <si>
    <t>Sawtooth National Forest/ Minidoka Ranger District/ From Snowville, UT, head west on UT-30 for 16 miles and then continue straight onto UT-42, driving northwest for 8.7 miles, crossing the Idaho border. Then, turn left onto E Naf Rd S, heading west for 9.9 miles. Stay straight at the intersection here, following the main road northwest, then west, and then southwest for another 14 miles, crossing back into Utah. Then, turn left onto Yost Flats Rd, and follow it southeast and then straight south for a total of 3.4 miles. Finally, at this point, turn left onto another unpaved road and follow it south for 2.3 miles onto US Forest Service property. We collected seed from plants in dense clusters on both sides of Wildcat Creek.</t>
  </si>
  <si>
    <t>Sawtooth National Forest/ Minidoka Ranger District/ From Snowville, UT, head west on UT-30 for 16 miles and then continue straight onto UT-42, driving northwest for another 8.7 miles, crossing the Idaho border. Once here, take a left to head west on E Naf Rd S for 10 miles. Then, turn left, heading straight south for about 1 mile before turning right and heading straight west for 1 additional mile. Finally, take a left to head south and then southwest on One Mile Road for about 3.9 miles, entering US Forest Service property. Our collection site is on the south side of the road, in a small meadow where Leymus cinereus is the dominant species. We also collected from similar sites and scattered individuals alongside One Mile Road, east and west of this central site.</t>
  </si>
  <si>
    <t>Sawtooth National Forest/ Minidoka Ranger District/ From Snowville, UT, head west on UT-30 for 16 miles and then continue straight onto UT-42, driving northwest for another 8.7 miles, crossing the Idaho border. Once here, take a left onto E Naf Rd S and head west for 3.2 miles. Next, turn left to head south along Clear Creek Rd for 2.8 miles. Finally, turn right to stay on Clear Creek Rd, heading southwest for about 4.2 miles to the collection site. We collected seed from plants in an open meadow just north of the road from this point, as well as from individuals and small clusters of plants scattered alongside Clear Creek Road to the east and west.</t>
  </si>
  <si>
    <t>Old Bonanza Highway/ Oil well 150718/ East 11 mi. on hwy 40 from Jensen, take Old Bonanza Hwy south for 10.5 mi., turn left towards 150718, about 0.25m south from the dirt road, on cheatgrass covered hill.</t>
  </si>
  <si>
    <t>Walker Hollow/ Walker Hollow Road/ 22 miles S on highway 45 from Naples, approx 1 miles NE on oil road plants on either side on road</t>
  </si>
  <si>
    <t>Baser Wash/ Beaser Washington Road/ From Naples, 13 miles S on Highway 45, .5 mile W on Baeser Washington Rd plants north of road</t>
  </si>
  <si>
    <t>Old Bonanza Highway/ Oil well 150718/ From Vernal, ~24 miles E on Highway 40, 10.5 miles S on old Bonanaza Highway, ~1 miles SE on oil road in fields on S side of road</t>
  </si>
  <si>
    <t>Blind Draw/ Highway 40E/ ~22 miles E on highway 40 from Vernal, plants on south side of roadside</t>
  </si>
  <si>
    <t>Blind Draw/Cow Wash/ Highway 40E/ From Vernal, ~22 miles E on Highway 40 plants on S side of Highway</t>
  </si>
  <si>
    <t>Brough Reservoir/ Highway 88/ From Vernal, ~14 miles W on Highway 40, 3.8 miles S on Highway 88, plants west of highway on either side of turnoff to Brough reservoir</t>
  </si>
  <si>
    <t>Uintah Basin/ Baeser Washington Rd./ From Vernal, take hwy 45 S for 13 mi., turn W onto Beaser Washington Rd., cont. for 4 mi., cont. onto Stirrup Rd. for 4 mi. Along sandy plateau top near oil well rd 4304731787.</t>
  </si>
  <si>
    <t>Old bonanza highway/ roadside/ From Vernal, 24.4 miles E on H 40, 4 miles S on Old Bonanza Highway, plants lining both sides of road</t>
  </si>
  <si>
    <t>Red Cloud Loop Kiosk/ Highway 191/ From Vernal, take Hwy 191 N for 16 miles. Turn W onto FR 018. The pull off for Red Cloud Loop is immediately to the north, plants are abundant throughout meadow and nearby Aspen grove.</t>
  </si>
  <si>
    <t>Ouray Wildlife refuge/ Highway 88/ From Vernal, ~12.5 miles E on highway 40, 12.7 miles S on highway 88, plants in drainage area E oil wells</t>
  </si>
  <si>
    <t>Brough Reservoir/ Road 008PO6H/ From Vernal, ~12.5 miles E on highway 40, 3.8 miles S on highway 88, take the turn off W to Brough Reservoir, slight lefty at the fork, plants on either side of the road N of the reservoir</t>
  </si>
  <si>
    <t>12 mile wash/ 12 mile wash road/ From Vernal, take hwy 40 W for 10.5 mi., then turn south onto 12 Mile Washington Rd. Roadside plants on bare alkaline hill, W of rd 0.3 m south. UT State Trust Land parcel.</t>
  </si>
  <si>
    <t>Green River/ highway 45/ From Naples, turn south onto hwy 45. Cont. for 7.5 mi. past the Green River. Plants growing on sandy riparian hills just W of river crossing.</t>
  </si>
  <si>
    <t>Pelican Lake/ Oil pad road/ From Vernal, take hwy 40 W for 14 mi., then turn south onto rte 88 for 10 mi. Follow 7000 S west for 3 mi. turn south onto Pelican Lake / 2460 Rd. and follow it to the Pelican Lake Campground. Plants are scattered.</t>
  </si>
  <si>
    <t>Ashley National Forest/ Highway 191/ From Vernal, take Hwy 191 N for 17 miles. 1 mi. N of FR 018 to the W is a wet meadow</t>
  </si>
  <si>
    <t>Reader Creek/ Forest Road 48/ From Vernal, take Hwy 191 N for 21 miles. Turn E onto FR 048 / Limestone Rd towards Diamond Mtn. Follow for 1 mile; plants are beyond Aspen forest, N of rd. along a draw in a wet meadow with black sagebrush.</t>
  </si>
  <si>
    <t>Uinta Basin/ Baeser Washington Rd./ From Vernal, take hwy 45 S for 13 mi., turn W onto Beaser Washington Rd., cont. for 4 mi., cont. onto Stirrup Rd. for 4 mi. Along sandy plateau top near oil well rd 4304731787.</t>
  </si>
  <si>
    <t>Old Bonanza highway/ Roadside wash/ From Jensen, take hwy 40 E to Old Bonanza Hwy / 3150 Rd. for 11 mi. Travel S for 6.5 mi. Before Deadman Bench Divide is a wash to the E, from Pinyon-Juniper Hills. Populations occur along the newly burned wash.</t>
  </si>
  <si>
    <t>Old bonanza highway/ Deadman Bench Divide/ From Jensen, take hwy 40 E to Old Bonanza Hwy / 3150 Rd. for 11 mi. Travel S for 6.5 mi. Before Deadman Bench Divide is a wash to the E, from Pinyon-Juniper Hills. Populations occur along the newly burned wash.</t>
  </si>
  <si>
    <t>Old Bonanza Highway/ Deadman Bench Divide/ From Jensen, take hwy 40 E to Old Bonanza Hwy / 3150 Rd. for 11 mi. Travel S for 6.5 mi. Before Deadman Bench Divide is a wash to the E, from Pinyon-Juniper Hills. Populations occur along the newly burned wash.</t>
  </si>
  <si>
    <t>Red Wash/ Red Wash Road/ From Jensen at the Green River, travel 10 miles east on Hwy 40. Population is scatttered along either roadside.</t>
  </si>
  <si>
    <t>Red Wash/ Red Wash Rd/ From Jensen, take Hwy 40 east, turn south onto Red Wash Road and continue for 7 miles. Plants are along the E side of the road.</t>
  </si>
  <si>
    <t>Pelican Lake/ Pelican Lake Campground entrance/ From Vernal, 12.4 miles W on Highway 40/191, 7 miles S on Highway 88, right onto 5500 S for 2.2 miles, left onto 14500E for 1.5 miles continuing onto Pelican Lake road towards the campground. Plants on either side of road</t>
  </si>
  <si>
    <t>Snake John Reef/ Highway 40/ From Vernal, ~30 miles E on highway 40 plants south of roadside near CO border</t>
  </si>
  <si>
    <t>Glen Bench/ Glen Bench/oil Road/ From Naples, 20 mi S on hwy 45, 8 mi W on Glen Bench rd., right (N) onto oil road for .5-1 mile, plants lining roadside</t>
  </si>
  <si>
    <t>Cottonwood Wash/ Seep Ridge Road/ From Vernal, 12 miles W to Highway 88, 36 miles S on Highway 88/Seep Ridge Rd, plants on either side of highway</t>
  </si>
  <si>
    <t>Musket Shot Springs/ Hwy 40/overlook/ From Vernal, 20 miles E on hwy 40 to Musket Shot Springs overlook. Plants on roadside</t>
  </si>
  <si>
    <t>BLM Lander Field Office/ Red Canyon ACEC/ Barrett Cree, approximately 1 air mile northwest of Pine Spring in T31N R99W sec. 31, SE 1/4.</t>
  </si>
  <si>
    <t>Bighorn National Forest/ Circle Park/ From Buffalo BLM field office, travel West on Hwy 16 for 13.4 miles, then turn right onto Circle Park Road for .2 miles. Collection was taken on hills within 200 feet of road on both sides, and in flat area near first campsites as you continue on road for 0.5 miles.</t>
  </si>
  <si>
    <t>Burnt Hollow/ Cedar Draw/ From I-90, take exit 124 and turn north on WY50/Skyline Drive and continue .3 miles to the intersection with Hwy 14/16/59. Turn left onto highway 14/16/59 and travel 6.8 miles toward Gillete Regional Airport. When routes divide, turn right onto Highway 59 North. Continue along Highway 59 for 13.4 miles, and turn right into parking area for South BLM unit. Collection occurred within 1000 ft NE of parking area.</t>
  </si>
  <si>
    <t>N/A/ Cut Across Road/ From I-90, take exit 102 toward Barber Creek Road, and head south on Barber Creek road for about 1.8 miles. Turn right (headed southwest) onto Buffalo Cut-Across Road/Schoonover Road and continue for 5.1 miles. Plants collected within 0.2 square miles of the road on both sides.</t>
  </si>
  <si>
    <t>Thunder Basin National Grassland/ N/A/ From Wright, head south on WY-59/Douglas Hwy. Turn Left to go East onto WY-450 E for 15.5 miles. Turn Right (South) onto School Creek Road and follow road for 5.75 miles. The collection area is on the left (Northeast) side of the road, before the rock cairn on the hilltop, past the barbed wire fence approximately 100 ft.</t>
  </si>
  <si>
    <t>Dry Creek Petrified Tree Environmental Education Area/ N/A/ To access the area from Interstate 90, take the Red Hills/Tipperary Road (Exit 65). Cross under the interstate and head northeast on Tipperary Road for 6 miles. Turn left onto the Petrified Tree access road, directly across the road from a ranch house. This two-track will cross a cattle guard and continue about 0.6 mile to the parking area. Walk along trail to GPS point, on downhill side of trail.</t>
  </si>
  <si>
    <t>/ Schoonover Road/ From Buffalo, head east on I90 E for about 19 miles, then exit Southeast onto Schoonover road, and continue for 8.9 miles. Turn South, passing through a cattle gate then stay right. Turn left off gravel road onto dirt road and continue to point. Plants collected on both sides of road within 500 feet.</t>
  </si>
  <si>
    <t>/ / From the town of Buffalo, drive about 19 miles Southeast on I90 E, take exit 77 onto Dry Creek Road. Head Northwest on Dry Creek Road for 2.1 miles, then turn right through the gate and continue about 0.3 miles to site. Collection within 100 feet on both sides of road.</t>
  </si>
  <si>
    <t>/ TW Road/ From Buffalo, WY, follow I-90 Business Loop east for three miles to 204/TW road. Take TW road for 10 miles east. Seeds collected within three acres of the road on the north side.</t>
  </si>
  <si>
    <t>Middle Fork Powder River Management Area/ Outlaw Cave/ From Interstate 90, take exit 254 for Kaycee. Head west on Highway 191 for about 1 mile. Turn left onto Highway 190W for about 16 miles to Barnum. Turn left onto Bar C Road and continue for 21.1 miles (following signs for Middle Fork Powder River Management Area) . This road is an improved all-weather access road and travels directly through the headquarters of the Hole-in-the-Wall ranch. Collection was taken just past the fence entrance within 200 feet of either side of road, along 500 feet of road.</t>
  </si>
  <si>
    <t>/ Schoonover Road/ From Buffalo, head east on I90 E for about 19 miles, then exit Southeast onto Schoonover road, and continue for 13.1 miles. Collection taken within 200 feet of both sides of the road.</t>
  </si>
  <si>
    <t>Thunder Basin National Grassland/ N/A/ From Wright, head south on WY-59/Douglas Hwy. Turn Left to go East onto WY-450 E for 15.5 miles. Turn Right (South) onto School Creek Road and follow road for about 8.6 miles to T intersection, then turn right and continue for about 1000 ft. Collections took place on both sides of road. Collections within 300 feet on the South side of road, and on North side of road from flat grassy area continuing to the top of the plateaus and hillslopes.</t>
  </si>
  <si>
    <t>/ McDougal Gulch/ From Casper, head Southwest on WY-220 for about 48 miles. Turn right (Northwest) onto N Dry Creek Road and continue for 17 miles. Turn right onto dirt road and continue across bridge at McDougal Gulch. Park in parking area. Seed collected from 10 acres to the east of the road.</t>
  </si>
  <si>
    <t>Robert's Draw/ Rd 321/ From Casper, head Southwest on WY-220 W for about 48 miles. Turn right (Northwest) onto N Dry Creek Road for 7.4 miles. As you approach the large rock formations, several hundred feet after passing through a cattle gate, turn left onto a two track leading towards the rock formations. Drive until you reach the rocks, and collect plants on East side of rock faces.</t>
  </si>
  <si>
    <t>N/A/ Long Canyon Road/ From Hwy 25, about 19 miles south of Kaycee, take exit 235 onto Tisdale Mountain Road heading SW. Drive 0.4 miles and turn left to continue on Tisdale Mountain Road for 0.1 miles, then continue onto Long Canyon Road for 2.4 miles. Collected immediately along both sides of the road for 1 mile.</t>
  </si>
  <si>
    <t>Gardner Mountain/ Slip Road/ From Kaycee, head Northwest on WY-191 N for 14 miles, then take a slight left (West) onto Slip Road for 1.4 miles. Collection taken on North side of road up to fenceline.</t>
  </si>
  <si>
    <t>/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 along trail and throughout large clearing on hillside, continuing along ridge.</t>
  </si>
  <si>
    <t>Thunder Basin National Grassland/ Weston Hills/ From Gillette, head north on US-14 W for 8 miles, then turn right (East) onto WY-59 N for 25 miles. Turn West on road across from Heald Road, and drive for about 1 mile until you reach a parking area with a pit toilet on left. Plants collected around the pond area and within 400 feet of fence to the Southeast.</t>
  </si>
  <si>
    <t>/ Burnt Hollow/ From Gillette, head north on US-14 W for 8 miles. When routes divide, turn right onto Highway 59 North. Continue along Highway 59 for 13.4 miles, and turn right into parking area for South BLM unit, signs for Burnt Hollow. Collection taken mostly along dry creekbed areas.</t>
  </si>
  <si>
    <t>Middle Fork Powder River Management Area/ Outlaw Cave/ From the I25 exit in Kaycee, head west on Highway 191 for about 1 mile. Turn left onto Highway 190W for about 16 miles to Barnum. Turn left onto Bar C Road and continue for 23.15 miles (following signs for Middle Fork Powder River Management Area) . This road travels directly through the headquarters of the Hole-in-the-Wall ranch. The collection was to the north/northeast side of the road, mostly in a rocky reclaimed old road, and continued along the old road for about a half mile.</t>
  </si>
  <si>
    <t>/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t>
  </si>
  <si>
    <t>Gardner Mountain/ Near Gardner Mountain Trail Head/ From Buffalo, head west on US-16 W for about 27 miles, then turn south onto Hazelton Road for 20 miles. Go straight to continue on Slip Road for 8.1 miles. Turn south onto a rough two-track, and follow two-track to left (before parking sign) to get to the collection area. Collect for several hundred feet on both sides of road.</t>
  </si>
  <si>
    <t>Mosier Gulch/ Clear Creek Trail/ From Buffalo, head west onto US-16W for about 5 miles. Turn left (South) into Mosier Gulch Recreation Area. Drive all the way to the end of the road and park near turnaround. Walk over wooden bridge crossing creekbed, and collect in area within 100 feet of both sides of the trail.</t>
  </si>
  <si>
    <t>Gardner Mountain/ Slip Road/ From Kaycee, take WY-191 N for 12 miles. Continue straight on Mayworth Road for 3 miles, and slight left onto Slip Road for 8.5 miles. Collections occurred on both sides of the road for approximately 600 feet.</t>
  </si>
  <si>
    <t>Burnt Hollow/ / From Gillette, head north on US-14 W for 8 miles, then turn Northeast onto WY-59 N for 16 miles. Turn right onto Oil Field Road, into parking lot. Park near gate, and collect in the grassy area Southwest of the parking area, in moist depressions and channels.</t>
  </si>
  <si>
    <t>Poison Creek Trail/ /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t>
  </si>
  <si>
    <t>Bighorn National Forest/ Steamboat Point Trail/ From Sheridan, take I-90 W for 14.5 mi. Take exit for US-14 W towards Dayton, and follow for 19.3 miles. Parking area for Steamboat Point Trail located on right (north) side of road. Collection took place on slope following the trail, approximately 800 feet from the parking lot.</t>
  </si>
  <si>
    <t>Tie Hack Recreation Area/ / From Buffalo, head west on US-16 W for about 15 miles. Turn left (South) onto Tie Hack Road for 0.6 miles, then veer left to stay on Tie Hack Road for another mile until you reach the parking area nearest the reservoir. Follow the trail along the north side of the lake for 1500 feet, collecting near trail between the water and treeline.</t>
  </si>
  <si>
    <t>Bighorn National Forest/ Steamboat Point Trail - #630/ From Sheridan, take I-90 W for 14.5 mi. Take exit for US-14 W towards Dayton, and follow for 19.3 miles. Parking area for Steamboat Point Trail located on right (north) side of road. Collection took place on slope following the trail, approximately 800 feet from the parking lot.</t>
  </si>
  <si>
    <t>BLM/ / From Alt30/189 Junction in Kemmerer, take 189 N 5 miles, turning NW on County Road 306 (CR 306). In .1 miles bear W at fork onto Farm Field Road. At next immediate junction, bear W again for 1.18 miles. Take two-track bearing E/NE for .09 miles.</t>
  </si>
  <si>
    <t>/ / From Cokeville, WY, take HWY 232 N/NE 5.3 miles; turn NE onto a gravel road that crosses a cattle guard. Follow this road for 1.5 miles, where meets another gravel road going E, follow for 1.7 miles. After the fence line in about .2 miles is a fork, bear SE following this two-track .7 miles. At this junction head north until the road ends. From there it is roughly .5 miles down the mountain on foot.</t>
  </si>
  <si>
    <t>BLM/ / From 30/189 split in Kemmerer, travel .75 miles, turning onto WY-233N. Turn NW on Dempsey road in 3.8 miles. Follow Dempsey road for 4.94 miles. Turn N onto a two-track, follow for .26 miles. At this point you will turn W/NW onto another two-track for .17 miles.</t>
  </si>
  <si>
    <t>/ / From Junction of WY089 and US30 follow US30 East toward Kemmerer for 4.9 miles, at turn off there is a large fence, turn South at underpass across the train tracks, continue through hunt area 6 , at 41.76838, -110.89066 bear NE at fork for about 2 miles, turn South on 2 track for 0.5 miles.</t>
  </si>
  <si>
    <t>/ / From Alt30/189 Junction in Kemmerer, take 189 N 5 miles, turning NW on County Road 306 (CR 306). Follow CR306 for 9.3 miles. Bear left at fork for .25 miles, turn W onto two-track for .15 miles or until it ends. Collection site is .15 miles to the N.</t>
  </si>
  <si>
    <t>/ / From Alt30/189 Junction in Kemmerer, take 189 5 miles, turning NW on County Road 306 (CR 306). Follow CR306 for 9.3 miles. Bear left at fork and follow for 2.9 miles. At fork, bear West (left) for .4 miles.</t>
  </si>
  <si>
    <t>/ / From Alt30/189 Junction in Kemmerer, take 189 N 5 miles, turning NW on County Road 306 (CR 306). Follow CR306 for 9.3 miles. Bear left at fork and follow for 2.9 miles. At fork, bear West (left) for .4 miles.</t>
  </si>
  <si>
    <t>/ / From Alt30/189 Junction in Kemmerer, take 189 N/NE 5 miles, turning NW on County Road 306 (CR 306). Follow CR306 for 9.3 miles. Bear left at fork and follow for 2.9 miles. Almost immediately after, in .07 miles take the two-track on the left (heading SW), follow for 3 miles.</t>
  </si>
  <si>
    <t>/ / From Junction of WY089 and US30 follow US30 East toward Kemmerer for 4.9 miles, at turn off there is a large fence, go under the under pass heading north. Stay on this road for 1.5 miles, at fork bear W for 1.25 miles.</t>
  </si>
  <si>
    <t>/ / From Alt30/189 junction in Kemmerer, take 189 N/NE for 11.9 miles. Turn north onto gravel road, follow for about .4 miles.</t>
  </si>
  <si>
    <t>/ / From Alt30/189 Junction in Kemmerer, take 189 N 5 miles, turning NW on County Road 306 (CR 306). Follow CR306 for 9.3 miles. Bear left at fork for .3 miles. Collection took place on both sides of road, but most abundant on E side on hill sides.</t>
  </si>
  <si>
    <t>/ / Follow HWY 232 N from Cokeville for 12.25 miles. Turn E/NE onto a gravel road and follow for .74 miles. There is a dirt two track that cross a stream, this road goes E. Follow for .12 miles until you have crossed onto BLM.</t>
  </si>
  <si>
    <t>/ / From the junction of HWY30 and Co Rd 300 travel E for 1.69 miles. Travel N/NW for 1.28 miles, at this junction bear N. Travel for 1.75 miles on this road to get to collection area.</t>
  </si>
  <si>
    <t>/ / From the junction of HWY30 and Co Rd. 300, travel E on Co Rd 300 for 1.69 miles. Travel N/NW for 1.28 miles, at this junction bear N. Travel for 1.75-2 miles on this road to get to collection area.</t>
  </si>
  <si>
    <t>/ / From Cokeville, WY follow HWY 232 N/NE for 2.98 miles. Turn E onto Co. Rd 204 following the sign for Pine Creek Ski Resort. Follow for CR 204 for 4.33 miles. Collection area is around the vehicle pullout.</t>
  </si>
  <si>
    <t>/ / Traveling E on I-80 from the UT/WY border, take exit 66. Follow the exit to merge onto US HWY 30, heading N for 11 miles (from the exit). Turn E onto a gravel road and stay on this road (across the train tracks) for 2.88 miles. Turn E at the junction and follow for 2 miles. Turn S for .5 miles. Collection area is in area to the S of the oil pad on foot.</t>
  </si>
  <si>
    <t>/ / From Evanston, WY traveling E on I-80 take exit 30, turn S onto Co. Rd 173 for 6.76 miles. At this junction turn S/SE onto Co. Rd. 204 for 7.75 miles. Turn S/SW onto Co. Rd 271 and follower for 15.13 miles. At this point there is a two-track dirt road to the E that leads to a camping area. It is in and around here that the collection was made.</t>
  </si>
  <si>
    <t>/ / From Kemmerer travel North on Hwy 189 for 9.5 miles, turn South (right) onto the BLM road for around 0.4 miles</t>
  </si>
  <si>
    <t>Silt, Other : loam</t>
  </si>
  <si>
    <t>Clay, Other : loam</t>
  </si>
  <si>
    <t>Clay, Silt, Other : loam</t>
  </si>
  <si>
    <t>Silt, Sand</t>
  </si>
  <si>
    <t>Other : Silty clay loam</t>
  </si>
  <si>
    <t>Silt : Silty Clay</t>
  </si>
  <si>
    <t>Clay, Silt : silty-clay</t>
  </si>
  <si>
    <t>Sand : sandy loam</t>
  </si>
  <si>
    <t>Clay, Sand : sandy clay</t>
  </si>
  <si>
    <t>Sand, Other : gravel</t>
  </si>
  <si>
    <t>Sand : loamy sand</t>
  </si>
  <si>
    <t>Silt, Sand : gravel/asphalt</t>
  </si>
  <si>
    <t>Clay, Sand</t>
  </si>
  <si>
    <t>Clay, Silt : silty clay loam</t>
  </si>
  <si>
    <t>Clay, Silt : gravel</t>
  </si>
  <si>
    <t>Clay, Sand : sandy clay loam</t>
  </si>
  <si>
    <t>Sand : Sandy loam</t>
  </si>
  <si>
    <t>Clay, Silt : silty clay</t>
  </si>
  <si>
    <t>: Clay Loam</t>
  </si>
  <si>
    <t>15-30</t>
  </si>
  <si>
    <t>10-30</t>
  </si>
  <si>
    <t>3-13</t>
  </si>
  <si>
    <t>3-15</t>
  </si>
  <si>
    <t>0-19</t>
  </si>
  <si>
    <t>0-23</t>
  </si>
  <si>
    <t>2-10</t>
  </si>
  <si>
    <t>1-11</t>
  </si>
  <si>
    <t>0-25</t>
  </si>
  <si>
    <t>4-20</t>
  </si>
  <si>
    <t>0-1</t>
  </si>
  <si>
    <t>3-17</t>
  </si>
  <si>
    <t>0-17</t>
  </si>
  <si>
    <t>0-4</t>
  </si>
  <si>
    <t>0-13</t>
  </si>
  <si>
    <t>0-27</t>
  </si>
  <si>
    <t>8-15</t>
  </si>
  <si>
    <t>5-16</t>
  </si>
  <si>
    <t>3-20</t>
  </si>
  <si>
    <t>0-2</t>
  </si>
  <si>
    <t>SW, W</t>
  </si>
  <si>
    <t>E, SE</t>
  </si>
  <si>
    <t>E, S</t>
  </si>
  <si>
    <t>NE, S</t>
  </si>
  <si>
    <t>NE, W</t>
  </si>
  <si>
    <t>SE, S</t>
  </si>
  <si>
    <t>Leaves alternate, obovate to oblanceolate, deeply pinnatifid. Corymb-like clusters, yellow disks, involucre bracts</t>
  </si>
  <si>
    <t>Violet blue flowers, cylindrical inflorescence, densely paniculate with many flowers, staminode barely exerted, densely short bearded at apex, leaves ovate, glabrous/glaucous</t>
  </si>
  <si>
    <t>flowers: yellow, partly covered by calyx; leaves: sessile, lanceolate, purple to reddish, green toward top of stem; stem: red to purple</t>
  </si>
  <si>
    <t>petals: 5, white to light yellow; sepals: 5, light green; leaves: green tometose on adaxial surface, witish tometose on abaxial surface, alternate, simple, 3 lobed at apex; fruit: ovoid achene, papery brown outer, with reddish purple seed inside</t>
  </si>
  <si>
    <t>Culms erect, sheaths open, blades flat to in-rolled, rigid upper surface striate, inflorescence erect terminal spike, spikelet tightly overlapped</t>
  </si>
  <si>
    <t>Erect stems, cauline leaves oblanceolate to ovate, glabrous, involucre glandular, flowers in terminal groups, blue violet rays, yellow disks</t>
  </si>
  <si>
    <t>Stems glabrous to hairy, leaves basal, oblong ovate, gray-green, umbellate inflorescence, subtended by a whorl of leaf-like bracts, involucre cone to bell shaped, tepals yellow</t>
  </si>
  <si>
    <t>inflorescence: purple at tips, green at base, culms erect to spreading; blades: flat to slightly rolled</t>
  </si>
  <si>
    <t>flowers: light purple ray, yellow disc; leaves: alternate, slightly toothed, sessile, lanceolate, pubescent; stems: green, pubescent</t>
  </si>
  <si>
    <t>flowers: dark yellow to orange ray and disc flowers, ray flowers drooping and 2 lobed at apex; inflorescence: branching with solitary heads; leaves: dense basal rosette, leaves up stem alternate, pubescent; stem: pubescent, red at base becoming green at top</t>
  </si>
  <si>
    <t>Stems branching, leaves linear to ovate, short hairy, singular flower heads, yellow ray flowers, yellow disk flowers</t>
  </si>
  <si>
    <t>flowers: light purple ray, yellow disc; leaves: alternate, slightly toothed, sessile, oblanceolate, pubescent; stems: green, pubescent</t>
  </si>
  <si>
    <t>flowers: yellow, partly covered by calyx; leaves: sessile, lanceolate, purple to reddish, green toward top of stem, pubescent; stem: red to purple, pubescent; seed pods: brown and dry if mature, green when immature</t>
  </si>
  <si>
    <t>flowers: yellow petals, orange-yellow sepals; leaves: linear on stem and lobed at base, hirsute; stem: brownish red, hirsute, highly branched</t>
  </si>
  <si>
    <t>flowers: yellow disc, lacking rays, terminal cymose clusters; leaves: sage/green leaves, tomentose, sessile, alternate; stem: green at top, turning gray, flaky and woody with age</t>
  </si>
  <si>
    <t>Culms erect to spreading, sheaths open, glabrous to pubescent, purplish, blades flat to folded to in-rolled, ascending, inflorescence compact to open, entire rachis disarticulate, fading to straw</t>
  </si>
  <si>
    <t>Unbranched erect stem, leaves opposite, larger, lance-ovate, pubescent, solitary umbels, dense white pubescent, terminal, corolla pink-cream, horns present</t>
  </si>
  <si>
    <t>Tan/gray flaky bark, leaves opposite, sessile, twisted, flower dense panicle above leaf, 3-5 bracts, tips acute to obtuse/round, imbricate, sticky, disk flowers yellow</t>
  </si>
  <si>
    <t>Flexible, dense tomentum, white-greenish stems, leaves linear, alternate, crowded terminal cymose clusters, involucre strongly imbricate, ray flowers yellow</t>
  </si>
  <si>
    <t>flowers: disc bright yellow, lacking rays, 1-3 florets per head; leaves: alternate, sessile, twisted; stem: brown and flaky at base and green at top</t>
  </si>
  <si>
    <t>Silky tomentose throughout vegetative parts, leaves 3-lobed at tip, wedge shaped at base, floral erect, dense narrow panicles, rays lacking, disks yellow</t>
  </si>
  <si>
    <t>Very low growing aster with yellow flowers</t>
  </si>
  <si>
    <t>Grows in tufts with 1- 10 inflorescences per plant. Some stems still had reddish tint at the time of seed collection. Many individuals' growth stunted by drought and many individuals produced no reproductive shoots this year.</t>
  </si>
  <si>
    <t>Grows in tufts with 1- 10 inflorescences per plant. Some stems still had reddish tint at the time of seed collection. Individuals located along dry stream beds seemed to have the greatest amount of seed production.</t>
  </si>
  <si>
    <t>Grows in tufts with 1- 10 inflorescences per plant. Some stems still had reddish tint at the time of seed collection. Individuals located along dry stream beds seemed to have the greatest amount of seed production. Individuals higher on slopes appeared to have stunted reproductive growth, likely due to drought.</t>
  </si>
  <si>
    <t>Perennial bunchgrass forming expansive populations, with individuals generally spaced apart evenly covering entire slopes. Awns at 90 degrees from shoot axis. Many plants lacking reproductive shoots this year due to drought, with seed production mostly limited to areas surrounding dry stream beds and ravines.</t>
  </si>
  <si>
    <t>Perennial bunchgrass growing in tufts with a reddish tint or golden hue to stems. Specimens here were relatively tall and healthy, growing along a south-facing slope within the Raft River Mountains. Extremely dense population, dominating the landscape at the upper elevations of the slope.</t>
  </si>
  <si>
    <t>Perennial bunchgrass with narrow spike inflorescence, forming expansive populations with individuals generally spaced apart evenly, covering entire slopes. Awns at 90 degrees from shoot axis. Reproductive growth only moderately limited by drought this year, with most seed production occurring on plants growing in valley bottoms and surrounding toe-slopes.</t>
  </si>
  <si>
    <t>Perennial bunchgrass with narrow panicle inflorescence, growing in tufts with a reddish tint or golden hue to stems. Plants in this population were relatively tall for Sandberg Bluegrass in the West Desert of Utah, since they were growing in a wet mountain meadow. Poa secunda was the dominant grass in the small area where we collected.</t>
  </si>
  <si>
    <t>Perennial bunchgrass forming tall, sprawling clumps with numerous inflorescences. Plant height averaged 5 ft and plants here appeared healthy, but cattle grazing was particularly heavy in the area, so most of the plants had been trampled upon and chewed down. Population densest in the flat, open, wet bottom of the canyon, and sparser along the drier surrounding toe-slopes.</t>
  </si>
  <si>
    <t>Perennial bunchgrass forming tall, sprawling clumps with numerous inflorescences. Plant height averaged 4.67 ft and plants retained most of their inflorescences, despite trampling and heavy grazing by cattle in the area. Population densest in flat, open sites at the bottom of the canyon. At the time of seed collection, the lower leaves of most plants were completely dried up, while upper leaf blades were light green in color.</t>
  </si>
  <si>
    <t>Perennial bunchgrass forming tall, sprawling clumps with numerous inflorescences. Plant height averaged 4.5 ft and plants appeared healthy, but many plants in this area produced few or no reproductive shoots this year. Plants were present in flat, open areas directly alongside Wildcat Creek, but also along dry drainage paths relatively far from the creek. Most of the plants we collected seed from were located on rather dry, sloped sites, with their lower leaf blades dried up at the time of collection.</t>
  </si>
  <si>
    <t>Perennial bunchgrass forming tall, sprawling clumps with numerous inflorescences. Plant height averaged 4.67 ft in this area, with most individuals found in dense clusters at the bottom of the canyon. This area had been heavily grazed and trampled upon by cattle before our collection, but most of the plants retained all of their inflorescences. Seeds of plants at higher elevations along the creek and in shadier sites beneath Populus tremuloides trees were still not quite mature at the time of our collection on 08/12/2020, so our collection was primarily limited to lower-elevation, open sites.</t>
  </si>
  <si>
    <t>Perennial bunchgrass forming tall, sprawling clumps with numerous inflorescences. Plant height averaged 4.58 ft, with plants scattered alongside Clear Creek Rd in relatively flat, open sites. The effects of grazing here were minimal this season, so most plants were neither chewed down nor trampled upon. Rather than forming dense clusters, most of the plants here were scattered far from one another amidst other tall grasses, shrubs, and forbs. Since the riparian zone here is heavily forested, most Leymus cinereus individuals were relatively far from the creek, compared with other sites where we've collected.</t>
  </si>
  <si>
    <t>Yellow flowers with deeply lobed leaves.</t>
  </si>
  <si>
    <t>Yellow ray flower, disc flowers absent. Bracts green with purple stripe. Achene not beaked, pappus less than 40 members.</t>
  </si>
  <si>
    <t>Yellow disk flowers, white ray flowers. Villous leaves and stem, leaves linear, with many basal leaves and alternate leaves on stem. Growing as single flowers or tufts, with most flowers one per stem, but occasionally multiple per stem.</t>
  </si>
  <si>
    <t>Ray flowers white, approx. 100, disc flowers yellow. Leaves mostly basal, villous leaves and stem.</t>
  </si>
  <si>
    <t>Yellow disk and white ray flowers, and occasional flowers appeared to have purple tinged ray flowers, and maroon disk flowers. Stems and leaves villous.</t>
  </si>
  <si>
    <t>Growing in tufts of culms and leaves. Culm terminates in a panicle approx. 2-6â€ long, light green, and maturing to a golden color. Leaf blades involute, approx. 6â€ long.</t>
  </si>
  <si>
    <t>Growing in tufts of culms and leaves. Culm terminates in a panicle approx. 2-6â€ long, light green, and maturing to a golden color. Leaf blades involute, approx. 6â€ long. û</t>
  </si>
  <si>
    <t>Growing in tufts of culms and leaves. Culm terminates in a panicle approx. 2-6Ã¢âú¬Â long, light green, and maturing to a golden color. Leaf blades involute, approx. 6Ã¢âú¬Â long.</t>
  </si>
  <si>
    <t>Taprooted perennial with ascending, hirsute stems, 4-12 inches tall. Ray flowers yellow, female, 10-20; disk flowers yellow, perfect, 20-50.</t>
  </si>
  <si>
    <t>Perennial rhizomatous forb with stellate hair on palmately lobed leaves. Orange flowers in short, dense racemes.</t>
  </si>
  <si>
    <t>Growing in tufts of culms and leaves. Culm terminates in a panicle approx. 2-6â€ long, light green, and maturing to a golden color. Leaf blades involute, approx. 6â€ long.û</t>
  </si>
  <si>
    <t>Plant forms a clump with few to many stems, each with a solitary showy yellow sunflower-like inflorescence. Rays and disks a golden yellow. Large, silvery, arrow-shaped leaves around the base of plant.</t>
  </si>
  <si>
    <t>Clumping aster with drooping, wide, bright yellow (occasionally red and yellow) ray flowers around a cylindrical cone. Leaves deeply divided.</t>
  </si>
  <si>
    <t>Taprooted perennial with ascending, hirsute stems, 4-12 inches tall. Ray flowers yellow, female, 10-20; disk flowers yellow, perfect, 20-50.û</t>
  </si>
  <si>
    <t>Flower head is a compound corymb that consists of many small, white ray and disk flowers, at the top of a single stem, or sometimes branched at top. Leaves grow along stem and have a delicate, lacey, fern-like appearance.</t>
  </si>
  <si>
    <t>Plants typically 18 inches tall. Most in fruit with some still flowering. Petals are periwinkle in color; 5 per infloresence.</t>
  </si>
  <si>
    <t>Average plant height is 40cm among those sampled for voucher collections. Stem is purpleish toward base. Infloresence is an umbel.</t>
  </si>
  <si>
    <t>Most plants with fruit. Some still in flower. Those in flower have 5 periwinkle petals.</t>
  </si>
  <si>
    <t>Corolla tube is violet/blue, inner throat is white and stem can be reddish in color. Is growing in wet area within the sagebrush steppe. Tends to grow under the sagebrush.</t>
  </si>
  <si>
    <t>Growing in a wetland complex. Of the voucher samples taken the average height was 36cm. Leaves are glaucous. Infloresence is perwinkle in color with 5 petals.û</t>
  </si>
  <si>
    <t>Growing in wet meadow adjacent to Wheat Creek. Height of plants ranged from 7in to 2ft. Corolla tube is violet/blue and inner throat is white. The stem is reddish in color.</t>
  </si>
  <si>
    <t>Average height of voucher specimens collected was 26cm. Infloresence in an umbel with individual flowers having 5 wheat/cream colored petals. Stem is hirsute. Leaves mostly basal with some on upper part of stem. It is ubiquitous.</t>
  </si>
  <si>
    <t>Found growing among aspen forests. Average height of collected specimens was 29.5cm. Infloresence is blue/purple with the innter throat being white.</t>
  </si>
  <si>
    <t>Average height of voucher specimens collected as 32cm. Stem hirsute. Inforesence is an umbel with each indivdual flower having 5 white/cream petals. Found growing near a wet meadow.</t>
  </si>
  <si>
    <t>In fruit. When plant is in flower, it is made up of an umbelled cluster of 5 petaled white to cream flowers. Leaves are mostly basal, though few smaller ones grow along the upper stem.</t>
  </si>
  <si>
    <t>In fruit on E slopes. Leaves are deeply veined with hairs, giving a silver appearance. When in flower they are typically light purple, bell shaped and grow in a kind of spiral. Stamens are easy to see.</t>
  </si>
  <si>
    <t>In fruit. Growing most abundantly on E, NE slopes. When in flower the color is blue/purple with white inner throat. Flowers grow in clusters along upper part of the stem.</t>
  </si>
  <si>
    <t>In fruit. Leaves mostly basal, though some smaller ones are on upper parts of stem. Flowers are in an umbel cluster with 5 petals each, white/cream in color.</t>
  </si>
  <si>
    <t>Mostly in fruit, some still flowering. Hairs present on stem and leaf margins. Spinulous tip on leaves and involucre bracts. Involucre bracts obtuse. Ray flowers light lavender.</t>
  </si>
  <si>
    <t>In fruit and flower. Ray flowers are light purple. Phyllaries obtuse. Leaves longer than they are wide. Leaf and phyllary spinulose tipped.</t>
  </si>
  <si>
    <t>In fruit at time of collection. When in flower, leaves are mostly basal with some on upper stem. Leaf is lacey. Infloresence is a cluster of 5 petaled white to cream colored flowers in an umbel.</t>
  </si>
  <si>
    <t>Mostly in fruit though a few in flower. Leaves typically basal, smaller ones can be further up the stem. Infloresence is an umbel cluster of white/cream colored flowers each with 5 petals.</t>
  </si>
  <si>
    <t>In fruit. Growing on E slopes. When in flower the color is blue/purple with white inner throat. Flowers grow in clusters along upper part of the stem.</t>
  </si>
  <si>
    <t>Umbel inflorescence with cream and pink flowers. Leaves green and sometimes reddish. Mat forming.</t>
  </si>
  <si>
    <t>Bunchgrass, almost forming a circle with leaves appearing to grow from center. Panicle seed head. Leaf blades rolled. Sheath open, auricles absent, ligule membranous.</t>
  </si>
  <si>
    <t>In fruit. When in flower leaves basal, some smaller leaves toward top of stem. Flowers are a clustered umbel. Individual flowers are 5 petaled, white/cream in color.</t>
  </si>
  <si>
    <t>LATITUDE_DECIMAL</t>
  </si>
  <si>
    <t>LONGITUDE_DECIMAL</t>
  </si>
  <si>
    <t>GPS_DATUM</t>
  </si>
  <si>
    <t>WGS84</t>
  </si>
  <si>
    <t>Google Map</t>
  </si>
  <si>
    <t>Google map</t>
  </si>
  <si>
    <t>apple maps</t>
  </si>
  <si>
    <t>google</t>
  </si>
  <si>
    <t>GOOGLE MAP</t>
  </si>
  <si>
    <t>COLL_ID</t>
  </si>
  <si>
    <t>CO932</t>
  </si>
  <si>
    <t>NV030</t>
  </si>
  <si>
    <t>UT020</t>
  </si>
  <si>
    <t>UT080</t>
  </si>
  <si>
    <t>WY050</t>
  </si>
  <si>
    <t>WY070</t>
  </si>
  <si>
    <t>WY090</t>
  </si>
  <si>
    <t>ALTITUDE</t>
  </si>
  <si>
    <t>SECONDARY_ID</t>
  </si>
  <si>
    <t>EV3</t>
  </si>
  <si>
    <t>EV2</t>
  </si>
  <si>
    <t>MG21</t>
  </si>
  <si>
    <t>MG13</t>
  </si>
  <si>
    <t>EV14</t>
  </si>
  <si>
    <t>EV12</t>
  </si>
  <si>
    <t>EV11</t>
  </si>
  <si>
    <t>EV10</t>
  </si>
  <si>
    <t>MG26</t>
  </si>
  <si>
    <t>MG25</t>
  </si>
  <si>
    <t>MG23</t>
  </si>
  <si>
    <t>EV16</t>
  </si>
  <si>
    <t>EV22</t>
  </si>
  <si>
    <t>MG33</t>
  </si>
  <si>
    <t>MG34</t>
  </si>
  <si>
    <t>MG35</t>
  </si>
  <si>
    <t>MG29</t>
  </si>
  <si>
    <t>EV21</t>
  </si>
  <si>
    <t>EV13</t>
  </si>
  <si>
    <t>EV17</t>
  </si>
  <si>
    <t>MG36</t>
  </si>
  <si>
    <t>EV18</t>
  </si>
  <si>
    <t>EV19</t>
  </si>
  <si>
    <t>MG31</t>
  </si>
  <si>
    <t>EV20</t>
  </si>
  <si>
    <t>EV26</t>
  </si>
  <si>
    <t>EV24</t>
  </si>
  <si>
    <t>Smithsonian (US)</t>
  </si>
  <si>
    <t>Denver Botanic Gardens (KHD)</t>
  </si>
  <si>
    <t xml:space="preserve"> Bend Seed Extractory</t>
  </si>
  <si>
    <t>University of Nevada-Reno</t>
  </si>
  <si>
    <t>BLM Utah - West Desert District</t>
  </si>
  <si>
    <t>Rocky Mountain Herbarium</t>
  </si>
  <si>
    <t>Buffalo WY BLM Field Office</t>
  </si>
  <si>
    <t>Kemmerer Field Office</t>
  </si>
  <si>
    <t>USER5</t>
  </si>
  <si>
    <t>LOC1</t>
  </si>
  <si>
    <t>LOC2</t>
  </si>
  <si>
    <t>LOC3</t>
  </si>
  <si>
    <t>ASSOCIATED_TAXA_FULL</t>
  </si>
  <si>
    <t>Artemisia tridentata:Elymus elymoides:Eriogonum umbellatum</t>
  </si>
  <si>
    <t>Juniperus sp.:Artemisia tridentata:Pinus sp.</t>
  </si>
  <si>
    <t>Artemisia tridentata:Eriogonum umbellatum:Elymus elymoides:Poa sp.</t>
  </si>
  <si>
    <t>Artemisia tridentata:Populus tremuloides:Poa sp.:Penstemon sp.</t>
  </si>
  <si>
    <t>Artemisia tridentata:Poa sp.:Quercus sp.:Populus tremuloides:Pinus sp.:Lupinus sp.:Wyethia arizonica:Aster sp.</t>
  </si>
  <si>
    <t>Populus tremuloides:Erigeron speciosus:Daucus sp.:Achillea millefolium:Aster sp.:Poa sp.:Tragopogon sp.</t>
  </si>
  <si>
    <t>Populus tremuloides:Crepis acuminata:Senecio spartioides:Ericameria nauseosa:Packera multilobata:Artemisia tridentata</t>
  </si>
  <si>
    <t>Artemisia tridentata:Eriogonum umbellatum:Purshia tridentata:Populus tremuloides:Ipomopsis aggregata:Achillea millefolium</t>
  </si>
  <si>
    <t>Artemisia tridentata:Chrysothamnus viscidiflorus:Chrysothamnus viscidiflorus:Ranunculus sp.:Carex sp.:Juncus sp.:Poa sp.</t>
  </si>
  <si>
    <t>Populus tremuloides:Heliomeris multiflora:Achillea millefolium:Tragopogon dubius:Poa sp.</t>
  </si>
  <si>
    <t>Populus tremuloides:Erigeron speciosus:Achillea millefolium:Poa sp.:Daucus sp.</t>
  </si>
  <si>
    <t>Populus tremuloides:Poa sp.:Wyethia amplexicaulis:Erigeron speciosus:Eriogonum umbellatum:Artemisia tridentata:Lupinus sp.</t>
  </si>
  <si>
    <t>Pinus sp.:Populus tremuloides:Poa sp.:Achillea millefolium:Purshia tridentata:Cirsium sp.:Elymus elymoides:Aster sp.</t>
  </si>
  <si>
    <t>Artemisia tridentata:Ericameria parryi:Populus tremuloides:Poa sp.:Artemisia sp.</t>
  </si>
  <si>
    <t>Populus tremuloides:Erigeron speciosus:Pascopyrum smithii:Ericameria parryi:Juniperus scopulorum:Pinus sp.:Poa sp.</t>
  </si>
  <si>
    <t>Artemisia tridentata:Juniperus scopulorum:Senecio spartioides:Pinus edulis:Ericameria nauseosa:Opuntia sp.</t>
  </si>
  <si>
    <t>Artemisia tridentata:Agoseris glauca:Eriogonum umbellatum:Chrysothamnus viscidiflorus:Achnatherum hymenoides:Crepis acuminata</t>
  </si>
  <si>
    <t>Artemisia tridentata:Aster sp.:Juncus sp.:Carex sp.:Poa sp.:Salix sp.:Sarcobatus sp.:Populus tremuloides</t>
  </si>
  <si>
    <t>Artemisia tridentata:Bromus sp.:Poa sp.:Rumex sp.</t>
  </si>
  <si>
    <t>Artemisia tridentata:Eriogonum umbellatum:Penstemon sp.:Poa sp.:Achillea millefolium:Ericameria parryi:Aster sp.</t>
  </si>
  <si>
    <t>Artemisia tridentata:Lupinus argenteus:Eriogonum umbellatum:Symphoricarpos rotundifolius:Chrysothamnus viscidiflorus</t>
  </si>
  <si>
    <t>Artemisia tridentata:Amelanchier alnifolia:Poa sp.:Ericameria nauseosa:Balsamorhiza sagittata:Aster sp.</t>
  </si>
  <si>
    <t>Artemisia tridentata:Symphoricarpos rotundifolius:Amelanchier alnifolia:Eriogonum umbellatum:Ericameria parryi:Chrysothamnus viscidiflorus:Achillea millefolium:Populus tremuloides:Poa sp.</t>
  </si>
  <si>
    <t>Artemisia tridentata:Artemisia nova:Juniperus scopulorum:Senecio spartioides:Pinus edulis:Ericameria nauseosa:Astragalus pardalinus:Opuntia sp.</t>
  </si>
  <si>
    <t>Artemisia tridentata:Chrysothamnus viscidiflorus:Senecio spartioides:Juniperus sp.:Pinus sp.:Aster sp.:Poa sp.:Opuntia sp.:Astragalus sp.</t>
  </si>
  <si>
    <t>Artemisia tridentata:Populus tremuloides:Chrysothamnus viscidiflorus:Salix sp.:Carex sp.:Juncus sp.:Juniperus sp.:Bromus sp.:Poa sp.</t>
  </si>
  <si>
    <t>Wyethia arizonica:Aster sp.:Quercus sp.:Populus tremuloides:Pinus sp.:Lupinus sp.:Poa sp.:Pascopyrum smithii</t>
  </si>
  <si>
    <t>Distichlis sp.:Hordeum jubatum:Sarcobatus vermiculatus:Sarcobatus sp.</t>
  </si>
  <si>
    <t>Purshia tridentata:Artemisia tridentata:Ribes cereum</t>
  </si>
  <si>
    <t>Purshia tridentata:Chrysothamnus viscidiflorus:Artemisia tridentata ssp. vaseyana:Pinus jeffreyi:Achnatherum hymenoides:Eriogonum umbellatum</t>
  </si>
  <si>
    <t>Artemisia tridentata:Ericameria nauseosa:Tetradymia canescens</t>
  </si>
  <si>
    <t>Artemisia tridentata:Purshia tridentata:Grindelia squarrosa:Salix sp.</t>
  </si>
  <si>
    <t>Chrysothamnus viscidiflorus ssp. axillaris:Salix sp.:Artemisia tridentata:Atriplex canescens:Populus tremuloides</t>
  </si>
  <si>
    <t>Artemisia tridentata:Achnatherum hymenoides:Purshia tridentata</t>
  </si>
  <si>
    <t>Erythranthe</t>
  </si>
  <si>
    <t>Erythranthe:Symphyotrichum ascendens:Ericameria nauseosa:Tetradymia canescens</t>
  </si>
  <si>
    <t>Ericameria nauseosa:Tetradymia canescens:Artemisia tridentata</t>
  </si>
  <si>
    <t>Chrysanthemum nauseosa:Tetradymia canescens:Artemisia tridentata</t>
  </si>
  <si>
    <t>Purshia tridentata:Artemisia tridentata:Oryzopsis hymenoides</t>
  </si>
  <si>
    <t>Populus tremuloides:Purshia tridentata:Artemisia tridentata</t>
  </si>
  <si>
    <t>Populus tremuloides:Salix exigua:Artemisia tridentata:Grindelia squarrosa</t>
  </si>
  <si>
    <t>Artemisia tridentata:Atriplex torreyi:Bromus tectorum:Lepidium latifolium</t>
  </si>
  <si>
    <t>Atriplex canescens:Artemisia tridentata:Lepidium latifolium</t>
  </si>
  <si>
    <t>Bromus tectorum:Suaeda nigra:Sarcobatus vermiculatus:Malva sp.</t>
  </si>
  <si>
    <t>Bromus tectorum</t>
  </si>
  <si>
    <t>Euthamia occidentalis:Juncus sp.:Salix sp.:Lepidium latifolium</t>
  </si>
  <si>
    <t>Typha latifolia:Salix sp.:Juncus sp.:Lepidium latifolium</t>
  </si>
  <si>
    <t>Typha latifolia:Lepidium latifolium:Salix sp.:Juncus sp.</t>
  </si>
  <si>
    <t>Distichlis spicata:Ericameria nauseosa:Achnatherum hymenoides:Tetradymia canescens:Bromus tectorum:Bromus tectorum</t>
  </si>
  <si>
    <t>Distichlis spicata:Ericameria nauseosa</t>
  </si>
  <si>
    <t>Artemisia tridentata:Juniperus osteosperma:Pseudoroegneria spicata:Ephedra nevadensis:Bromus tectorum:Krascheninnikovia lanata:Ericameria nauseosa:Chrysothamnus viscidiflorus:Gutierrezia sarothrae:Hesperostipa comata:Erigeron sp.:Sphaeralcea grossulariifolia:Halogeton glomeratus:Elymus elymoides:Erodium cicutarium:Castilleja sp.:Eriogonum sp.:Grayia spinosa:Tetradymia sp.:Astragalus sp.</t>
  </si>
  <si>
    <t>Artemisia tridentata:Juniperus osteosperma:Pinus monophylla:Bromus tectorum:Atriplex canescens:Chrysothamnus viscidiflorus:Gutierrezia sarothrae:Pseudoroegneria spicata:Atriplex confertifolia:Ephedra nevadensis:Grayia spinosa:Elymus elymoides:Castilleja sp.:Tetradymia glabrata:Phlox austromontana:Yucca harrimaniae:Hilaria jamesii:Hesperostipa comata:Sarcobatus vermiculatus:Opuntia sp.:Astragalus lentiginosus:Krascheninnikovia lanata:Artemisia nova</t>
  </si>
  <si>
    <t>Juniperus osteosperma:Pseudoroegneria spicata:Artemisia tridentata:Sarcobatus vermiculatus:Purshia tridentata:Atriplex confertifolia:Bromus tectorum:Ephedra nevadensis:Chaenactis douglasii:Astragalus sp.:Tragopogon dubius:Chrysothamnus viscidiflorus:Crepis occidentalis:Perityle stansburyi</t>
  </si>
  <si>
    <t>Artemisia tridentata:Gutierrezia sarothrae:Chrysothamnus viscidiflorus:Juniperus osteosperma:Bromus tectorum:Poa secunda:Artemisia nova:Hesperostipa comata:Hilaria jamesii:Acroptilon repens:Verbascum thapsus:Ephedra nevadensis:Tetradymia spinosa:Phlox austromontana:Atriplex confertifolia:Krascheninnikovia lanata:Astragalus sp.:Cirsium neomexicanum:Opuntia polyacantha:Symphoricarpos longiflorus:Halogeton glomeratus:Ericameria nauseosa</t>
  </si>
  <si>
    <t>Artemisia tridentata:Pseudoroegneria spicata:Mahonia repens:Symphoricarpos oreophilus:Populus tremuloides:Balsamorhiza sagittata:Holodiscus dumosus:Bromus tectorum:Ericameria nauseosa:Artemisia arbuscula:Tragopogon dubius:Crepis acuminata:Lupinus argenteus:Opuntia fragilis:Eriogonum umbellatum:Eriogonum heracleoides:Cirsium undulatum:Allium sp.:Chrysothamnus viscidiflorus:Chrysothamnus viscidiflorus</t>
  </si>
  <si>
    <t>Chrysothamnus viscidiflorus:Juniperus osteosperma:Poa secunda:Hesperostipa comata:Bromus tectorum:Petradoria pumila:Tragopogon dubius:Tetradymia canescens:Gutierrezia sarothrae:Cryptantha sp.:Achnatherum hymenoides:Tetradymia glabrata:Purshia stansburiana:Artemisia nova:Astragalus sp.:Leymus cinereus:Artemisia tridentata:Atriplex confertifolia:Aristida purpurea:Lactuca serriola:Grindelia squarrosa:Helianthus annuus</t>
  </si>
  <si>
    <t>Carex douglasii:Artemisia ludoviciana:Tragopogon dubius:Agoseris aurantiaca:Poa bulbosa:Bromus tectorum:Koeleria macrantha:Juncus sp.:Grindelia squarrosa:Achillea millefolium:Castilleja sp.:Lupinus argenteus:Leymus cinereus:Agropyron cristatum:Eriogonum heracleoides</t>
  </si>
  <si>
    <t>Artemisia tridentata:Symphoricarpos oreophilus:Chrysothamnus viscidiflorus:Bromus tectorum:Amelanchier utahensis:Artemisia ludoviciana:Lupinus sp.:Castilleja sp.:Eriogonum heracleoides:Achillea millefolium:Ericameria nauseosa:Balsamorhiza sagittata:Mahonia repens:Chaenactis douglasii:Poa secunda</t>
  </si>
  <si>
    <t>Artemisia tridentata:Ericameria nauseosa:Poa bulbosa:Symphoricarpos oreophilus:Geranium viscosissimum:Sisymbrium altissimum:Artemisia ludoviciana:Cirsium subniveum:Chrysothamnus viscidiflorus:Juniperus osteosperma:Ribes cereum:Bromus tectorum:Purshia tridentata:Rumex sp.</t>
  </si>
  <si>
    <t>Artemisia tridentata:Juniperus osteosperma:Symphoricarpos oreophilus:Solidago missouriensis:Ericameria nauseosa:Geranium viscosissimum:Verbascum thapsus:Cirsium arvense:Chrysothamnus viscidiflorus:Erigeron speciosus:Bromus tectorum:Eriogonum microthecum:Poa compressa:Achillea millefolium:Tragopogon dubius:Artemisia ludoviciana:Sisymbrium altissimum:Purshia tridentata:Ribes aureum:Rosa sp.</t>
  </si>
  <si>
    <t>Artemisia tridentata:Symphoricarpos oreophilus:Artemisia ludoviciana:Juniperus osteosperma:Populus tremuloides:Cynoglossum officinale:Geranium viscosissimum:Erigeron speciosus:Achillea millefolium:Chrysothamnus viscidiflorus:Bromus tectorum:Poa bulbosa</t>
  </si>
  <si>
    <t>Artemisia tridentata:Symphoricarpos oreophilus:Tragopogon dubius:Achillea millefolium:Populus tremuloides:Cynoglossum officinale:Cirsium vulgare:Lupinus argenteus:Juniperus osteosperma:Chrysothamnus viscidiflorus:Ericameria nauseosa:Equisetum hyemale:Comandra umbellata:Geranium sp.:Rosa sp.:Artemisia ludoviciana:Poa bulbosa:Bromus tectorum:Pinus monophylla</t>
  </si>
  <si>
    <t>Bromus tectorum:Sarcobatus vermiculatus:Atriplex gardneri:Sphaeralcea coccinea ssp. coccinea:Achnatherum hymenoides:Tephrosia spicata:Artemisia nova:Atriplex confertifolia:Salsola tragus</t>
  </si>
  <si>
    <t>Tetradymia spinosa:Melilotus officinalis:Artemisia tridentata ssp. wyomingensis:Pleuraphis jamesii:Bromus tectorum:Sarcobatus vermiculatus:Sphaeralcea coccinea:Agropyron cristatum:Salsola tragus:Gutierrezia sarothrae</t>
  </si>
  <si>
    <t>Grayia spinosa:Salsola tragus:Astragalus convallarius:Sarcobatus vermiculatus:Gutierrezia sarothrae:Atriplex confertifolia:Ericameria nauseosa:Plantago patagonica:Achnatherum hymenoides</t>
  </si>
  <si>
    <t>Bromus tectorum:Sphaeralcea coccinea ssp. coccinea:Ericameria nauseosa:Atriplex confertifolia:Guaiacum sanctum:Gutierrezia sarothrae:Krascheninnikovia lanata:Achnatherum hymenoides:Tetradymia nuttallii:Tetradymia spinosa:Agropyron cristatum:Phlox longifolia</t>
  </si>
  <si>
    <t>Sarcobatus vermiculatus:Pascopyrum smithii:Atriplex confertifolia:Gutierrezia sarothrae:Halogeton glomeratus:Achnatherum hymenoides:Bromus tectorum:Pleuraphis jamesii:Salsola tragus:Tephrosia spicata</t>
  </si>
  <si>
    <t>Bromus tectorum:Sarcobatus vermiculatus:Pascopyrum smithii:Halogeton glomeratus:Salsola tragus</t>
  </si>
  <si>
    <t>Pleuraphis jamesii:Bromus tectorum:Halogeton glomeratus:Achnatherum hymenoides:Atriplex canescens:Grayia spinosa:Ericameria nauseosa</t>
  </si>
  <si>
    <t>Bromus tectorum:Halogeton glomeratus:Tephrosia spicata:Cryptantha flava:Pleuraphis jamesii:Achnatherum hymenoides:Townsendia sp.:Tetradymia nuttallii:Ericameria nauseosa:Hesperostipa comata</t>
  </si>
  <si>
    <t>Sarcobatus vermiculatus:Bromus tectorum:Gutierrezia sarothrae:Artemisia nova:Agropyron cristatum:Hesperostipa comata</t>
  </si>
  <si>
    <t>Symphoricarpos oreophilus var. oreophilus:Koeleria macrantha:Bromus inermis:Artemisia nova:Gutierrezia sarothrae:Elymus elymoides:Lupinus argenteus:Phlox hoodii:Balsamorhiza hookeri:Eriogonum umbellatum:Poa secunda:Hesperostipa comata</t>
  </si>
  <si>
    <t>Pascopyrum smithii:Halogeton glomeratus:Sarcobatus vermiculatus:Lepidium montanum:Iva axillaris:Acroptilon repens:Lepidium latifolium:Populus fremontii</t>
  </si>
  <si>
    <t>Bromus tectorum:Artemisia nova:Atriplex confertifolia:Achnatherum hymenoides:Lepidium latifolium:Tamarix chinensis:Gutierrezia sarothrae:Elaeagnus angustifolia</t>
  </si>
  <si>
    <t>Eriogonum ovalifolium:Eriogonum gordonii:Bromus tectorum:Pediomelum megalanthum:Malcolmia africana:Pleuraphis jamesii:Ephedra torreyana:Cryptantha flava:Achnatherum hymenoides:Gutierrezia sarothrae:Hymenopappus filifolius:Machaeranthera grindelioides</t>
  </si>
  <si>
    <t>Asclepias labriformis:Atriplex canescens:Bromus tectorum:Grayia spinosa:Halogeton glomeratus:Sphaeralcea parvifolia:Achnatherum hymenoides:Grindelia squarrosa</t>
  </si>
  <si>
    <t>Salsola tragus:Bromus tectorum:Achnatherum hymenoides:Gutierrezia sarothrae:Grayia spinosa:Pleuraphis jamesii</t>
  </si>
  <si>
    <t>Equisetum laevigatum:Gentiana calycosa:Trifolium andinum:Orthocarpus luteus:Poa secunda:Symphyotrichum ascendens:Bromus inermis:Deschampsia cespitosa:Iris missouriensis:Galium trifidum</t>
  </si>
  <si>
    <t>Artemisia nova:Arenaria lanuginosa:Artemisia ludoviciana:Ludwigia palustris:Linum lewisii:Poa secunda:Poa fendleriana:Orthocarpus luteus:Iris missouriensis:Bromus inermis:Antennaria microphylla:Artemisia frigida</t>
  </si>
  <si>
    <t>Bromus tectorum:Halogeton glomeratus:Tephrosia spicata:Cryptantha flava:Pleuraphis jamesii:Achnatherum hymenoides:Townsendia sp.:Tetradymia nuttallii:Hesperostipa comata</t>
  </si>
  <si>
    <t>Achnatherum hymenoides:Juniperus osteosperma:Halogeton glomeratus:Spartina patens:Sarcobatus vermiculatus:Salsola tragus:Cleome lutea:Cleome serrulata</t>
  </si>
  <si>
    <t>Juniperus osteosperma:Achnatherum hymenoides:Halogeton glomeratus:Sphaeralcea coccinea ssp. coccinea:Sarcobatus vermiculatus:Salsola tragus:Cleome serrulata</t>
  </si>
  <si>
    <t>Juniperus osteosperma:Hesperostipa comata ssp. comata:Achnatherum hymenoides:Sphaeralcea parvifolia:Sphaeralcea coccinea ssp. coccinea:Salsola tragus:Cleome lutea</t>
  </si>
  <si>
    <t>Bassia scoparia:Grindelia squarrosa:Salsola tragus:Bromus tectorum:Pascopyrum smithii:Sarcobatus vermiculatus:Halogeton glomeratus:Ambrosia acanthicarpa</t>
  </si>
  <si>
    <t>Grayia spinosa:Ericameria nauseosa:Sporobolus cryptandrus:Tephrosia spicata:Gutierrezia sarothrae:Eriogonum microthecum</t>
  </si>
  <si>
    <t>Ericameria nauseosa:Gutierrezia sarothrae:Grindelia squarrosa:Artemisia tridentata:Sphaeralcea parvifolia:Salsola tragus:Sarcobatus vermiculatus:Ambrosia acanthicarpa</t>
  </si>
  <si>
    <t>Atriplex canescens:Bromus tectorum:Salsola tragus:Achnatherum hymenoides:Cryptantha flava:Lepidium montanum:Alyssum alyssoides:Hesperostipa comata:Aristida purpurea:Pleuraphis jamesii:Sphaeralcea parvifolia:Chrysothamnus greenei</t>
  </si>
  <si>
    <t>Sarcobatus vermiculatus:Artemisia nova:Atriplex confertifolia:Gutierrezia sarothrae:Ericameria nauseosa:Halogeton glomeratus:Bromus tectorum:Salsola tragus</t>
  </si>
  <si>
    <t>Melilotus officinalis:Helianthus annuus:Poa secunda:Ericameria nauseosa:Sarcobatus vermiculatus:Bromus tectorum:Gutierrezia sarothrae:Bassia scoparia:Ambrosia acanthicarpa:Hesperostipa comata:Pascopyrum smithii:Agropyron cristatum</t>
  </si>
  <si>
    <t>Amelanchier utahensis:Balsamorhiza sagittata:Cerastium arvense:Lupinus argenteus:Linum lewisii:Comandra umbellata</t>
  </si>
  <si>
    <t>Pulsatilla patens:Geum triflorum:Lupinus wyethii:Balsamorhiza incana:Achillea millefolium:Arenaria hookeri:Antennaria umbrinella:Bromus carinatus:Cerastium beeringianum:Oxytropis parryi</t>
  </si>
  <si>
    <t>Opuntia polyacantha:Artemisia tridentata:Chrysothamnus viscidiflorus:Bromus tectorum:Hesperostipa comata:Gutierrezia sarothrae:Heterotheca villosa:Pascopyrum smithii:Sphaeralcea coccinea:Achillea millefolium:Koeleria macrantha:Bouteloua gracilis:Bromus japonicus</t>
  </si>
  <si>
    <t>Artemisia tridentata:Opuntia polyacantha:Arenaria hookeri:Bromus tectorum:Sphaeralcea coccinea:Astragalus purshii:Koeleria macrantha:Tragopogon dubius:Comandra umbellata:Bouteloua gracilis:Gutierrezia sarothrae</t>
  </si>
  <si>
    <t>Artemisia tridentata:Tragopogon dubius:Koeleria macrantha:Astragalus purshii:Hesperostipa comata:Agropyron cristatum:Artemisia frigida:Opuntia polyacantha:Bromus tectorum:Bouteloua gracilis:Antennaria sp.:Yucca glauca:Heterotheca villosa:Sphaeralcea coccinea:Achillea millefolium:Pascopyrum smithii:Allium textile:Bromus japonicus</t>
  </si>
  <si>
    <t>Gutierrezia sarothrae:Artemisia tridentata:Koeleria macrantha:Vicia americana:Calochortus nuttallii:Bromus tectorum:Sphaeralcea coccinea:Melilotus officinalis:Hesperostipa comata:Pascopyrum smithii:Artemisia frigida:Opuntia polyacantha:Krascheninnikovia lanata:Pediomelum esculentum:Arenaria hookeri:Allium textile</t>
  </si>
  <si>
    <t>Astragalus purshii:Arenaria hookeri:Artemisia frigida:Artemisia tridentata:Hesperostipa comata:Gutierrezia sarothrae:Comandra umbellata:Bouteloua gracilis:Heterotheca villosa:Lygodesmia juncea</t>
  </si>
  <si>
    <t>Krascheninnikovia lanata:Sphaeralcea coccinea:Bromus tectorum:Comandra umbellata:Gutierrezia sarothrae:Bouteloua gracilis:Arenaria hookeri:Hesperostipa comata:Artemisia tridentata:Chrysothamnus viscidiflorus:Artemisia frigida:Agropyron spicatum</t>
  </si>
  <si>
    <t>Bromus tectorum:Tragopogon dubius:Artemisia tridentata:Artemisia frigida:Artemisia frigida:Gutierrezia sarothrae:Hesperostipa comata:Erigeron caespitosus:Achillea millefolium:Arenaria hookeri:Grindelia squarrosa:Chrysothamnus viscidiflorus:Pascopyrum smithii:Bouteloua gracilis</t>
  </si>
  <si>
    <t>Gutierrezia sarothrae:Hesperostipa comata:Bromus tectorum:Grindelia squarrosa:Artemisia frigida:Sphaeralcea coccinea:Tragopogon dubius:Yucca glauca:Astragalus purshii:Psoralidium tenuiflorum:Lygodesmia texana</t>
  </si>
  <si>
    <t>Gutierrezia sarothrae:Artemisia tridentata:Erigeron caespitosus:Vicia americana:Calochortus nuttallii:Bromus tectorum:Bromus tectorum:Sphaeralcea coccinea:Melilotus officinalis:Hesperostipa comata:Pascopyrum smithii:Artemisia frigida:Opuntia polyacantha:Krascheninnikovia lanata:Pediomelum esculentum:Arenaria hookeri:Allium textile</t>
  </si>
  <si>
    <t>Hesperostipa comata:Opuntia polyacantha:Artemisia frigida:Gutierrezia sarothrae:Bromus tectorum:Artemisia tridentata:Psoralidium tenuiflorum:Chrysothamnus viscidiflorus:Krascheninnikovia lanata:Heterotheca villosa:Arenaria hookeri:Bromus japonicus:Agropyron cristatum:Yucca glauca</t>
  </si>
  <si>
    <t>Achillea millefolium:Bromus tectorum:Artemisia tridentata:Opuntia polyacantha:Agropyron cristatum:Artemisia frigida:Sphaeralcea coccinea:Bromus japonicus:Tragopogon dubius</t>
  </si>
  <si>
    <t>Artemisia tridentata:Chrysothamnus viscidiflorus:Opuntia polyacantha:Bouteloua gracilis:Gutierrezia sarothrae:Artemisia frigida:Erigeron caespitosus</t>
  </si>
  <si>
    <t>Koeleria macrantha:Artemisia tridentata:Chrysothamnus viscidiflorus:Arenaria hookeri:Bromus tectorum:Gutierrezia sarothrae:Bouteloua gracilis:Juniperus scopulorum</t>
  </si>
  <si>
    <t>Melilotus officinalis:Bromus tectorum:Koeleria macrantha:Artemisia tridentata:Bromus japonicus:Opuntia polyacantha</t>
  </si>
  <si>
    <t>Psoralidium tenuiflorum:Yucca glauca:Bouteloua gracilis:Artemisia frigida:Gutierrezia sarothrae:Artemisia tridentata:Hesperostipa comata:Bromus tectorum:Heterotheca villosa:Sphaeralcea coccinea:Grindelia squarrosa:Pseudoroegneria spicata</t>
  </si>
  <si>
    <t>Campanula sp.:Anemone cylindrica:Pinus ponderosa:Gentiana affinis:Potentilla arguta:Allium textile:Koeleria macrantha:Galium boreale:Solidago sp.:Heterotheca villosa:Lupinus sp.:Pulsatilla patens ssp. multifida:Pulsatilla patens ssp. multifida</t>
  </si>
  <si>
    <t>Bouteloua gracilis:Bromus tectorum:Heterotheca villosa:Koeleria macrantha:Artemisia tridentata:Achillea millefolium:Opuntia polyacantha:Pascopyrum smithii:Grindelia squarrosa:Erigeron caespitosus:Gutierrezia sarothrae</t>
  </si>
  <si>
    <t>Opuntia polyacantha:Artemisia tridentata:Chrysothamnus viscidiflorus:Bromus tectorum:Hesperostipa comata:Gutierrezia sarothrae:Heterotheca villosa:Pascopyrum smithii:Sphaeralcea coccinea:Achillea millefolium:Koeleria macrantha:Bouteloua gracilis:Bromus japonicus:Erigeron caespitosus</t>
  </si>
  <si>
    <t>Grindelia squarrosa:Artemisia cana:Heterotheca villosa:Koeleria macrantha:Arenaria hookeri:Artemisia frigida:Linum lewisii:Gutierrezia sarothrae:Comandra umbellata:Liatris punctata:Agropyron cristatum</t>
  </si>
  <si>
    <t>Campanula sp.:Anemone cylindrica:Pinus ponderosa:Gentiana affinis:Potentilla arguta:Allium textile:Koeleria macrantha:Galium boreale:Solidago sp.:Lupinus sp.:Pulsatilla patens ssp. multifida</t>
  </si>
  <si>
    <t>Achillea millefolium:Koeleria macrantha:Juniperus communis:Pseudotsuga menziesii:Orbexilum lupinellum:Tragopogon dubius:Arenaria hookeri:Pseudoroegneria spicata:Solidago sp.:Artemisia tridentata:Ribes sp.</t>
  </si>
  <si>
    <t>Gutierrezia sarothrae:Grindelia squarrosa:Pascopyrum smithii:Bromus inermis:Toxicodendron radicans:Opuntia polyacantha:Pinus ponderosa:Tragopogon dubius:Achillea millefolium</t>
  </si>
  <si>
    <t>Artemisia tridentata:Eurybia conspicua:Achillea millefolium:Koeleria macrantha:Arenaria hookeri:Bouteloua gracilis:Ribes sp.:Orthocarpus luteus:Gutierrezia sarothrae</t>
  </si>
  <si>
    <t>Bouteloua gracilis:Bouteloua gracilis:Solidago sp.:Opuntia polyacantha:Achillea millefolium:Hesperostipa comata:Sphaeralcea coccinea:Gutierrezia sarothrae:Tragopogon dubius:Artemisia cana:Fragaria sp.</t>
  </si>
  <si>
    <t>Campanula sp.:Anemone cylindrica:Pinus ponderosa:Gentiana affinis:Potentilla arguta ssp. arguta:Potentilla arguta:Allium textile:Koeleria macrantha:Galium boreale:Solidago sp.:Lupinus sp.:Pulsatilla patens ssp. multifida:Arenaria congesta var. congesta</t>
  </si>
  <si>
    <t>Phleum pratense:Achillea millefolium:Bromus inermis:Balsamorhiza sagittata:Balsamorhiza macrophylla:Solidago sp.:Lupinus sp.:Bromus tectorum:Linum lewisii:Arenaria hookeri:Tragopogon dubius</t>
  </si>
  <si>
    <t>Heterotheca villosa:Koeleria macrantha:Artemisia frigida:Juniperus horizontalis:Tragopogon dubius</t>
  </si>
  <si>
    <t>Phleum pratense:Heterotheca villosa:Bromus inermis:Balsamorhiza sagittata:Balsamorhiza macrophylla:Balsamorhiza macrophylla:Solidago sp.:Lupinus sp.:Bromus tectorum:Linum lewisii:Arenaria hookeri:Tragopogon dubius</t>
  </si>
  <si>
    <t>Poa secunda:Ipomopsis congesta:Pseudoroegneria spicata:Artemisia tridentata ssp. vaseyana</t>
  </si>
  <si>
    <t>Crepis acuminata:Pseudoroegneria spicata:Penstemon humilis:Poa secunda</t>
  </si>
  <si>
    <t>Artemisia arbuscula:Phlox hoodii:Poa secunda:Pseudoroegneria spicata</t>
  </si>
  <si>
    <t>Artemisia cana:Poa secunda:Gentiana calycosa:Ipomopsis aggregata</t>
  </si>
  <si>
    <t>Hymenoxys hoopesii:Artemisia cana:Symphyotrichum lanceolatum:Lupinus argenteus</t>
  </si>
  <si>
    <t>Artemisia cana:Eriogonum umbellatum:Pseudotsuga menziesii:Achillea millefolium</t>
  </si>
  <si>
    <t>Penstemon procerus:Eriogonum umbellatum:Artemisia cana:Ipomopsis aggregata</t>
  </si>
  <si>
    <t>Helianthella uniflora:Ceanothus velutinus:Populus tremuloides:Eriogonum umbellatum</t>
  </si>
  <si>
    <t>Pascopyrum smithii:Artemisia tridentata ssp. tridentata:Symphyotrichum sp.:Poa secunda</t>
  </si>
  <si>
    <t>Artemisia tridentata ssp. tridentata:Chrysothamnus viscidiflorus:Linum lewisii:Ipomopsis aggregata</t>
  </si>
  <si>
    <t>Eriogonum umbellatum:Purshia tridentata:Artemisia tridentata ssp. vaseyana:Ipomopsis aggregata</t>
  </si>
  <si>
    <t>Eriogonum umbellatum:Achillea millefolium:Artemisia tridentata ssp. vaseyana:Lupinus argenteus:Hordeum brachyantherum:Symphyotrichum lanceolatum</t>
  </si>
  <si>
    <t>Eriogonum umbellatum:Artemisia tridentata ssp. vaseyana:Linum lewisii:Penstemon procerus</t>
  </si>
  <si>
    <t>Artemisia tridentata ssp. vaseyana:Symphyotrichum ascendens:Purshia tridentata:Poa secunda:Eriogonum umbellatum:Lupinus sp.</t>
  </si>
  <si>
    <t>Achillea millefolium:Artemisia tridentata ssp. vaseyana:Purshia tridentata:Poa secunda:Eriogonum umbellatum:Lupinus sp.</t>
  </si>
  <si>
    <t>Artemisia tridentata ssp. tridentata:Achillea millefolium:Chrysothamnus viscidiflorus:Poa secunda</t>
  </si>
  <si>
    <t>Chrysothamnus viscidiflorus:Koeleria macrantha:Koeleria macrantha:Amelanchier alnifolia:Castilleja sp.:Purshia tridentata</t>
  </si>
  <si>
    <t>Chrysothamnus viscidiflorus:Artemisia arbuscula:Eriogonum umbellatum:Poa secunda:Amelanchier sp.:Amelanchier sp.:Stenotus</t>
  </si>
  <si>
    <t>Purshia tridentata:Symphyotrichum ascendens:Koeleria macrantha:Poa secunda:Artemisia cana:Artemisia arbuscula:Eriogonum umbellatum</t>
  </si>
  <si>
    <t>Cirsium sp.:Artemisia tridentata ssp. vaseyana:Eriogonum umbellatum:Populus tremuloides:Bromus tectorum</t>
  </si>
  <si>
    <t>Eriogonum umbellatum:Artemisia tridentata ssp. vaseyana:Cirsium sp.:Populus tremuloides:Achillea millefolium</t>
  </si>
  <si>
    <t>Achillea millefolium:Mahonia repens:Purshia tridentata:Artemisia tridentata ssp. vaseyana:Penstemon procerus</t>
  </si>
  <si>
    <t>Artemisia arbuscula:Castilleja sp.:Linanthus pungens:Elymus elymoides ssp. elymoides:Nassella viridula</t>
  </si>
  <si>
    <t>Phacelia hastata:Eriogonum umbellatum:Artemisia cana:Artemisia tridentata ssp. vaseyana</t>
  </si>
  <si>
    <t>Antennaria sp.:Linanthus pungens:Poa secunda:Artemisia tridentata ssp. vaseyana</t>
  </si>
  <si>
    <t>USER2</t>
  </si>
  <si>
    <t>Grazed</t>
  </si>
  <si>
    <t>Trampled</t>
  </si>
  <si>
    <t>Grazed:Trampled</t>
  </si>
  <si>
    <t>Grazed:Human foot traffic</t>
  </si>
  <si>
    <t>Mowed:Grazed</t>
  </si>
  <si>
    <t>Drought</t>
  </si>
  <si>
    <t>Burned</t>
  </si>
  <si>
    <t>Burned:Grazed:Trampled</t>
  </si>
  <si>
    <t>Grazed:Herbicide 2019</t>
  </si>
  <si>
    <t>Grazed:herbicide 2019</t>
  </si>
  <si>
    <t>Burned:Grazed</t>
  </si>
  <si>
    <t>USER4</t>
  </si>
  <si>
    <t>M. Gardner, E. Varone DBG:In Field:10 JUN 2020</t>
  </si>
  <si>
    <t>Gardner, M., Varone, E.:In Field:09 JUL 2020</t>
  </si>
  <si>
    <t>Gardner, M., Varone, E.:In Field:10 JUN 2020</t>
  </si>
  <si>
    <t>M. Gardner, E. Varone DBG:In Field:22 JUL 2020</t>
  </si>
  <si>
    <t>M. Gardner, E. Varone DBG:In Field:16 JUL 2020</t>
  </si>
  <si>
    <t>M. Gardner, E. Varone DBG:In Field:09 JUL 2020</t>
  </si>
  <si>
    <t>M. Gardner, E. Varone DBG:In Field:08 JUL 2020</t>
  </si>
  <si>
    <t>Gardner, M., Varone, E.:In Field:29 JUL 2020</t>
  </si>
  <si>
    <t>Gardner, M., Varone, E.:In Field:28 JUL 2020</t>
  </si>
  <si>
    <t>Gardner, M., Varone, E.:In Field:16 JUL 2020</t>
  </si>
  <si>
    <t>M. Gardner, E. Varone DBG:In Field:03 AUG 2020</t>
  </si>
  <si>
    <t>M. Gardner, E. Varone DBG:In Field:03 SEP 2020</t>
  </si>
  <si>
    <t>Gardner, M., Varone, E.:In Field:02 SEP 2020</t>
  </si>
  <si>
    <t>Gardner, M., Varone, E.:In Field:27 AUG 2020</t>
  </si>
  <si>
    <t>M. Gardner, E. Varone DBG:In Field:26 AUG 2020</t>
  </si>
  <si>
    <t>M. Gardner, E. Varone DBG:In Field:21 JUL 2020</t>
  </si>
  <si>
    <t>M. Gardner, E. Varone DBG:In Field:12 AUG 2020</t>
  </si>
  <si>
    <t>Gardner, M., Varone, E.:In Field:17 SEP 2020</t>
  </si>
  <si>
    <t>M. Gardner, E. Varone DBG:In Field:17 AUG 2020</t>
  </si>
  <si>
    <t>Gardner, M., Varone, E.:In Field:25 AUG 2020</t>
  </si>
  <si>
    <t>M. Gardner, E. Varone DBG:In Field:25 AUG 2020</t>
  </si>
  <si>
    <t>M. Gardner, E. Varone DBG:In Field:08 OCT 2020</t>
  </si>
  <si>
    <t>M. Gardner, E. Varone DBG:In Field:09 SEP 2020</t>
  </si>
  <si>
    <t>D. Tonenna - BLM:From pressed specimen on day of collection:25 AUG 2020</t>
  </si>
  <si>
    <t>D. Tonenna -- BLM:From pressed specimen on day of collection:02 SEP 2020</t>
  </si>
  <si>
    <t>D. Tonenna - BLM:In Field:10 AUG 2020</t>
  </si>
  <si>
    <t>D. Tonenna - BLM:In Field:10 SEP 2020</t>
  </si>
  <si>
    <t>D. Tonenna - BLM:In Field:22 SEP 2020</t>
  </si>
  <si>
    <t>D. Tonenna - BLM:In Field:01 SEP 2020</t>
  </si>
  <si>
    <t>Dean Tonenna, BLM::10 OCT 2020</t>
  </si>
  <si>
    <t>Dean Tonenna, BLm :In Field:10 OCT 2020</t>
  </si>
  <si>
    <t>Dean Tonenna, BLM:In Field:</t>
  </si>
  <si>
    <t>Dean Tonenna, BLM:In Field:15 OCT 2020</t>
  </si>
  <si>
    <t>Dean Tonenna, BLM:In Field:10 OCT 2020</t>
  </si>
  <si>
    <t>Dean Tonenna:From photograph:20 OCT 2020</t>
  </si>
  <si>
    <t>dean tonena, blm:From pressed specimen on another date:29 OCT 2020</t>
  </si>
  <si>
    <t>Dean Tonenna BLM:In Field:10 NOV 2020</t>
  </si>
  <si>
    <t>Dean Tonenna BLM:In Field:01 NOV 2020</t>
  </si>
  <si>
    <t>Dean Tonenna, BLM:In Field:23 NOV 2020</t>
  </si>
  <si>
    <t>Dean Tonenna, BLM:In Field:03 DEC 2020</t>
  </si>
  <si>
    <t>Dean Tonenna:In Field:03 DEC 2020</t>
  </si>
  <si>
    <t>Dean Tonenna:In Field:15 DEC 2020</t>
  </si>
  <si>
    <t>Dean Tonenna, BLM:From pressed specimen on day of collection:17 AUG 2020</t>
  </si>
  <si>
    <t>Emma Freeland, BLM Natural Resources Specialist:In Field:08 JUL 2020</t>
  </si>
  <si>
    <t>SOS Field Crew - Buffalo, WY:In Field:15 JUN 2020</t>
  </si>
  <si>
    <t>SOS Field Crew-Buffalo, WY:In Field:16 JUN 2020</t>
  </si>
  <si>
    <t>SOS Field Crew-Buffalo, WY:In Field:09 JUN 2020</t>
  </si>
  <si>
    <t>SOS Field Crew-Buffalo, WY:In Field:23 JUN 2020</t>
  </si>
  <si>
    <t>SOS Field Crew-Buffalo, WY:In Field:04 JUN 2020</t>
  </si>
  <si>
    <t>Buffalo SOS Field Crew:In Field:09 JUN 2020</t>
  </si>
  <si>
    <t>SOS Field Crew-Buffalo:In Field:09 JUN 2020</t>
  </si>
  <si>
    <t>SOS Field Crew- Buffalo, WY:In Field:17 JUN 2020</t>
  </si>
  <si>
    <t>SOS Field Crew - Buffalo, WY:In Field:10 JUN 2020</t>
  </si>
  <si>
    <t>SOS Field Crew - Buffalo WY:In Field:30 JUN 2020</t>
  </si>
  <si>
    <t>Buffalo SOS Field Crew:In Field:24 JUN 2020</t>
  </si>
  <si>
    <t>Buffalo SOS Field Crew:From pressed specimen on day of collection:24 JUN 2020</t>
  </si>
  <si>
    <t>SOS Field Crew-Buffalo, WY:In Field:10 JUN 2020</t>
  </si>
  <si>
    <t>Buffalo SOS Field Crew:In Field:27 JUL 2020</t>
  </si>
  <si>
    <t>Buffalo SOS Field Crew:In Field:03 AUG 0202</t>
  </si>
  <si>
    <t>Buffalo SOS Field Crew:In Field:05 AUG 2020</t>
  </si>
  <si>
    <t>Buffalo SOS Field Crew:In Field:06 AUG 2020</t>
  </si>
  <si>
    <t>Buffalo SOS Field Crew:In Field:30 JUL 2020</t>
  </si>
  <si>
    <t>SOS Field Crew-Buffalo, WY:In Field:13 AUG 2020</t>
  </si>
  <si>
    <t>SOS Field Crew-Buffalo, WY:In Field:17 AUG 2020</t>
  </si>
  <si>
    <t>SOS Field Crew-Buffalo, WY:In Field:27 JUL 2020</t>
  </si>
  <si>
    <t>SOS Field Crew-Buffalo, WY:In Field:18 AUG 2020</t>
  </si>
  <si>
    <t>SOS Field Crew-Buffalo, WY:In Field:11 AUG 2020</t>
  </si>
  <si>
    <t>Buffalo SOS Field Crew:In Field:25 AUG 2020</t>
  </si>
  <si>
    <t>Buffalo SOS Field Crew:In Field:27 AUG 2020</t>
  </si>
  <si>
    <t>Boies, A., Grelecki, A.:In Field:03 AUG 2020</t>
  </si>
  <si>
    <t>Boies, A., Grelecki, A.:In Field:23 JUN 2020</t>
  </si>
  <si>
    <t>Boies, A., Grelecki, A.:In Field:12 AUG 2020</t>
  </si>
  <si>
    <t>Boies, A., Grelecki, A.:In Field:18 JUN 2020</t>
  </si>
  <si>
    <t>Boies, A., Grelecki, A.:In Field:24 JUN 2020</t>
  </si>
  <si>
    <t>Boies, A., Grelecki, A.:In Field:17 JUN 2020</t>
  </si>
  <si>
    <t>Boies, A., Grelecki, A.:In Field:21 JUL 2020</t>
  </si>
  <si>
    <t>Boies, A., Grelecki, A.::03 AUG 2020</t>
  </si>
  <si>
    <t>Boies, A., Grelecki, A.:In Field:20 AUG 2020</t>
  </si>
  <si>
    <t>Boies, A., Grelecki, A.:In Field:09 JUL 2020</t>
  </si>
  <si>
    <t>Boies, A., Grelecki, A.:In Field:17 SEP 2020</t>
  </si>
  <si>
    <t>Boies, A., Grelecki, A.:In Field:10 SEP 2020</t>
  </si>
  <si>
    <t>Boies, A., Grelecki, A.:From pressed specimen on day of collection:22 SEP 2020</t>
  </si>
  <si>
    <t>Boies, A., Grelecki, A.:In Field:23 SEP 2020</t>
  </si>
  <si>
    <t>Boies, A., Grelecki, A.:In Field:02 OCT 2020</t>
  </si>
  <si>
    <t>Boies, A., Grelecki, A.:In Field:05 OCT 2020</t>
  </si>
  <si>
    <t>Boies, A., Grelecki, A.:From pressed specimen on day of collection:07 JUL 2020</t>
  </si>
  <si>
    <t>Boies, A., Grelecki, A.:In Field:07 OCT 2020</t>
  </si>
  <si>
    <t>Artemisia tridentata subsp. vaseyana</t>
  </si>
  <si>
    <t>Ericameria nauseosa subsp. consimilis var. oreophila</t>
  </si>
  <si>
    <t>Artemisia tridentata subsp. tridentata</t>
  </si>
  <si>
    <t>Sphaeralcea coccinea subsp. coccinea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</si>
</sst>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
    <numFmt numFmtId="167" formatCode="#.######"/>
    <numFmt numFmtId="168" formatCode="##.#####"/>
    <numFmt numFmtId="169" formatCode="0.0000"/>
  </numFmts>
  <fonts count="2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u/>
      <sz val="11"/>
      <color theme="1"/>
      <name val="Calibri"/>
      <family val="2"/>
      <scheme val="minor"/>
    </font>
    <font>
      <b/>
      <u/>
      <sz val="12"/>
      <color theme="1"/>
      <name val="Calibri"/>
      <family val="2"/>
      <scheme val="minor"/>
    </font>
    <font>
      <b/>
      <i/>
      <sz val="12"/>
      <color theme="1"/>
      <name val="Calibri"/>
      <family val="2"/>
      <scheme val="minor"/>
    </font>
    <font>
      <sz val="11"/>
      <color rgb="FF1F497D"/>
      <name val="Calibri"/>
      <family val="2"/>
      <scheme val="minor"/>
    </font>
    <font>
      <sz val="11"/>
      <name val="Calibri"/>
      <family val="2"/>
      <scheme val="minor"/>
    </font>
    <font>
      <sz val="11"/>
      <color theme="1"/>
      <name val="Calibri"/>
      <family val="2"/>
      <scheme val="minor"/>
    </font>
    <font>
      <sz val="11"/>
      <color theme="0"/>
      <name val="Calibri"/>
      <family val="2"/>
      <scheme val="minor"/>
    </font>
    <font>
      <sz val="12"/>
      <color theme="0"/>
      <name val="Calibri"/>
      <family val="2"/>
      <scheme val="minor"/>
    </font>
    <font>
      <b/>
      <sz val="9"/>
      <color indexed="81"/>
      <name val="Tahoma"/>
      <family val="2"/>
    </font>
    <font>
      <sz val="9"/>
      <color indexed="81"/>
      <name val="Tahoma"/>
      <family val="2"/>
    </font>
    <font>
      <sz val="36"/>
      <color rgb="FFFF0000"/>
      <name val="Calibri"/>
      <family val="2"/>
      <scheme val="minor"/>
    </font>
    <font>
      <sz val="72"/>
      <color rgb="FFFF0000"/>
      <name val="Calibri"/>
      <family val="2"/>
      <scheme val="minor"/>
    </font>
    <font>
      <sz val="22"/>
      <color theme="1"/>
      <name val="Calibri"/>
      <family val="2"/>
      <scheme val="minor"/>
    </font>
    <font>
      <sz val="11"/>
      <color theme="1"/>
      <name val="Calibri"/>
      <family val="2"/>
      <scheme val="minor"/>
    </font>
    <font>
      <sz val="20"/>
      <color rgb="FFFF0000"/>
      <name val="Calibri"/>
      <family val="2"/>
      <scheme val="minor"/>
    </font>
    <font>
      <sz val="48"/>
      <color theme="1"/>
      <name val="Calibri"/>
      <family val="2"/>
      <scheme val="minor"/>
    </font>
    <font>
      <sz val="11"/>
      <color rgb="FF201F1E"/>
      <name val="Calibri"/>
      <family val="2"/>
      <scheme val="minor"/>
    </font>
    <font>
      <sz val="8"/>
      <name val="Calibri"/>
      <family val="2"/>
      <scheme val="minor"/>
    </font>
    <font>
      <b/>
      <sz val="12"/>
      <color theme="0"/>
      <name val="Calibri"/>
      <family val="2"/>
      <scheme val="minor"/>
    </font>
    <font>
      <sz val="11"/>
      <color theme="1"/>
      <name val="Calibri"/>
      <family val="2"/>
      <scheme val="minor"/>
    </font>
    <font>
      <i/>
      <sz val="11"/>
      <color theme="1"/>
      <name val="Calibri"/>
      <family val="2"/>
      <scheme val="minor"/>
    </font>
    <font>
      <sz val="12"/>
      <color rgb="FFFF0000"/>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them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1"/>
        <bgColor indexed="64"/>
      </patternFill>
    </fill>
    <fill>
      <patternFill patternType="solid">
        <fgColor theme="9"/>
        <bgColor indexed="64"/>
      </patternFill>
    </fill>
    <fill>
      <patternFill patternType="solid">
        <fgColor rgb="FFC00000"/>
        <bgColor indexed="64"/>
      </patternFill>
    </fill>
    <fill>
      <patternFill patternType="solid">
        <fgColor rgb="FFFFFF00"/>
        <bgColor indexed="64"/>
      </patternFill>
    </fill>
    <fill>
      <patternFill patternType="solid">
        <fgColor rgb="FFFF00FF"/>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bgColor theme="4"/>
      </patternFill>
    </fill>
  </fills>
  <borders count="8">
    <border>
      <left/>
      <right/>
      <top/>
      <bottom/>
      <diagonal/>
    </border>
    <border>
      <left/>
      <right/>
      <top/>
      <bottom style="medium">
        <color indexed="64"/>
      </bottom>
      <diagonal/>
    </border>
    <border>
      <left/>
      <right/>
      <top/>
      <bottom style="thin">
        <color indexed="64"/>
      </bottom>
      <diagonal/>
    </border>
    <border>
      <left/>
      <right/>
      <top style="thin">
        <color theme="1"/>
      </top>
      <bottom style="thin">
        <color theme="1"/>
      </bottom>
      <diagonal/>
    </border>
    <border>
      <left style="thin">
        <color theme="4" tint="0.39997558519241921"/>
      </left>
      <right style="thin">
        <color theme="4" tint="0.39997558519241921"/>
      </right>
      <top/>
      <bottom style="thin">
        <color indexed="64"/>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bottom style="thin">
        <color theme="4" tint="0.39997558519241921"/>
      </bottom>
      <diagonal/>
    </border>
  </borders>
  <cellStyleXfs count="1">
    <xf numFmtId="0" fontId="0" fillId="0" borderId="0"/>
  </cellStyleXfs>
  <cellXfs count="255">
    <xf numFmtId="0" fontId="0" fillId="0" borderId="0" xfId="0"/>
    <xf numFmtId="0" fontId="2" fillId="0" borderId="0" xfId="0" applyFont="1" applyFill="1"/>
    <xf numFmtId="14" fontId="0" fillId="0" borderId="0" xfId="0" applyNumberFormat="1"/>
    <xf numFmtId="22" fontId="0" fillId="0" borderId="0" xfId="0" applyNumberFormat="1"/>
    <xf numFmtId="1" fontId="0" fillId="0" borderId="0" xfId="0" applyNumberFormat="1"/>
    <xf numFmtId="164" fontId="0" fillId="0" borderId="0" xfId="0" applyNumberFormat="1"/>
    <xf numFmtId="0" fontId="0" fillId="0" borderId="0" xfId="0" applyAlignment="1">
      <alignment wrapText="1"/>
    </xf>
    <xf numFmtId="0" fontId="0" fillId="0" borderId="0" xfId="0"/>
    <xf numFmtId="22" fontId="0" fillId="0" borderId="0" xfId="0" applyNumberFormat="1"/>
    <xf numFmtId="0" fontId="0" fillId="0" borderId="0" xfId="0" applyFill="1"/>
    <xf numFmtId="0" fontId="0" fillId="0" borderId="0" xfId="0" applyAlignment="1">
      <alignment horizontal="center"/>
    </xf>
    <xf numFmtId="0" fontId="2" fillId="0" borderId="0" xfId="0" applyFont="1" applyFill="1" applyAlignment="1">
      <alignment horizontal="center"/>
    </xf>
    <xf numFmtId="0" fontId="0" fillId="4" borderId="0" xfId="0" applyFill="1"/>
    <xf numFmtId="0" fontId="0" fillId="0" borderId="0" xfId="0" applyFill="1" applyBorder="1"/>
    <xf numFmtId="0" fontId="0" fillId="0" borderId="0" xfId="0" applyAlignment="1">
      <alignment horizontal="left"/>
    </xf>
    <xf numFmtId="0" fontId="0" fillId="7" borderId="0" xfId="0" applyFill="1"/>
    <xf numFmtId="0" fontId="0" fillId="6" borderId="0" xfId="0" applyFill="1"/>
    <xf numFmtId="0" fontId="0" fillId="8" borderId="0" xfId="0" applyFill="1"/>
    <xf numFmtId="0" fontId="0" fillId="9" borderId="0" xfId="0" applyFill="1"/>
    <xf numFmtId="0" fontId="0" fillId="10" borderId="0" xfId="0" applyFill="1"/>
    <xf numFmtId="0" fontId="0" fillId="2" borderId="0" xfId="0" applyFill="1"/>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2" borderId="0" xfId="0" applyFill="1" applyAlignment="1">
      <alignment horizontal="center"/>
    </xf>
    <xf numFmtId="0" fontId="0" fillId="8" borderId="0" xfId="0" applyFill="1" applyAlignment="1">
      <alignment horizontal="center"/>
    </xf>
    <xf numFmtId="0" fontId="0" fillId="10" borderId="0" xfId="0" applyFill="1" applyAlignment="1">
      <alignment horizontal="center"/>
    </xf>
    <xf numFmtId="0" fontId="0" fillId="0" borderId="0" xfId="0" applyAlignment="1">
      <alignment horizontal="center" wrapText="1"/>
    </xf>
    <xf numFmtId="0" fontId="0" fillId="0" borderId="0" xfId="0" applyAlignment="1">
      <alignment horizontal="left" wrapText="1"/>
    </xf>
    <xf numFmtId="0" fontId="0" fillId="3" borderId="0" xfId="0" applyFill="1"/>
    <xf numFmtId="0" fontId="0" fillId="0" borderId="0" xfId="0" applyFont="1" applyFill="1" applyBorder="1"/>
    <xf numFmtId="0" fontId="0" fillId="0" borderId="0" xfId="0" quotePrefix="1"/>
    <xf numFmtId="0" fontId="0" fillId="4" borderId="0" xfId="0" applyFill="1" applyAlignment="1">
      <alignment horizontal="center"/>
    </xf>
    <xf numFmtId="0" fontId="0" fillId="0" borderId="0" xfId="0" applyFill="1" applyAlignment="1">
      <alignment horizontal="center"/>
    </xf>
    <xf numFmtId="0" fontId="0" fillId="7" borderId="0" xfId="0" applyFont="1" applyFill="1" applyAlignment="1">
      <alignment horizontal="center"/>
    </xf>
    <xf numFmtId="0" fontId="0" fillId="0" borderId="0" xfId="0" applyFont="1"/>
    <xf numFmtId="0" fontId="0" fillId="6" borderId="0" xfId="0" applyFont="1" applyFill="1" applyAlignment="1">
      <alignment horizontal="center"/>
    </xf>
    <xf numFmtId="0" fontId="0" fillId="9" borderId="0" xfId="0" applyFont="1" applyFill="1" applyAlignment="1">
      <alignment horizontal="center"/>
    </xf>
    <xf numFmtId="0" fontId="0" fillId="4" borderId="0" xfId="0" applyFont="1" applyFill="1" applyAlignment="1">
      <alignment horizontal="center"/>
    </xf>
    <xf numFmtId="14" fontId="0" fillId="0" borderId="0" xfId="0" applyNumberFormat="1" applyFont="1" applyFill="1" applyBorder="1"/>
    <xf numFmtId="0" fontId="0" fillId="0" borderId="0" xfId="0" applyFont="1" applyFill="1"/>
    <xf numFmtId="14" fontId="0" fillId="0" borderId="0" xfId="0" applyNumberFormat="1" applyFill="1" applyAlignment="1">
      <alignment horizontal="center"/>
    </xf>
    <xf numFmtId="0" fontId="2" fillId="0" borderId="0" xfId="0" applyNumberFormat="1" applyFont="1" applyFill="1" applyAlignment="1">
      <alignment horizontal="left"/>
    </xf>
    <xf numFmtId="0" fontId="5" fillId="0" borderId="0" xfId="0" applyNumberFormat="1" applyFont="1" applyFill="1" applyAlignment="1">
      <alignment horizontal="left"/>
    </xf>
    <xf numFmtId="0" fontId="0" fillId="0" borderId="0" xfId="0" applyNumberFormat="1" applyFill="1" applyAlignment="1">
      <alignment horizontal="left"/>
    </xf>
    <xf numFmtId="0" fontId="0" fillId="0" borderId="0" xfId="0" applyNumberFormat="1"/>
    <xf numFmtId="0" fontId="0" fillId="2" borderId="0" xfId="0" applyFont="1" applyFill="1" applyAlignment="1">
      <alignment horizontal="center"/>
    </xf>
    <xf numFmtId="0" fontId="0" fillId="8" borderId="0" xfId="0" applyFont="1" applyFill="1" applyAlignment="1">
      <alignment horizontal="center"/>
    </xf>
    <xf numFmtId="0" fontId="0" fillId="10" borderId="0" xfId="0" applyFont="1" applyFill="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8" fillId="0" borderId="0" xfId="0" applyFont="1" applyAlignment="1">
      <alignment horizontal="center"/>
    </xf>
    <xf numFmtId="0" fontId="9" fillId="0" borderId="0" xfId="0" applyFont="1"/>
    <xf numFmtId="0" fontId="10" fillId="0" borderId="0" xfId="0" applyFont="1"/>
    <xf numFmtId="0" fontId="3" fillId="3" borderId="0" xfId="0" applyFont="1" applyFill="1" applyAlignment="1">
      <alignment horizontal="center"/>
    </xf>
    <xf numFmtId="166" fontId="0" fillId="0" borderId="0" xfId="0" applyNumberFormat="1"/>
    <xf numFmtId="167" fontId="0" fillId="0" borderId="0" xfId="0" applyNumberFormat="1" applyFont="1" applyFill="1" applyBorder="1"/>
    <xf numFmtId="167" fontId="0" fillId="0" borderId="0" xfId="0" applyNumberFormat="1" applyFill="1" applyBorder="1"/>
    <xf numFmtId="0" fontId="11" fillId="0" borderId="0" xfId="0" applyFont="1" applyFill="1" applyBorder="1"/>
    <xf numFmtId="167" fontId="11" fillId="0" borderId="0" xfId="0" applyNumberFormat="1" applyFont="1" applyFill="1" applyBorder="1"/>
    <xf numFmtId="0" fontId="11" fillId="0" borderId="0" xfId="0" applyNumberFormat="1" applyFont="1" applyFill="1" applyBorder="1"/>
    <xf numFmtId="14" fontId="11" fillId="0" borderId="0" xfId="0" applyNumberFormat="1" applyFont="1" applyFill="1" applyBorder="1"/>
    <xf numFmtId="0" fontId="11"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center"/>
    </xf>
    <xf numFmtId="0" fontId="0" fillId="0" borderId="0" xfId="0" applyAlignment="1">
      <alignment horizontal="left" vertical="center" wrapText="1"/>
    </xf>
    <xf numFmtId="0" fontId="11" fillId="5" borderId="0" xfId="0" applyFont="1" applyFill="1" applyAlignment="1">
      <alignment vertical="center" wrapText="1"/>
    </xf>
    <xf numFmtId="0" fontId="0" fillId="11" borderId="0" xfId="0" applyFont="1" applyFill="1" applyAlignment="1">
      <alignment horizontal="center"/>
    </xf>
    <xf numFmtId="0" fontId="0" fillId="12" borderId="0" xfId="0" applyFont="1" applyFill="1" applyAlignment="1">
      <alignment horizontal="center"/>
    </xf>
    <xf numFmtId="0" fontId="12" fillId="14" borderId="0" xfId="0" applyFont="1" applyFill="1" applyAlignment="1">
      <alignment horizontal="center"/>
    </xf>
    <xf numFmtId="0" fontId="0" fillId="15" borderId="0" xfId="0" applyFont="1" applyFill="1" applyAlignment="1">
      <alignment horizontal="center"/>
    </xf>
    <xf numFmtId="0" fontId="13" fillId="16" borderId="0" xfId="0" applyFont="1" applyFill="1" applyAlignment="1">
      <alignment horizontal="center"/>
    </xf>
    <xf numFmtId="0" fontId="0" fillId="17" borderId="0" xfId="0" applyFont="1" applyFill="1" applyAlignment="1">
      <alignment horizontal="center"/>
    </xf>
    <xf numFmtId="0" fontId="0" fillId="11" borderId="0" xfId="0" applyFont="1" applyFill="1" applyAlignment="1">
      <alignment vertical="center" wrapText="1"/>
    </xf>
    <xf numFmtId="0" fontId="0" fillId="13" borderId="0" xfId="0" applyFont="1" applyFill="1" applyAlignment="1">
      <alignment vertical="center" wrapText="1"/>
    </xf>
    <xf numFmtId="0" fontId="0" fillId="8" borderId="0" xfId="0" applyNumberFormat="1" applyFill="1"/>
    <xf numFmtId="14" fontId="0" fillId="8" borderId="0" xfId="0" applyNumberFormat="1" applyFill="1"/>
    <xf numFmtId="0" fontId="0" fillId="8" borderId="0" xfId="0" applyFont="1" applyFill="1" applyBorder="1"/>
    <xf numFmtId="0" fontId="11" fillId="8" borderId="0" xfId="0" applyFont="1" applyFill="1" applyBorder="1"/>
    <xf numFmtId="1" fontId="0" fillId="8" borderId="0" xfId="0" applyNumberFormat="1" applyFont="1" applyFill="1" applyBorder="1"/>
    <xf numFmtId="1" fontId="11" fillId="8" borderId="0" xfId="0" applyNumberFormat="1" applyFont="1" applyFill="1" applyBorder="1"/>
    <xf numFmtId="0" fontId="0" fillId="0" borderId="0" xfId="0" applyAlignment="1">
      <alignment horizontal="center" vertical="center" wrapText="1"/>
    </xf>
    <xf numFmtId="0" fontId="1" fillId="0" borderId="1" xfId="0" applyFont="1" applyBorder="1" applyAlignment="1">
      <alignment horizontal="center" wrapText="1"/>
    </xf>
    <xf numFmtId="0" fontId="0" fillId="5" borderId="0" xfId="0" applyFont="1" applyFill="1" applyAlignment="1">
      <alignment vertical="center" wrapText="1"/>
    </xf>
    <xf numFmtId="0" fontId="11" fillId="3" borderId="0" xfId="0" applyFont="1" applyFill="1" applyAlignment="1">
      <alignment vertical="center" wrapText="1"/>
    </xf>
    <xf numFmtId="0" fontId="0" fillId="3" borderId="0" xfId="0" applyFont="1" applyFill="1" applyAlignment="1">
      <alignment vertical="center" wrapText="1"/>
    </xf>
    <xf numFmtId="14" fontId="0" fillId="0" borderId="0" xfId="0" applyNumberFormat="1" applyAlignment="1">
      <alignment horizontal="center" vertical="center" wrapText="1"/>
    </xf>
    <xf numFmtId="167" fontId="0" fillId="0" borderId="0" xfId="0" applyNumberFormat="1" applyAlignment="1">
      <alignment horizontal="center" vertical="center" wrapText="1"/>
    </xf>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167" fontId="0" fillId="0" borderId="0" xfId="0" applyNumberFormat="1" applyAlignment="1">
      <alignment horizontal="left" vertical="center" wrapText="1"/>
    </xf>
    <xf numFmtId="0" fontId="1" fillId="3" borderId="0" xfId="0" applyFont="1" applyFill="1" applyBorder="1" applyAlignment="1">
      <alignment horizontal="left" vertical="top" wrapText="1"/>
    </xf>
    <xf numFmtId="0" fontId="1" fillId="5" borderId="0" xfId="0" applyFont="1" applyFill="1" applyBorder="1" applyAlignment="1">
      <alignment horizontal="left" vertical="top" wrapText="1"/>
    </xf>
    <xf numFmtId="1" fontId="1" fillId="7" borderId="0" xfId="0" applyNumberFormat="1" applyFont="1" applyFill="1" applyBorder="1" applyAlignment="1">
      <alignment horizontal="left" vertical="top" wrapText="1"/>
    </xf>
    <xf numFmtId="0" fontId="1" fillId="4" borderId="0" xfId="0" applyFont="1" applyFill="1" applyBorder="1" applyAlignment="1">
      <alignment horizontal="left" vertical="top" wrapText="1"/>
    </xf>
    <xf numFmtId="0" fontId="1" fillId="7" borderId="0" xfId="0" applyFont="1" applyFill="1" applyBorder="1" applyAlignment="1">
      <alignment horizontal="left" vertical="top" wrapText="1"/>
    </xf>
    <xf numFmtId="14" fontId="1" fillId="0" borderId="0" xfId="0" applyNumberFormat="1" applyFont="1" applyBorder="1" applyAlignment="1">
      <alignment horizontal="left" vertical="top" wrapText="1"/>
    </xf>
    <xf numFmtId="0" fontId="3" fillId="0" borderId="0" xfId="0" applyFont="1" applyBorder="1" applyAlignment="1">
      <alignment horizontal="left" vertical="top" wrapText="1"/>
    </xf>
    <xf numFmtId="14" fontId="1" fillId="6" borderId="0" xfId="0" applyNumberFormat="1" applyFont="1" applyFill="1" applyBorder="1" applyAlignment="1">
      <alignment horizontal="left" vertical="top" wrapText="1"/>
    </xf>
    <xf numFmtId="0" fontId="1" fillId="6" borderId="0" xfId="0" applyFont="1" applyFill="1" applyBorder="1" applyAlignment="1">
      <alignment horizontal="left" vertical="top" wrapText="1"/>
    </xf>
    <xf numFmtId="49" fontId="1" fillId="6" borderId="0" xfId="0" applyNumberFormat="1" applyFont="1" applyFill="1" applyBorder="1" applyAlignment="1">
      <alignment horizontal="left" vertical="top" wrapText="1"/>
    </xf>
    <xf numFmtId="0" fontId="1" fillId="9" borderId="0" xfId="0" applyFont="1" applyFill="1" applyBorder="1" applyAlignment="1">
      <alignment horizontal="left" vertical="top" wrapText="1"/>
    </xf>
    <xf numFmtId="167" fontId="1" fillId="4" borderId="0" xfId="0" applyNumberFormat="1" applyFont="1" applyFill="1" applyBorder="1" applyAlignment="1">
      <alignment horizontal="left" vertical="top" wrapText="1"/>
    </xf>
    <xf numFmtId="1" fontId="1" fillId="3" borderId="0" xfId="0" applyNumberFormat="1" applyFont="1" applyFill="1" applyBorder="1" applyAlignment="1">
      <alignment horizontal="left" vertical="top" wrapText="1"/>
    </xf>
    <xf numFmtId="0" fontId="1" fillId="8" borderId="0" xfId="0" applyFont="1" applyFill="1" applyBorder="1" applyAlignment="1">
      <alignment horizontal="left" vertical="top" wrapText="1"/>
    </xf>
    <xf numFmtId="0" fontId="1" fillId="10" borderId="0" xfId="0" applyFont="1" applyFill="1" applyBorder="1" applyAlignment="1">
      <alignment horizontal="left" vertical="top" wrapText="1"/>
    </xf>
    <xf numFmtId="0" fontId="0" fillId="0" borderId="0" xfId="0" applyBorder="1" applyAlignment="1">
      <alignment horizontal="left" vertical="top" wrapText="1"/>
    </xf>
    <xf numFmtId="0" fontId="1" fillId="19" borderId="0" xfId="0" applyFont="1" applyFill="1" applyBorder="1" applyAlignment="1">
      <alignment horizontal="left" vertical="top" wrapText="1"/>
    </xf>
    <xf numFmtId="0" fontId="0" fillId="12" borderId="0" xfId="0" applyFill="1"/>
    <xf numFmtId="0" fontId="0" fillId="0" borderId="0" xfId="0" applyFill="1" applyBorder="1" applyAlignment="1">
      <alignment horizontal="left" wrapText="1"/>
    </xf>
    <xf numFmtId="0" fontId="0" fillId="0" borderId="0" xfId="0" applyFont="1" applyFill="1" applyBorder="1" applyAlignment="1">
      <alignment horizontal="left" wrapText="1"/>
    </xf>
    <xf numFmtId="14" fontId="2" fillId="8" borderId="0" xfId="0" applyNumberFormat="1" applyFont="1" applyFill="1"/>
    <xf numFmtId="14" fontId="5" fillId="8" borderId="0" xfId="0" applyNumberFormat="1" applyFont="1" applyFill="1" applyAlignment="1">
      <alignment horizontal="center"/>
    </xf>
    <xf numFmtId="0" fontId="2" fillId="8" borderId="0" xfId="0" applyFont="1" applyFill="1"/>
    <xf numFmtId="0" fontId="5" fillId="8" borderId="0" xfId="0" applyFont="1" applyFill="1"/>
    <xf numFmtId="0" fontId="0" fillId="0" borderId="0" xfId="0" applyAlignment="1">
      <alignment vertical="center" wrapText="1"/>
    </xf>
    <xf numFmtId="0" fontId="17" fillId="0" borderId="0" xfId="0" applyFont="1" applyAlignment="1">
      <alignment horizontal="center" vertical="center" wrapText="1"/>
    </xf>
    <xf numFmtId="0" fontId="0" fillId="18" borderId="0" xfId="0" applyFill="1" applyAlignment="1">
      <alignment vertical="center" wrapText="1"/>
    </xf>
    <xf numFmtId="0" fontId="0" fillId="0" borderId="0" xfId="0" applyAlignment="1">
      <alignment vertical="center"/>
    </xf>
    <xf numFmtId="0" fontId="0" fillId="18" borderId="0" xfId="0" applyFill="1" applyAlignment="1">
      <alignment horizontal="center" vertical="center" wrapText="1"/>
    </xf>
    <xf numFmtId="0" fontId="0" fillId="0" borderId="0" xfId="0" applyAlignment="1">
      <alignment horizontal="center" vertical="center"/>
    </xf>
    <xf numFmtId="0" fontId="0" fillId="12" borderId="0" xfId="0" applyFill="1" applyAlignment="1">
      <alignment vertical="center" wrapText="1"/>
    </xf>
    <xf numFmtId="0" fontId="0" fillId="12" borderId="0" xfId="0" applyFill="1" applyAlignment="1">
      <alignment horizontal="center" vertical="center" wrapText="1"/>
    </xf>
    <xf numFmtId="0" fontId="1" fillId="0" borderId="0" xfId="0" applyFont="1" applyFill="1" applyBorder="1" applyAlignment="1">
      <alignment vertical="center" wrapText="1"/>
    </xf>
    <xf numFmtId="0" fontId="1" fillId="18" borderId="0" xfId="0" applyFont="1" applyFill="1" applyBorder="1" applyAlignment="1">
      <alignment vertical="center" wrapText="1"/>
    </xf>
    <xf numFmtId="167" fontId="1" fillId="0" borderId="0" xfId="0" applyNumberFormat="1" applyFont="1" applyFill="1" applyBorder="1" applyAlignment="1">
      <alignment vertical="center" wrapText="1"/>
    </xf>
    <xf numFmtId="0" fontId="0" fillId="0" borderId="0" xfId="0" applyFill="1" applyBorder="1" applyAlignment="1">
      <alignment vertical="center" wrapText="1"/>
    </xf>
    <xf numFmtId="14" fontId="0" fillId="0" borderId="0" xfId="0" applyNumberFormat="1" applyAlignment="1">
      <alignment vertical="center" wrapText="1"/>
    </xf>
    <xf numFmtId="0" fontId="0" fillId="0" borderId="0" xfId="0" applyNumberFormat="1" applyAlignment="1">
      <alignment vertical="center" wrapText="1"/>
    </xf>
    <xf numFmtId="166" fontId="0" fillId="0" borderId="0" xfId="0" applyNumberFormat="1" applyAlignment="1">
      <alignment vertical="center" wrapText="1"/>
    </xf>
    <xf numFmtId="0" fontId="1" fillId="0" borderId="0" xfId="0" applyFont="1" applyFill="1" applyAlignment="1">
      <alignment vertical="center" wrapText="1"/>
    </xf>
    <xf numFmtId="0" fontId="18" fillId="0" borderId="0" xfId="0" applyFont="1" applyAlignment="1">
      <alignment horizontal="left" vertical="center" wrapText="1"/>
    </xf>
    <xf numFmtId="0" fontId="2" fillId="0" borderId="0" xfId="0" applyFont="1" applyFill="1" applyAlignment="1">
      <alignment vertical="center" wrapText="1"/>
    </xf>
    <xf numFmtId="0" fontId="2" fillId="18" borderId="0" xfId="0" applyFont="1" applyFill="1" applyAlignment="1">
      <alignment vertical="center" wrapText="1"/>
    </xf>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NumberFormat="1" applyFont="1" applyFill="1" applyAlignment="1">
      <alignment horizontal="left" vertical="center" wrapText="1"/>
    </xf>
    <xf numFmtId="1" fontId="0" fillId="0" borderId="0" xfId="0" applyNumberFormat="1"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horizontal="left" vertical="center" wrapText="1"/>
    </xf>
    <xf numFmtId="0" fontId="0" fillId="0" borderId="0" xfId="0"/>
    <xf numFmtId="0" fontId="0" fillId="0" borderId="0" xfId="0" applyFont="1" applyFill="1" applyBorder="1" applyAlignment="1">
      <alignment horizontal="left" vertical="center" wrapText="1"/>
    </xf>
    <xf numFmtId="14" fontId="0" fillId="0" borderId="0" xfId="0" applyNumberFormat="1" applyFont="1" applyFill="1" applyBorder="1" applyAlignment="1">
      <alignment horizontal="left" vertical="center" wrapText="1"/>
    </xf>
    <xf numFmtId="0" fontId="0" fillId="11" borderId="0" xfId="0"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168" fontId="0" fillId="0" borderId="0" xfId="0" applyNumberFormat="1" applyFill="1" applyBorder="1" applyAlignment="1">
      <alignment horizontal="left" vertical="center" wrapText="1"/>
    </xf>
    <xf numFmtId="165" fontId="0" fillId="0" borderId="0" xfId="0" applyNumberFormat="1" applyFont="1" applyFill="1" applyBorder="1" applyAlignment="1">
      <alignment horizontal="left" vertical="center" wrapText="1"/>
    </xf>
    <xf numFmtId="14" fontId="2" fillId="8" borderId="0" xfId="0" applyNumberFormat="1" applyFont="1" applyFill="1" applyAlignment="1">
      <alignment horizontal="center"/>
    </xf>
    <xf numFmtId="0" fontId="2" fillId="0" borderId="0" xfId="0" applyNumberFormat="1" applyFont="1" applyFill="1" applyAlignment="1">
      <alignment horizontal="center"/>
    </xf>
    <xf numFmtId="14" fontId="0" fillId="0" borderId="0" xfId="0" applyNumberFormat="1" applyFont="1" applyFill="1"/>
    <xf numFmtId="0" fontId="0" fillId="0" borderId="0" xfId="0" applyNumberFormat="1" applyFont="1" applyFill="1" applyBorder="1"/>
    <xf numFmtId="0" fontId="0" fillId="0" borderId="0" xfId="0" applyNumberFormat="1" applyFill="1"/>
    <xf numFmtId="0" fontId="0" fillId="18" borderId="0" xfId="0" applyFont="1" applyFill="1" applyBorder="1" applyAlignment="1">
      <alignment horizontal="left" vertical="center" wrapText="1"/>
    </xf>
    <xf numFmtId="14" fontId="0" fillId="19" borderId="0" xfId="0" applyNumberFormat="1" applyFont="1" applyFill="1" applyBorder="1"/>
    <xf numFmtId="14" fontId="11" fillId="19" borderId="0" xfId="0" applyNumberFormat="1" applyFont="1" applyFill="1" applyBorder="1"/>
    <xf numFmtId="14" fontId="0" fillId="19" borderId="0" xfId="0" applyNumberFormat="1" applyFont="1" applyFill="1"/>
    <xf numFmtId="14" fontId="0" fillId="18" borderId="0" xfId="0" applyNumberFormat="1" applyFont="1" applyFill="1" applyBorder="1" applyAlignment="1">
      <alignment horizontal="left" vertical="center" wrapText="1"/>
    </xf>
    <xf numFmtId="0" fontId="1" fillId="5"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7" borderId="3" xfId="0" applyFont="1" applyFill="1" applyBorder="1" applyAlignment="1">
      <alignment horizontal="left" vertical="top" wrapText="1"/>
    </xf>
    <xf numFmtId="14" fontId="1" fillId="0" borderId="3" xfId="0" applyNumberFormat="1" applyFont="1" applyBorder="1" applyAlignment="1">
      <alignment horizontal="left" vertical="top" wrapText="1"/>
    </xf>
    <xf numFmtId="167" fontId="1" fillId="4" borderId="3" xfId="0" applyNumberFormat="1" applyFont="1" applyFill="1" applyBorder="1" applyAlignment="1">
      <alignment horizontal="left" vertical="top" wrapText="1"/>
    </xf>
    <xf numFmtId="0" fontId="1" fillId="8" borderId="3" xfId="0" applyFont="1" applyFill="1" applyBorder="1" applyAlignment="1">
      <alignment horizontal="left" vertical="top" wrapText="1"/>
    </xf>
    <xf numFmtId="0" fontId="20" fillId="0" borderId="0" xfId="0" applyFont="1"/>
    <xf numFmtId="0" fontId="1" fillId="0" borderId="0" xfId="0" quotePrefix="1" applyFont="1" applyAlignment="1">
      <alignment horizontal="center"/>
    </xf>
    <xf numFmtId="1" fontId="1" fillId="4" borderId="0" xfId="0" applyNumberFormat="1" applyFont="1" applyFill="1" applyBorder="1" applyAlignment="1">
      <alignment horizontal="left" vertical="top" wrapText="1"/>
    </xf>
    <xf numFmtId="1" fontId="1" fillId="4" borderId="3" xfId="0" applyNumberFormat="1" applyFont="1" applyFill="1" applyBorder="1" applyAlignment="1">
      <alignment horizontal="left" vertical="top" wrapText="1"/>
    </xf>
    <xf numFmtId="0" fontId="0" fillId="3" borderId="0" xfId="0" applyFont="1" applyFill="1" applyBorder="1" applyAlignment="1">
      <alignment horizontal="left" vertical="top" wrapText="1"/>
    </xf>
    <xf numFmtId="0" fontId="0" fillId="7" borderId="0" xfId="0" applyFont="1" applyFill="1" applyBorder="1" applyAlignment="1">
      <alignment horizontal="left" vertical="top" wrapText="1"/>
    </xf>
    <xf numFmtId="1" fontId="0" fillId="7" borderId="0" xfId="0" applyNumberFormat="1" applyFont="1" applyFill="1" applyBorder="1" applyAlignment="1">
      <alignment horizontal="left" vertical="top" wrapText="1"/>
    </xf>
    <xf numFmtId="1" fontId="0" fillId="4" borderId="0" xfId="0" applyNumberFormat="1" applyFont="1" applyFill="1" applyBorder="1" applyAlignment="1">
      <alignment horizontal="left" vertical="top" wrapText="1"/>
    </xf>
    <xf numFmtId="0" fontId="0" fillId="4" borderId="0" xfId="0" applyFont="1" applyFill="1" applyBorder="1" applyAlignment="1">
      <alignment horizontal="left" vertical="top" wrapText="1"/>
    </xf>
    <xf numFmtId="14" fontId="0" fillId="0" borderId="0" xfId="0" applyNumberFormat="1" applyFont="1" applyBorder="1" applyAlignment="1">
      <alignment horizontal="left" vertical="top" wrapText="1"/>
    </xf>
    <xf numFmtId="0" fontId="2" fillId="0" borderId="0" xfId="0" applyFont="1" applyBorder="1" applyAlignment="1">
      <alignment horizontal="left" vertical="top" wrapText="1"/>
    </xf>
    <xf numFmtId="0" fontId="0" fillId="17" borderId="0" xfId="0" applyFont="1" applyFill="1" applyBorder="1" applyAlignment="1">
      <alignment horizontal="left" vertical="top" wrapText="1"/>
    </xf>
    <xf numFmtId="14" fontId="0" fillId="6" borderId="0" xfId="0" applyNumberFormat="1" applyFont="1" applyFill="1" applyBorder="1" applyAlignment="1">
      <alignment horizontal="left" vertical="top" wrapText="1"/>
    </xf>
    <xf numFmtId="0" fontId="0" fillId="6" borderId="0" xfId="0" applyFont="1" applyFill="1" applyBorder="1" applyAlignment="1">
      <alignment horizontal="left" vertical="top" wrapText="1"/>
    </xf>
    <xf numFmtId="167" fontId="0" fillId="3" borderId="0" xfId="0" applyNumberFormat="1" applyFont="1" applyFill="1" applyBorder="1" applyAlignment="1">
      <alignment horizontal="left" vertical="top" wrapText="1"/>
    </xf>
    <xf numFmtId="167" fontId="0" fillId="6" borderId="0" xfId="0" applyNumberFormat="1" applyFont="1" applyFill="1" applyBorder="1" applyAlignment="1">
      <alignment horizontal="left" vertical="top" wrapText="1"/>
    </xf>
    <xf numFmtId="49" fontId="0" fillId="6" borderId="0" xfId="0" applyNumberFormat="1" applyFont="1" applyFill="1" applyBorder="1" applyAlignment="1">
      <alignment horizontal="left" vertical="top" wrapText="1"/>
    </xf>
    <xf numFmtId="0" fontId="0" fillId="9" borderId="0" xfId="0" applyFont="1" applyFill="1" applyBorder="1" applyAlignment="1">
      <alignment horizontal="left" vertical="top" wrapText="1"/>
    </xf>
    <xf numFmtId="0" fontId="0" fillId="5" borderId="0" xfId="0" applyFont="1" applyFill="1" applyBorder="1" applyAlignment="1">
      <alignment horizontal="left" vertical="top" wrapText="1"/>
    </xf>
    <xf numFmtId="167" fontId="0" fillId="4" borderId="0" xfId="0" applyNumberFormat="1" applyFont="1" applyFill="1" applyBorder="1" applyAlignment="1">
      <alignment horizontal="left" vertical="top" wrapText="1"/>
    </xf>
    <xf numFmtId="1" fontId="0" fillId="3" borderId="0" xfId="0" applyNumberFormat="1" applyFont="1" applyFill="1" applyBorder="1" applyAlignment="1">
      <alignment horizontal="left" vertical="top" wrapText="1"/>
    </xf>
    <xf numFmtId="0" fontId="0" fillId="8" borderId="0" xfId="0" applyFont="1" applyFill="1" applyBorder="1" applyAlignment="1">
      <alignment horizontal="left" vertical="top" wrapText="1"/>
    </xf>
    <xf numFmtId="0" fontId="0" fillId="19"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20" borderId="0" xfId="0" applyFont="1" applyFill="1" applyAlignment="1">
      <alignment horizontal="left" vertical="top" wrapText="1"/>
    </xf>
    <xf numFmtId="0" fontId="0" fillId="20" borderId="0" xfId="0" applyFont="1" applyFill="1" applyBorder="1" applyAlignment="1">
      <alignment horizontal="left" vertical="top" wrapText="1"/>
    </xf>
    <xf numFmtId="0" fontId="21" fillId="0" borderId="0" xfId="0" applyFont="1"/>
    <xf numFmtId="0" fontId="1" fillId="6" borderId="3" xfId="0" applyFont="1" applyFill="1" applyBorder="1" applyAlignment="1">
      <alignment horizontal="left" vertical="top" wrapText="1"/>
    </xf>
    <xf numFmtId="49" fontId="1" fillId="6" borderId="3" xfId="0" applyNumberFormat="1" applyFont="1" applyFill="1" applyBorder="1" applyAlignment="1">
      <alignment horizontal="left" vertical="top" wrapText="1"/>
    </xf>
    <xf numFmtId="14" fontId="11" fillId="8" borderId="0" xfId="0" applyNumberFormat="1" applyFont="1" applyFill="1" applyBorder="1"/>
    <xf numFmtId="14" fontId="0" fillId="8" borderId="0" xfId="0" applyNumberFormat="1" applyFont="1" applyFill="1"/>
    <xf numFmtId="0" fontId="22" fillId="0" borderId="0" xfId="0" applyFont="1"/>
    <xf numFmtId="0" fontId="0" fillId="0" borderId="0" xfId="0" applyFill="1" applyBorder="1" applyAlignment="1">
      <alignment horizontal="left"/>
    </xf>
    <xf numFmtId="0" fontId="0" fillId="0" borderId="0" xfId="0" applyFont="1" applyFill="1" applyBorder="1" applyAlignment="1">
      <alignment horizontal="left" vertical="center"/>
    </xf>
    <xf numFmtId="0" fontId="2" fillId="0" borderId="2" xfId="0" applyFont="1" applyBorder="1" applyAlignment="1">
      <alignment vertical="center" wrapText="1"/>
    </xf>
    <xf numFmtId="0" fontId="24" fillId="21" borderId="4" xfId="0" applyFont="1" applyFill="1" applyBorder="1" applyAlignment="1">
      <alignment vertical="center" wrapText="1"/>
    </xf>
    <xf numFmtId="0" fontId="1" fillId="6" borderId="0" xfId="0" applyFont="1" applyFill="1" applyBorder="1" applyAlignment="1">
      <alignment horizontal="center" vertical="top" wrapText="1"/>
    </xf>
    <xf numFmtId="1" fontId="0" fillId="0" borderId="0" xfId="0" applyNumberFormat="1" applyFont="1" applyFill="1" applyBorder="1" applyAlignment="1">
      <alignment horizontal="center" vertical="center" wrapText="1"/>
    </xf>
    <xf numFmtId="167" fontId="1" fillId="6" borderId="0" xfId="0" applyNumberFormat="1" applyFont="1" applyFill="1" applyBorder="1" applyAlignment="1">
      <alignment horizontal="center" vertical="top" wrapText="1"/>
    </xf>
    <xf numFmtId="167" fontId="0" fillId="0" borderId="0" xfId="0" applyNumberFormat="1" applyFont="1" applyFill="1" applyBorder="1" applyAlignment="1">
      <alignment horizontal="center" vertical="center" wrapText="1"/>
    </xf>
    <xf numFmtId="0" fontId="1" fillId="9" borderId="0" xfId="0" applyFont="1" applyFill="1" applyBorder="1" applyAlignment="1">
      <alignment horizontal="center" vertical="top" wrapText="1"/>
    </xf>
    <xf numFmtId="0" fontId="0" fillId="11" borderId="0" xfId="0" applyFont="1" applyFill="1" applyBorder="1" applyAlignment="1">
      <alignment horizontal="center" vertical="center" wrapText="1"/>
    </xf>
    <xf numFmtId="0" fontId="0" fillId="0" borderId="5" xfId="0" applyFont="1" applyFill="1" applyBorder="1"/>
    <xf numFmtId="0" fontId="0" fillId="0" borderId="6" xfId="0" applyFont="1" applyFill="1" applyBorder="1"/>
    <xf numFmtId="0" fontId="0" fillId="3" borderId="0" xfId="0" applyFont="1" applyFill="1"/>
    <xf numFmtId="0" fontId="0" fillId="0" borderId="7" xfId="0" applyFont="1" applyFill="1" applyBorder="1"/>
    <xf numFmtId="1" fontId="0" fillId="0" borderId="0" xfId="0" applyNumberFormat="1" applyFont="1" applyFill="1" applyBorder="1" applyAlignment="1">
      <alignment horizontal="left" wrapText="1"/>
    </xf>
    <xf numFmtId="0" fontId="26" fillId="0" borderId="0" xfId="0" applyFont="1" applyFill="1" applyBorder="1" applyAlignment="1">
      <alignment horizontal="left" wrapText="1"/>
    </xf>
    <xf numFmtId="0" fontId="0" fillId="11" borderId="0" xfId="0" applyFont="1" applyFill="1" applyBorder="1" applyAlignment="1">
      <alignment horizontal="left" wrapText="1"/>
    </xf>
    <xf numFmtId="0" fontId="0" fillId="0" borderId="0" xfId="0" applyFont="1" applyFill="1" applyBorder="1" applyAlignment="1">
      <alignment horizontal="left"/>
    </xf>
    <xf numFmtId="167" fontId="0" fillId="0" borderId="0" xfId="0" applyNumberFormat="1" applyFont="1" applyFill="1" applyBorder="1" applyAlignment="1">
      <alignment horizontal="left" wrapText="1"/>
    </xf>
    <xf numFmtId="14" fontId="0" fillId="8" borderId="0" xfId="0" applyNumberFormat="1" applyFont="1" applyFill="1" applyBorder="1"/>
    <xf numFmtId="0" fontId="0" fillId="0" borderId="0" xfId="0" applyBorder="1" applyAlignment="1">
      <alignment horizontal="left" vertical="top"/>
    </xf>
    <xf numFmtId="1" fontId="0" fillId="0" borderId="0" xfId="0" applyNumberFormat="1" applyFill="1" applyBorder="1" applyAlignment="1">
      <alignment horizontal="left"/>
    </xf>
    <xf numFmtId="0" fontId="0" fillId="0" borderId="0" xfId="0" applyAlignment="1"/>
    <xf numFmtId="14" fontId="0" fillId="0" borderId="0" xfId="0" applyNumberFormat="1" applyFill="1" applyBorder="1" applyAlignment="1">
      <alignment horizontal="left"/>
    </xf>
    <xf numFmtId="14" fontId="0" fillId="0" borderId="0" xfId="0" applyNumberFormat="1" applyAlignment="1"/>
    <xf numFmtId="0" fontId="0" fillId="0" borderId="0" xfId="0" applyFill="1" applyAlignment="1"/>
    <xf numFmtId="0" fontId="0" fillId="0" borderId="0" xfId="0" applyFill="1" applyBorder="1" applyAlignment="1"/>
    <xf numFmtId="167" fontId="0" fillId="0" borderId="0" xfId="0" applyNumberFormat="1" applyFill="1" applyBorder="1" applyAlignment="1">
      <alignment horizontal="left"/>
    </xf>
    <xf numFmtId="165" fontId="11" fillId="0" borderId="0" xfId="0" applyNumberFormat="1" applyFont="1" applyFill="1"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left" vertical="top"/>
    </xf>
    <xf numFmtId="167" fontId="0" fillId="0" borderId="0" xfId="0" applyNumberFormat="1" applyFill="1" applyBorder="1" applyAlignment="1">
      <alignment horizontal="center"/>
    </xf>
    <xf numFmtId="165" fontId="19" fillId="0" borderId="0" xfId="0" applyNumberFormat="1" applyFont="1" applyFill="1" applyBorder="1" applyAlignment="1">
      <alignment horizontal="left"/>
    </xf>
    <xf numFmtId="0" fontId="19" fillId="0" borderId="0" xfId="0" applyFont="1" applyFill="1" applyBorder="1" applyAlignment="1">
      <alignment horizontal="left"/>
    </xf>
    <xf numFmtId="165" fontId="0" fillId="0" borderId="0" xfId="0" applyNumberFormat="1" applyFont="1" applyFill="1" applyBorder="1" applyAlignment="1">
      <alignment horizontal="left"/>
    </xf>
    <xf numFmtId="169" fontId="0" fillId="0" borderId="0" xfId="0" applyNumberFormat="1" applyAlignment="1"/>
    <xf numFmtId="0" fontId="0" fillId="0" borderId="0" xfId="0" applyFill="1" applyBorder="1" applyAlignment="1">
      <alignment horizontal="center"/>
    </xf>
    <xf numFmtId="1" fontId="0" fillId="0" borderId="0" xfId="0" applyNumberFormat="1" applyFill="1" applyBorder="1" applyAlignment="1">
      <alignment horizontal="center"/>
    </xf>
    <xf numFmtId="168" fontId="0" fillId="0" borderId="0" xfId="0" applyNumberFormat="1" applyFill="1" applyBorder="1" applyAlignment="1">
      <alignment horizontal="left"/>
    </xf>
    <xf numFmtId="49" fontId="0" fillId="0" borderId="0" xfId="0" applyNumberFormat="1" applyFill="1" applyBorder="1" applyAlignment="1">
      <alignment horizontal="left"/>
    </xf>
    <xf numFmtId="0" fontId="0" fillId="0" borderId="0" xfId="0" applyNumberFormat="1" applyFill="1" applyBorder="1" applyAlignment="1">
      <alignment horizontal="left"/>
    </xf>
    <xf numFmtId="0" fontId="25" fillId="0" borderId="0" xfId="0" applyFont="1" applyFill="1" applyBorder="1" applyAlignment="1">
      <alignment horizontal="left"/>
    </xf>
    <xf numFmtId="165" fontId="25" fillId="0" borderId="0" xfId="0" applyNumberFormat="1" applyFont="1" applyFill="1" applyBorder="1" applyAlignment="1">
      <alignment horizontal="left"/>
    </xf>
    <xf numFmtId="1" fontId="0" fillId="0" borderId="0" xfId="0" applyNumberFormat="1" applyBorder="1" applyAlignment="1">
      <alignment horizontal="left" vertical="top"/>
    </xf>
    <xf numFmtId="14" fontId="0" fillId="0" borderId="0" xfId="0" applyNumberFormat="1" applyBorder="1" applyAlignment="1">
      <alignment horizontal="left" vertical="top"/>
    </xf>
    <xf numFmtId="0" fontId="0" fillId="0" borderId="0" xfId="0" applyBorder="1" applyAlignment="1">
      <alignment horizontal="center" vertical="top"/>
    </xf>
    <xf numFmtId="0" fontId="0" fillId="0" borderId="0" xfId="0" applyAlignment="1">
      <alignment horizontal="left" vertical="top"/>
    </xf>
    <xf numFmtId="167" fontId="0" fillId="0" borderId="0" xfId="0" applyNumberFormat="1" applyBorder="1" applyAlignment="1">
      <alignment horizontal="left" vertical="top"/>
    </xf>
    <xf numFmtId="49" fontId="0" fillId="0" borderId="0" xfId="0" applyNumberFormat="1" applyBorder="1" applyAlignment="1">
      <alignment horizontal="left" vertical="top"/>
    </xf>
    <xf numFmtId="0" fontId="10" fillId="0" borderId="0" xfId="0" applyFont="1" applyFill="1" applyBorder="1" applyAlignment="1">
      <alignment horizontal="left"/>
    </xf>
    <xf numFmtId="1" fontId="0" fillId="0" borderId="0" xfId="0" applyNumberFormat="1" applyAlignment="1">
      <alignment horizontal="center"/>
    </xf>
    <xf numFmtId="1" fontId="0" fillId="0" borderId="0" xfId="0" applyNumberFormat="1" applyFont="1" applyFill="1" applyBorder="1" applyAlignment="1">
      <alignment horizontal="left"/>
    </xf>
    <xf numFmtId="0" fontId="27" fillId="0" borderId="0" xfId="0" applyFont="1" applyFill="1"/>
    <xf numFmtId="0" fontId="27" fillId="0" borderId="0" xfId="0" applyFont="1" applyFill="1" applyAlignment="1">
      <alignment horizontal="left"/>
    </xf>
    <xf numFmtId="0" fontId="27" fillId="8" borderId="0" xfId="0" applyFont="1" applyFill="1"/>
    <xf numFmtId="0" fontId="27" fillId="0" borderId="0" xfId="0" applyFont="1" applyFill="1" applyAlignment="1">
      <alignment horizontal="center"/>
    </xf>
    <xf numFmtId="0" fontId="27" fillId="0" borderId="0" xfId="0" applyNumberFormat="1" applyFont="1" applyFill="1" applyAlignment="1">
      <alignment horizontal="center"/>
    </xf>
    <xf numFmtId="14" fontId="27" fillId="8" borderId="0" xfId="0" applyNumberFormat="1" applyFont="1" applyFill="1" applyAlignment="1">
      <alignment horizontal="center"/>
    </xf>
    <xf numFmtId="0" fontId="27" fillId="0" borderId="0" xfId="0" applyNumberFormat="1" applyFont="1" applyFill="1" applyAlignment="1">
      <alignment horizontal="left"/>
    </xf>
  </cellXfs>
  <cellStyles count="1">
    <cellStyle name="Normal" xfId="0" builtinId="0"/>
  </cellStyles>
  <dxfs count="339">
    <dxf>
      <numFmt numFmtId="0" formatCode="General"/>
      <alignment horizontal="left" vertical="center" textRotation="0" wrapText="1" indent="0" justifyLastLine="0" shrinkToFit="0" readingOrder="0"/>
    </dxf>
    <dxf>
      <numFmt numFmtId="167" formatCode="#.######"/>
      <alignment horizontal="left" vertical="center" textRotation="0" wrapText="1" indent="0" justifyLastLine="0" shrinkToFit="0" readingOrder="0"/>
    </dxf>
    <dxf>
      <numFmt numFmtId="167" formatCode="#.######"/>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19" formatCode="m/d/yyyy"/>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fill>
        <patternFill>
          <fgColor indexed="64"/>
          <bgColor theme="7" tint="0.79998168889431442"/>
        </patternFill>
      </fill>
    </dxf>
    <dxf>
      <fill>
        <patternFill patternType="solid">
          <fgColor indexed="64"/>
          <bgColor theme="0" tint="-0.34998626667073579"/>
        </patternFill>
      </fill>
    </dxf>
    <dxf>
      <numFmt numFmtId="0" formatCode="General"/>
      <fill>
        <patternFill patternType="solid">
          <fgColor indexed="64"/>
          <bgColor theme="7" tint="0.79998168889431442"/>
        </patternFill>
      </fill>
    </dxf>
    <dxf>
      <numFmt numFmtId="0" formatCode="General"/>
    </dxf>
    <dxf>
      <alignment horizontal="center" vertical="center" textRotation="0" wrapText="1" indent="0" justifyLastLine="0" shrinkToFit="0" readingOrder="0"/>
    </dxf>
    <dxf>
      <numFmt numFmtId="0" formatCode="General"/>
    </dxf>
    <dxf>
      <numFmt numFmtId="0" formatCode="General"/>
      <fill>
        <patternFill>
          <fgColor indexed="64"/>
          <bgColor theme="7" tint="0.79998168889431442"/>
        </patternFill>
      </fill>
    </dxf>
    <dxf>
      <fill>
        <patternFill patternType="solid">
          <fgColor indexed="64"/>
          <bgColor theme="0" tint="-0.34998626667073579"/>
        </patternFill>
      </fill>
    </dxf>
    <dxf>
      <fill>
        <patternFill patternType="solid">
          <fgColor indexed="64"/>
          <bgColor theme="7" tint="0.79998168889431442"/>
        </patternFill>
      </fill>
    </dxf>
    <dxf>
      <alignment horizontal="center" vertical="center" textRotation="0" wrapText="1" indent="0" justifyLastLine="0" shrinkToFit="0" readingOrder="0"/>
    </dxf>
    <dxf>
      <numFmt numFmtId="0" formatCode="General"/>
      <fill>
        <patternFill>
          <fgColor indexed="64"/>
          <bgColor theme="7" tint="0.79998168889431442"/>
        </patternFill>
      </fill>
    </dxf>
    <dxf>
      <numFmt numFmtId="0" formatCode="General"/>
      <fill>
        <patternFill>
          <fgColor indexed="64"/>
          <bgColor theme="7" tint="0.79998168889431442"/>
        </patternFill>
      </fill>
    </dxf>
    <dxf>
      <fill>
        <patternFill patternType="solid">
          <fgColor indexed="64"/>
          <bgColor theme="7" tint="0.79998168889431442"/>
        </patternFill>
      </fill>
    </dxf>
    <dxf>
      <fill>
        <patternFill patternType="none">
          <fgColor indexed="64"/>
          <bgColor auto="1"/>
        </patternFill>
      </fill>
    </dxf>
    <dxf>
      <alignment horizontal="general" vertical="center" textRotation="0" wrapText="1" indent="0" justifyLastLine="0" shrinkToFit="0" readingOrder="0"/>
    </dxf>
    <dxf>
      <numFmt numFmtId="0" formatCode="General"/>
    </dxf>
    <dxf>
      <fill>
        <patternFill patternType="solid">
          <fgColor indexed="64"/>
          <bgColor theme="0" tint="-0.34998626667073579"/>
        </patternFill>
      </fill>
    </dxf>
    <dxf>
      <numFmt numFmtId="0" formatCode="General"/>
      <fill>
        <patternFill>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dxf>
    <dxf>
      <numFmt numFmtId="0" formatCode="General"/>
      <fill>
        <patternFill patternType="none">
          <fgColor indexed="64"/>
          <bgColor auto="1"/>
        </patternFill>
      </fil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numFmt numFmtId="0" formatCode="General"/>
    </dxf>
    <dxf>
      <numFmt numFmtId="0" formatCode="Genera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numFmt numFmtId="0" formatCode="General"/>
    </dxf>
    <dxf>
      <fill>
        <patternFill patternType="solid">
          <fgColor indexed="64"/>
          <bgColor theme="7" tint="0.79998168889431442"/>
        </patternFill>
      </fill>
    </dxf>
    <dxf>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numFmt numFmtId="0" formatCode="General"/>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fill>
        <patternFill patternType="solid">
          <fgColor indexed="64"/>
          <bgColor theme="7" tint="0.79998168889431442"/>
        </patternFill>
      </fill>
    </dxf>
    <dxf>
      <alignment horizontal="center" vertical="center" textRotation="0" wrapText="1"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numFmt numFmtId="0" formatCode="General"/>
      <fill>
        <patternFill patternType="solid">
          <fgColor indexed="64"/>
          <bgColor theme="7" tint="0.79998168889431442"/>
        </patternFill>
      </fil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7" formatCode="#.######"/>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7"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numFmt numFmtId="0" formatCode="General"/>
      <fill>
        <patternFill patternType="solid">
          <fgColor indexed="64"/>
          <bgColor theme="7" tint="0.79998168889431442"/>
        </patternFill>
      </fill>
    </dxf>
    <dxf>
      <numFmt numFmtId="19" formatCode="m/d/yyyy"/>
      <fill>
        <patternFill patternType="solid">
          <fgColor indexed="64"/>
          <bgColor theme="7" tint="0.79998168889431442"/>
        </patternFill>
      </fill>
    </dxf>
    <dxf>
      <alignment horizontal="general" vertical="center" textRotation="0" wrapText="1" indent="0" justifyLastLine="0" shrinkToFit="0" readingOrder="0"/>
    </dxf>
    <dxf>
      <numFmt numFmtId="164" formatCode="0.00000"/>
    </dxf>
    <dxf>
      <numFmt numFmtId="164" formatCode="0.00000"/>
    </dxf>
    <dxf>
      <numFmt numFmtId="164" formatCode="0.00000"/>
    </dxf>
    <dxf>
      <numFmt numFmtId="164" formatCode="0.00000"/>
    </dxf>
    <dxf>
      <numFmt numFmtId="166" formatCode="##.######"/>
    </dxf>
    <dxf>
      <numFmt numFmtId="166" formatCode="##.######"/>
    </dxf>
    <dxf>
      <numFmt numFmtId="1" formatCode="0"/>
    </dxf>
    <dxf>
      <numFmt numFmtId="1" formatCode="0"/>
    </dxf>
    <dxf>
      <numFmt numFmtId="1" formatCode="0"/>
    </dxf>
    <dxf>
      <numFmt numFmtId="1" formatCode="0"/>
    </dxf>
    <dxf>
      <numFmt numFmtId="0" formatCode="General"/>
    </dxf>
    <dxf>
      <numFmt numFmtId="0" formatCode="General"/>
      <fill>
        <patternFill>
          <fgColor indexed="64"/>
          <bgColor theme="7" tint="0.79998168889431442"/>
        </patternFill>
      </fill>
    </dxf>
    <dxf>
      <numFmt numFmtId="19" formatCode="m/d/yyyy"/>
      <fill>
        <patternFill>
          <fgColor indexed="64"/>
          <bgColor theme="7" tint="0.79998168889431442"/>
        </patternFill>
      </fill>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solid">
          <fgColor indexed="64"/>
          <bgColor theme="7" tint="0.5999938962981048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rgb="FF000000"/>
          <bgColor rgb="FFFFFFFF"/>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solid">
          <fgColor indexed="64"/>
          <bgColor rgb="FFFF0000"/>
        </patternFill>
      </fill>
    </dxf>
    <dxf>
      <font>
        <b val="0"/>
        <i val="0"/>
        <strike val="0"/>
        <condense val="0"/>
        <extend val="0"/>
        <outline val="0"/>
        <shadow val="0"/>
        <u val="none"/>
        <vertAlign val="baseline"/>
        <sz val="11"/>
        <color theme="1"/>
        <name val="Calibri"/>
        <scheme val="minor"/>
      </font>
      <numFmt numFmtId="19" formatCode="m/d/yyyy"/>
      <fill>
        <patternFill patternType="solid">
          <fgColor indexed="64"/>
          <bgColor rgb="FFFF000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numFmt numFmtId="27" formatCode="m/d/yyyy\ h:mm"/>
    </dxf>
    <dxf>
      <numFmt numFmtId="27" formatCode="m/d/yyyy\ h:mm"/>
    </dxf>
    <dxf>
      <numFmt numFmtId="27" formatCode="m/d/yyyy\ h:mm"/>
    </dxf>
    <dxf>
      <numFmt numFmtId="19" formatCode="m/d/yyyy"/>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7"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alignment vertical="center"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8" formatCode="##.#####"/>
      <fill>
        <patternFill patternType="none">
          <fgColor indexed="64"/>
          <bgColor auto="1"/>
        </patternFill>
      </fill>
      <alignment horizontal="left" vertical="bottom" textRotation="0" wrapText="0" indent="0" justifyLastLine="0" shrinkToFit="0" readingOrder="0"/>
    </dxf>
    <dxf>
      <numFmt numFmtId="168" formatCode="##.#####"/>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indexed="65"/>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border outline="0">
        <top style="thin">
          <color theme="1"/>
        </top>
        <bottom style="thin">
          <color theme="1"/>
        </bottom>
      </border>
    </dxf>
    <dxf>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39997558519241921"/>
        </patternFill>
      </fill>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n">
          <color theme="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5" tint="0.5999938962981048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left"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theme="4" tint="0.39997558519241921"/>
        </patternFill>
      </fill>
      <alignment horizontal="general"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4"/>
        <color theme="1"/>
        <name val="Calibri"/>
        <scheme val="minor"/>
      </font>
      <alignment horizontal="center" vertical="bottom" textRotation="0" wrapText="1" indent="0" justifyLastLine="0" shrinkToFit="0" readingOrder="0"/>
    </dxf>
    <dxf>
      <alignment horizontal="center" vertical="bottom" textRotation="0" wrapText="0" indent="0" justifyLastLine="0" shrinkToFit="0" readingOrder="0"/>
    </dxf>
    <dxf>
      <fill>
        <patternFill patternType="solid">
          <fgColor indexed="64"/>
          <bgColor theme="4" tint="0.39997558519241921"/>
        </patternFill>
      </fill>
    </dxf>
    <dxf>
      <fill>
        <patternFill patternType="solid">
          <fgColor indexed="64"/>
          <bgColor theme="4" tint="0.39997558519241921"/>
        </patternFill>
      </fill>
      <alignment horizontal="left"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alignment vertical="bottom" textRotation="0" wrapText="1" indent="0" justifyLastLine="0" shrinkToFit="0" readingOrder="0"/>
    </dxf>
    <dxf>
      <font>
        <color auto="1"/>
      </font>
      <fill>
        <patternFill>
          <bgColor rgb="FFFF00FF"/>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Table17" displayName="Table17" ref="M1:R99" totalsRowShown="0" headerRowDxfId="337">
  <autoFilter ref="M1:R99" xr:uid="{00000000-0009-0000-0100-000011000000}"/>
  <tableColumns count="6">
    <tableColumn id="6" xr3:uid="{00000000-0010-0000-0000-000006000000}" name="GRIN Order" dataDxfId="336"/>
    <tableColumn id="1" xr3:uid="{00000000-0010-0000-0000-000001000000}" name="GRIN Tab (colors show &quot;umbrella&quot;)"/>
    <tableColumn id="2" xr3:uid="{00000000-0010-0000-0000-000002000000}" name="GRIN Headings" dataDxfId="335"/>
    <tableColumn id="5" xr3:uid="{00000000-0010-0000-0000-000005000000}" name="Type/Name" dataDxfId="334"/>
    <tableColumn id="3" xr3:uid="{00000000-0010-0000-0000-000003000000}" name="Required Field?" dataDxfId="333"/>
    <tableColumn id="4" xr3:uid="{00000000-0010-0000-0000-000004000000}" name="standard fil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062859C-DE63-467C-A786-386A08DF3980}" name="Table47" displayName="Table47" ref="I1:I27" totalsRowShown="0" headerRowDxfId="303" dataDxfId="301" headerRowBorderDxfId="302" tableBorderDxfId="300">
  <autoFilter ref="I1:I27" xr:uid="{0521CB97-27DC-4147-953D-A23E7C2253BB}"/>
  <tableColumns count="1">
    <tableColumn id="1" xr3:uid="{EC657D13-C18B-4A66-B331-9D8CCC2D605E}" name="Inventory Maintanence Policy" dataDxfId="29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DAD44ED9-9D2A-4152-8982-1D00BF1A63B6}" name="Table48" displayName="Table48" ref="J1:J43" totalsRowShown="0" headerRowDxfId="298" headerRowBorderDxfId="297" tableBorderDxfId="296">
  <autoFilter ref="J1:J43" xr:uid="{1C89F819-CB2B-4D97-89E6-CF0B3A6DDB9E}"/>
  <tableColumns count="1">
    <tableColumn id="1" xr3:uid="{061F861F-CDD4-4643-9D8A-A326EC2FCBC7}" name="Sit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DDA83E1-3D57-4DF2-BCAF-BC02B8048259}" name="Table49" displayName="Table49" ref="K1:K33" totalsRowShown="0" headerRowDxfId="295" headerRowBorderDxfId="294" tableBorderDxfId="293">
  <autoFilter ref="K1:K33" xr:uid="{2BDB644D-9BBC-4935-8849-664EAAB68EF8}"/>
  <tableColumns count="1">
    <tableColumn id="1" xr3:uid="{63C51E13-311C-4641-B0F0-DDBCFF4E6458}" name="Accession Restriction Type (IP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7932991-39B4-4CCC-8203-FD093B1CEF64}" name="Table50" displayName="Table50" ref="L1:L28" totalsRowShown="0" headerRowDxfId="292" headerRowBorderDxfId="291" tableBorderDxfId="290">
  <autoFilter ref="L1:L28" xr:uid="{7A00F090-426C-44FA-BC8D-130A340CC46F}"/>
  <tableColumns count="1">
    <tableColumn id="1" xr3:uid="{43A67428-ED53-4995-8833-840743A46FB1}" name="Collecting or Acquisition Sourc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2B48585-D119-4D2A-BA07-9012F32F8250}" name="Table51" displayName="Table51" ref="M1:M23" totalsRowShown="0" headerRowDxfId="289" headerRowBorderDxfId="288" tableBorderDxfId="287">
  <autoFilter ref="M1:M23" xr:uid="{65941C3E-0677-4516-9A77-16CA8F9B473A}"/>
  <tableColumns count="1">
    <tableColumn id="1" xr3:uid="{80125255-E934-488F-BCFE-E378BFB16CCC}" name="Coded Value (Source Descriptor SOIL TEXTUR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84EC7C9-8B26-4E9B-86E2-2E556D8048C7}" name="Table52" displayName="Table52" ref="N1:N10" totalsRowShown="0" headerRowDxfId="286" headerRowBorderDxfId="285" tableBorderDxfId="284">
  <autoFilter ref="N1:N10" xr:uid="{4832B7BB-DF7D-4E35-82AF-F1482C7235DC}"/>
  <tableColumns count="1">
    <tableColumn id="1" xr3:uid="{7B0500C3-77EE-4A27-92DE-B95F326CBF0D}" name="Coded Value (Source Descriptor ASPEC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8939E948-E1B3-4B46-88E4-C819A4AEACB6}" name="Table53" displayName="Table53" ref="O1:P184" totalsRowShown="0" headerRowDxfId="283" dataDxfId="282" tableBorderDxfId="281">
  <autoFilter ref="O1:P184" xr:uid="{171A0F24-EEA7-4D37-8D35-23C712E46E4C}"/>
  <tableColumns count="2">
    <tableColumn id="1" xr3:uid="{EC3DE021-F5FD-44E4-9CDB-B81BA1CA40C2}" name="Coded Value (Source Descriptor ECOREGION)" dataDxfId="280"/>
    <tableColumn id="2" xr3:uid="{E6F8FB67-575E-4B23-83C1-FE214F4F08EE}" name="Accession Action" dataDxfId="27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2000000}" name="Master" displayName="Master" ref="A1:BQ281" totalsRowShown="0" headerRowDxfId="275" dataDxfId="274" tableBorderDxfId="273">
  <tableColumns count="69">
    <tableColumn id="1" xr3:uid="{00000000-0010-0000-0200-000001000000}" name="Curator Unique Number" dataDxfId="272"/>
    <tableColumn id="66" xr3:uid="{00000000-0010-0000-0200-000042000000}" name="Sort No." dataDxfId="271"/>
    <tableColumn id="78" xr3:uid="{00000000-0010-0000-0200-00004E000000}" name="Genus" dataDxfId="270">
      <calculatedColumnFormula>IFERROR(LEFT(Master[[#This Row],[Taxon -Lookup Picker in GRIN]],FIND(" ",Master[[#This Row],[Taxon -Lookup Picker in GRIN]],1)-1),"")</calculatedColumnFormula>
    </tableColumn>
    <tableColumn id="2" xr3:uid="{00000000-0010-0000-0200-000002000000}" name="Accession Prefix (NPGS)" dataDxfId="269"/>
    <tableColumn id="3" xr3:uid="{00000000-0010-0000-0200-000003000000}" name="Accession Number -Assigned" dataDxfId="268"/>
    <tableColumn id="73" xr3:uid="{00000000-0010-0000-0200-000049000000}" name="Inventory Prefix" dataDxfId="267"/>
    <tableColumn id="74" xr3:uid="{00000000-0010-0000-0200-00004A000000}" name="Inventory Number" dataDxfId="266"/>
    <tableColumn id="4" xr3:uid="{00000000-0010-0000-0200-000004000000}" name="Inventory Suffix" dataDxfId="265"/>
    <tableColumn id="5" xr3:uid="{00000000-0010-0000-0200-000005000000}" name="Inventory Type - Lookup Picker" dataDxfId="264"/>
    <tableColumn id="6" xr3:uid="{00000000-0010-0000-0200-000006000000}" name="Taxon -Lookup Picker in GRIN" dataDxfId="263"/>
    <tableColumn id="8" xr3:uid="{00000000-0010-0000-0200-000008000000}" name="Received Date -received by site" dataDxfId="262"/>
    <tableColumn id="9" xr3:uid="{00000000-0010-0000-0200-000009000000}" name="Life Form -Lookup Picker" dataDxfId="261"/>
    <tableColumn id="10" xr3:uid="{00000000-0010-0000-0200-00000A000000}" name="Level of Improvement -Lookup Picker" dataDxfId="260"/>
    <tableColumn id="11" xr3:uid="{00000000-0010-0000-0200-00000B000000}" name="Reproductive Uniformity -Lookup Picker" dataDxfId="259"/>
    <tableColumn id="12" xr3:uid="{00000000-0010-0000-0200-00000C000000}" name="Note (Accession Narrative)" dataDxfId="258"/>
    <tableColumn id="13" xr3:uid="{00000000-0010-0000-0200-00000D000000}" name="Date Collected or Developed" dataDxfId="257"/>
    <tableColumn id="15" xr3:uid="{00000000-0010-0000-0200-00000F000000}" name="Geography (Collection) -Lookup Picker in GRIN" dataDxfId="256"/>
    <tableColumn id="14" xr3:uid="{00000000-0010-0000-0200-00000E000000}" name="Geography (Donor)  -Lookup Picker in GRIN" dataDxfId="255"/>
    <tableColumn id="16" xr3:uid="{00000000-0010-0000-0200-000010000000}" name="Number Plants Sampled" dataDxfId="254"/>
    <tableColumn id="72" xr3:uid="{00000000-0010-0000-0200-000048000000}" name="Collecting or Acquisition Source - List" dataDxfId="253"/>
    <tableColumn id="17" xr3:uid="{00000000-0010-0000-0200-000011000000}" name="Environment Description" dataDxfId="252"/>
    <tableColumn id="71" xr3:uid="{00000000-0010-0000-0200-000047000000}" name="Associated Species" dataDxfId="251"/>
    <tableColumn id="18" xr3:uid="{00000000-0010-0000-0200-000012000000}" name="Collector Verbatim Locality" dataDxfId="250"/>
    <tableColumn id="19" xr3:uid="{00000000-0010-0000-0200-000013000000}" name="Elevation (meters)" dataDxfId="249">
      <calculatedColumnFormula>IFERROR(CONVERT(#REF!,"ft","m"),"")</calculatedColumnFormula>
    </tableColumn>
    <tableColumn id="20" xr3:uid="{00000000-0010-0000-0200-000014000000}" name="Latitude -decimal degrees" dataDxfId="248"/>
    <tableColumn id="21" xr3:uid="{00000000-0010-0000-0200-000015000000}" name="Longitude -decimal degrees" dataDxfId="247"/>
    <tableColumn id="22" xr3:uid="{00000000-0010-0000-0200-000016000000}" name="Georeference Datum" dataDxfId="246"/>
    <tableColumn id="23" xr3:uid="{00000000-0010-0000-0200-000017000000}" name="Georeference Protocol - Lookup Picker" dataDxfId="245"/>
    <tableColumn id="24" xr3:uid="{00000000-0010-0000-0200-000018000000}" name="Note (Accession Source - Collector)" dataDxfId="244"/>
    <tableColumn id="25" xr3:uid="{00000000-0010-0000-0200-000019000000}" name="Cooperator (Donor) 1 -full record" dataDxfId="243"/>
    <tableColumn id="26" xr3:uid="{00000000-0010-0000-0200-00001A000000}" name="Cooperator (Donor) 2 -full record" dataDxfId="242"/>
    <tableColumn id="27" xr3:uid="{00000000-0010-0000-0200-00001B000000}" name="Cooperator (Collector) 1 -full record" dataDxfId="241"/>
    <tableColumn id="28" xr3:uid="{00000000-0010-0000-0200-00001C000000}" name="Cooperator (Collector) 2 -full record" dataDxfId="240"/>
    <tableColumn id="29" xr3:uid="{00000000-0010-0000-0200-00001D000000}" name="Cooperator (Collector) 3 -full record" dataDxfId="239"/>
    <tableColumn id="31" xr3:uid="{00000000-0010-0000-0200-00001F000000}" name="SLOPE" dataDxfId="238"/>
    <tableColumn id="33" xr3:uid="{1B428BEB-9C7B-493C-9E5C-0F1487B6A617}" name="SLOPE Original Value" dataDxfId="237"/>
    <tableColumn id="32" xr3:uid="{00000000-0010-0000-0200-000020000000}" name="ASPECT -lookup picker" dataDxfId="236"/>
    <tableColumn id="30" xr3:uid="{C602DF06-2B4E-43AE-906E-423BFD9D5A2B}" name="ASPECT Original Value" dataDxfId="235"/>
    <tableColumn id="34" xr3:uid="{00000000-0010-0000-0200-000022000000}" name="SOIL TEXTURE - lookup picker" dataDxfId="234"/>
    <tableColumn id="7" xr3:uid="{E97FF24E-A895-4AF8-A735-C96122FF842B}" name="Soil TEXTURE Original Value" dataDxfId="233"/>
    <tableColumn id="81" xr3:uid="{152BE337-2560-472E-A972-2439A6074CE8}" name="ECOREGION - Lookup picker" dataDxfId="232"/>
    <tableColumn id="83" xr3:uid="{7E95C5A5-FDDF-48CF-B3B6-590607FAB288}" name="Ecoregion Original Value" dataDxfId="231"/>
    <tableColumn id="35" xr3:uid="{00000000-0010-0000-0200-000023000000}" name="Inventory Maintenance Policy" dataDxfId="230"/>
    <tableColumn id="36" xr3:uid="{00000000-0010-0000-0200-000024000000}" name="Inventory Maintenance Site -W6" dataDxfId="229"/>
    <tableColumn id="37" xr3:uid="{00000000-0010-0000-0200-000025000000}" name="Quantity On Hand" dataDxfId="228"/>
    <tableColumn id="38" xr3:uid="{00000000-0010-0000-0200-000026000000}" name="Quantity On Hand Units -'count' or 'packet'" dataDxfId="227"/>
    <tableColumn id="39" xr3:uid="{00000000-0010-0000-0200-000027000000}" name="Total Weight -gram (if unknown, leave blank)" dataDxfId="226"/>
    <tableColumn id="40" xr3:uid="{00000000-0010-0000-0200-000028000000}" name="Hundred Seed Weight -gram" dataDxfId="225"/>
    <tableColumn id="41" xr3:uid="{00000000-0010-0000-0200-000029000000}" name="Seed Count Verification _x000a_(VALUE CLOSE TO ZERO) -Calcuated column" dataDxfId="224">
      <calculatedColumnFormula>IFERROR(ROUNDDOWN((('Master File'!$AU2*100)/'Master File'!$AV2)-Master[[#This Row],[Quantity On Hand]],0),"")</calculatedColumnFormula>
    </tableColumn>
    <tableColumn id="42" xr3:uid="{00000000-0010-0000-0200-00002A000000}" name="Parent Inventory" dataDxfId="223"/>
    <tableColumn id="76" xr3:uid="{00000000-0010-0000-0200-00004C000000}" name="GERMS from DONOR (viability)" dataDxfId="222"/>
    <tableColumn id="77" xr3:uid="{00000000-0010-0000-0200-00004D000000}" name="GERMS from DONOR (test date)" dataDxfId="221"/>
    <tableColumn id="43" xr3:uid="{00000000-0010-0000-0200-00002B000000}" name="Note (Inventory)" dataDxfId="220"/>
    <tableColumn id="45" xr3:uid="{00000000-0010-0000-0200-00002D000000}" name="Accession Name (Identifier 1)" dataDxfId="219">
      <calculatedColumnFormula>CONCATENATE(D2," ",E2)</calculatedColumnFormula>
    </tableColumn>
    <tableColumn id="44" xr3:uid="{00000000-0010-0000-0200-00002C000000}" name="Accession Name Category (Identifier 1) -Lookup Picker" dataDxfId="218"/>
    <tableColumn id="47" xr3:uid="{00000000-0010-0000-0200-00002F000000}" name="Accession Name Cooperator (Identifier 1) -name, organization" dataDxfId="217"/>
    <tableColumn id="49" xr3:uid="{00000000-0010-0000-0200-000031000000}" name="Accession Name (Identifier 2)" dataDxfId="216"/>
    <tableColumn id="48" xr3:uid="{00000000-0010-0000-0200-000030000000}" name="Accession Name Category (Identifier 2) -Lookup Picker" dataDxfId="215"/>
    <tableColumn id="51" xr3:uid="{00000000-0010-0000-0200-000033000000}" name="Accession Name Cooperator (Identifier 2) -name, organization" dataDxfId="214"/>
    <tableColumn id="86" xr3:uid="{C4DDA5D0-898A-4DE9-8F15-B359F79AF0B3}" name="Accession Name (Identifier 3)" dataDxfId="213"/>
    <tableColumn id="85" xr3:uid="{F0A97BBB-6FBD-4E8B-8C77-A7D4576C500C}" name="Accession Name Category (Identifier 3) -Lookup Picker" dataDxfId="212"/>
    <tableColumn id="82" xr3:uid="{6A5D3C2C-A9BC-42D8-BFD9-43630C399265}" name="Accession Name Cooperator (Identifier 3) -name, organization" dataDxfId="211"/>
    <tableColumn id="56" xr3:uid="{00000000-0010-0000-0200-000038000000}" name="Collector Voucher Number" dataDxfId="210"/>
    <tableColumn id="75" xr3:uid="{00000000-0010-0000-0200-00004B000000}" name="Voucher Date" dataDxfId="209"/>
    <tableColumn id="57" xr3:uid="{00000000-0010-0000-0200-000039000000}" name="Voucher Location (1)" dataDxfId="208"/>
    <tableColumn id="58" xr3:uid="{00000000-0010-0000-0200-00003A000000}" name="Voucher Location (2)" dataDxfId="207"/>
    <tableColumn id="59" xr3:uid="{00000000-0010-0000-0200-00003B000000}" name="Voucher Location (3)" dataDxfId="206"/>
    <tableColumn id="60" xr3:uid="{00000000-0010-0000-0200-00003C000000}" name="Voucher Collector -name, organization" dataDxfId="205"/>
    <tableColumn id="61" xr3:uid="{00000000-0010-0000-0200-00003D000000}" name="Note (Voucher)" dataDxfId="204"/>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Accession" displayName="Accession" ref="A1:K201" totalsRowShown="0" headerRowDxfId="203">
  <autoFilter ref="A1:K201" xr:uid="{00000000-0009-0000-0100-000002000000}">
    <filterColumn colId="0">
      <filters blank="1"/>
    </filterColumn>
  </autoFilter>
  <tableColumns count="11">
    <tableColumn id="1" xr3:uid="{00000000-0010-0000-0500-000001000000}" name="Accession ID" dataDxfId="202"/>
    <tableColumn id="2" xr3:uid="{00000000-0010-0000-0500-000002000000}" name="Accession Prefix" dataDxfId="201">
      <calculatedColumnFormula>IF(Master[[#This Row],[Accession Prefix (NPGS)]]="","",Master[[#This Row],[Accession Prefix (NPGS)]])</calculatedColumnFormula>
    </tableColumn>
    <tableColumn id="3" xr3:uid="{00000000-0010-0000-0500-000003000000}" name="Accession Number" dataDxfId="200">
      <calculatedColumnFormula>"-1"</calculatedColumnFormula>
    </tableColumn>
    <tableColumn id="4" xr3:uid="{00000000-0010-0000-0500-000004000000}" name="Taxon" dataDxfId="199">
      <calculatedColumnFormula>IF(Master[[#This Row],[Taxon -Lookup Picker in GRIN]]="","",Master[[#This Row],[Taxon -Lookup Picker in GRIN]])</calculatedColumnFormula>
    </tableColumn>
    <tableColumn id="5" xr3:uid="{00000000-0010-0000-0500-000005000000}" name="Life Form" dataDxfId="198">
      <calculatedColumnFormula>IF(Master[[#This Row],[Life Form -Lookup Picker]]="","",Master[[#This Row],[Life Form -Lookup Picker]])</calculatedColumnFormula>
    </tableColumn>
    <tableColumn id="6" xr3:uid="{00000000-0010-0000-0500-000006000000}" name="Level Of Improvement" dataDxfId="197">
      <calculatedColumnFormula>IF(Master[[#This Row],[Level of Improvement -Lookup Picker]]="","",Master[[#This Row],[Level of Improvement -Lookup Picker]])</calculatedColumnFormula>
    </tableColumn>
    <tableColumn id="7" xr3:uid="{00000000-0010-0000-0500-000007000000}" name="Reproductive Uniformity" dataDxfId="196">
      <calculatedColumnFormula>IF(Master[[#This Row],[Reproductive Uniformity -Lookup Picker]]="","",Master[[#This Row],[Reproductive Uniformity -Lookup Picker]])</calculatedColumnFormula>
    </tableColumn>
    <tableColumn id="8" xr3:uid="{00000000-0010-0000-0500-000008000000}" name="Received As" dataDxfId="195">
      <calculatedColumnFormula>IF(Master[[#This Row],[Inventory Type - Lookup Picker]]="","",Master[[#This Row],[Inventory Type - Lookup Picker]])</calculatedColumnFormula>
    </tableColumn>
    <tableColumn id="11" xr3:uid="{00000000-0010-0000-0500-00000B000000}" name="Received Date Format" dataDxfId="194">
      <calculatedColumnFormula>"mm/dd/yyyy"</calculatedColumnFormula>
    </tableColumn>
    <tableColumn id="9" xr3:uid="{00000000-0010-0000-0500-000009000000}" name="Received Date" dataDxfId="193">
      <calculatedColumnFormula>Master[[#This Row],[Received Date -received by site]]</calculatedColumnFormula>
    </tableColumn>
    <tableColumn id="10" xr3:uid="{00000000-0010-0000-0500-00000A000000}" name="Note" dataDxfId="192">
      <calculatedColumnFormula>IF(Master[[#This Row],[Note (Accession Narrative)]]="","",Master[[#This Row],[Note (Accession Narrative)]])</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6000000}" name="Table33" displayName="Table33" ref="A1:AC2" totalsRowShown="0" headerRowDxfId="191">
  <autoFilter ref="A1:AC2" xr:uid="{00000000-0009-0000-0100-000022000000}"/>
  <tableColumns count="29">
    <tableColumn id="1" xr3:uid="{00000000-0010-0000-0600-000001000000}" name="Accession ID"/>
    <tableColumn id="2" xr3:uid="{00000000-0010-0000-0600-000002000000}" name="Accession Prefix"/>
    <tableColumn id="3" xr3:uid="{00000000-0010-0000-0600-000003000000}" name="Accession Number"/>
    <tableColumn id="4" xr3:uid="{00000000-0010-0000-0600-000004000000}" name="Accession Suffix"/>
    <tableColumn id="5" xr3:uid="{00000000-0010-0000-0600-000005000000}" name="Taxon"/>
    <tableColumn id="6" xr3:uid="{00000000-0010-0000-0600-000006000000}" name="Name"/>
    <tableColumn id="7" xr3:uid="{00000000-0010-0000-0600-000007000000}" name="Origin"/>
    <tableColumn id="8" xr3:uid="{00000000-0010-0000-0600-000008000000}" name="Maintenance Site"/>
    <tableColumn id="9" xr3:uid="{00000000-0010-0000-0600-000009000000}" name="Is Core?"/>
    <tableColumn id="10" xr3:uid="{00000000-0010-0000-0600-00000A000000}" name="Is Backed Up?"/>
    <tableColumn id="11" xr3:uid="{00000000-0010-0000-0600-00000B000000}" name="Backup Location 1"/>
    <tableColumn id="12" xr3:uid="{00000000-0010-0000-0600-00000C000000}" name="Backup Location 2"/>
    <tableColumn id="13" xr3:uid="{00000000-0010-0000-0600-00000D000000}" name="Status"/>
    <tableColumn id="14" xr3:uid="{00000000-0010-0000-0600-00000E000000}" name="Life Form"/>
    <tableColumn id="15" xr3:uid="{00000000-0010-0000-0600-00000F000000}" name="Level Of Improvement"/>
    <tableColumn id="16" xr3:uid="{00000000-0010-0000-0600-000010000000}" name="Reproductive Uniformity"/>
    <tableColumn id="17" xr3:uid="{00000000-0010-0000-0600-000011000000}" name="Received As"/>
    <tableColumn id="18" xr3:uid="{00000000-0010-0000-0600-000012000000}" name="Received Date Format"/>
    <tableColumn id="19" xr3:uid="{00000000-0010-0000-0600-000013000000}" name="Received Date" dataDxfId="190"/>
    <tableColumn id="20" xr3:uid="{00000000-0010-0000-0600-000014000000}" name="Is Web Visible?"/>
    <tableColumn id="21" xr3:uid="{00000000-0010-0000-0600-000015000000}" name="Note"/>
    <tableColumn id="22" xr3:uid="{00000000-0010-0000-0600-000016000000}" name="Accession"/>
    <tableColumn id="23" xr3:uid="{00000000-0010-0000-0600-000017000000}" name="Created Date" dataDxfId="189"/>
    <tableColumn id="24" xr3:uid="{00000000-0010-0000-0600-000018000000}" name="Created By"/>
    <tableColumn id="25" xr3:uid="{00000000-0010-0000-0600-000019000000}" name="Modified Date" dataDxfId="188"/>
    <tableColumn id="26" xr3:uid="{00000000-0010-0000-0600-00001A000000}" name="Modified By"/>
    <tableColumn id="27" xr3:uid="{00000000-0010-0000-0600-00001B000000}" name="Owned Date" dataDxfId="187"/>
    <tableColumn id="28" xr3:uid="{00000000-0010-0000-0600-00001C000000}" name="Owned By"/>
    <tableColumn id="29" xr3:uid="{00000000-0010-0000-0600-00001D000000}" name="Column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D1:G82" totalsRowShown="0" headerRowDxfId="332" dataDxfId="330" headerRowBorderDxfId="331" tableBorderDxfId="329">
  <autoFilter ref="D1:G82" xr:uid="{00000000-0009-0000-0100-000001000000}"/>
  <tableColumns count="4">
    <tableColumn id="1" xr3:uid="{00000000-0010-0000-0100-000001000000}" name="Headings on Master File (in order)" dataDxfId="328"/>
    <tableColumn id="2" xr3:uid="{00000000-0010-0000-0100-000002000000}" name="Skeleton Record Required Fields" dataDxfId="327"/>
    <tableColumn id="3" xr3:uid="{00000000-0010-0000-0100-000003000000}" name="Developed Material &quot;Perfect Record&quot;" dataDxfId="326"/>
    <tableColumn id="4" xr3:uid="{00000000-0010-0000-0100-000004000000}" name="Collected Material &quot;Perfect Record&quot;" dataDxfId="32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AccAction" displayName="AccAction" ref="A1:J202" totalsRowCount="1" headerRowDxfId="186" dataDxfId="185">
  <autoFilter ref="A1:J201" xr:uid="{00000000-0009-0000-0100-000003000000}"/>
  <tableColumns count="10">
    <tableColumn id="1" xr3:uid="{00000000-0010-0000-0700-000001000000}" name="Accession Action ID" totalsRowLabel="Total" dataDxfId="184" totalsRowDxfId="183"/>
    <tableColumn id="2" xr3:uid="{00000000-0010-0000-0700-000002000000}" name="Accession" dataDxfId="182" totalsRowDxfId="181">
      <calculatedColumnFormula>Master[[#This Row],[Accession Prefix (NPGS)]]&amp;" "&amp;Master[[#This Row],[Accession Number -Assigned]]</calculatedColumnFormula>
    </tableColumn>
    <tableColumn id="3" xr3:uid="{00000000-0010-0000-0700-000003000000}" name="Action Name" dataDxfId="180" totalsRowDxfId="179">
      <calculatedColumnFormula>"Seeds of Success"</calculatedColumnFormula>
    </tableColumn>
    <tableColumn id="4" xr3:uid="{00000000-0010-0000-0700-000004000000}" name="Started Date Format" dataDxfId="178" totalsRowDxfId="177">
      <calculatedColumnFormula>"mm/dd/yyyy"</calculatedColumnFormula>
    </tableColumn>
    <tableColumn id="5" xr3:uid="{00000000-0010-0000-0700-000005000000}" name="Started Date" dataDxfId="176" totalsRowDxfId="175"/>
    <tableColumn id="6" xr3:uid="{00000000-0010-0000-0700-000006000000}" name="Completed Date Format" dataDxfId="174" totalsRowDxfId="173">
      <calculatedColumnFormula>"mm/dd/yyyy"</calculatedColumnFormula>
    </tableColumn>
    <tableColumn id="7" xr3:uid="{00000000-0010-0000-0700-000007000000}" name="Completed Date" dataDxfId="172" totalsRowDxfId="171"/>
    <tableColumn id="8" xr3:uid="{00000000-0010-0000-0700-000008000000}" name="Is Web Visible?" dataDxfId="170" totalsRowDxfId="169">
      <calculatedColumnFormula>"N"</calculatedColumnFormula>
    </tableColumn>
    <tableColumn id="9" xr3:uid="{00000000-0010-0000-0700-000009000000}" name="Cooperator" dataDxfId="168" totalsRowDxfId="167">
      <calculatedColumnFormula>"Cashman, Michael J., USDA, ARS, Regional Plant Introduction Station, Pullman, Washington, United States"</calculatedColumnFormula>
    </tableColumn>
    <tableColumn id="10" xr3:uid="{00000000-0010-0000-0700-00000A000000}" name="Note" totalsRowFunction="count" dataDxfId="166" totalsRowDxfId="16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AccAction26" displayName="AccAction26" ref="A1:K201" totalsRowShown="0" headerRowDxfId="164" dataDxfId="163">
  <autoFilter ref="A1:K201" xr:uid="{00000000-0009-0000-0100-000019000000}"/>
  <tableColumns count="11">
    <tableColumn id="1" xr3:uid="{00000000-0010-0000-0800-000001000000}" name="Accession Action ID" dataDxfId="162"/>
    <tableColumn id="2" xr3:uid="{00000000-0010-0000-0800-000002000000}" name="Accession" dataDxfId="161">
      <calculatedColumnFormula>Master[[#This Row],[Accession Prefix (NPGS)]]&amp;" "&amp;Master[[#This Row],[Accession Number -Assigned]]</calculatedColumnFormula>
    </tableColumn>
    <tableColumn id="3" xr3:uid="{00000000-0010-0000-0800-000003000000}" name="Action Name" dataDxfId="160">
      <calculatedColumnFormula>"Historic documents"</calculatedColumnFormula>
    </tableColumn>
    <tableColumn id="4" xr3:uid="{00000000-0010-0000-0800-000004000000}" name="Started Date Format" dataDxfId="159">
      <calculatedColumnFormula>"mm/dd/yyyy"</calculatedColumnFormula>
    </tableColumn>
    <tableColumn id="5" xr3:uid="{00000000-0010-0000-0800-000005000000}" name="Started Date" dataDxfId="158">
      <calculatedColumnFormula>IF(Master[[#This Row],[Received Date -received by site]]="","",Master[[#This Row],[Received Date -received by site]])</calculatedColumnFormula>
    </tableColumn>
    <tableColumn id="6" xr3:uid="{00000000-0010-0000-0800-000006000000}" name="Completed Date Format" dataDxfId="157">
      <calculatedColumnFormula>"mm/dd/yyyy"</calculatedColumnFormula>
    </tableColumn>
    <tableColumn id="7" xr3:uid="{00000000-0010-0000-0800-000007000000}" name="Completed Date" dataDxfId="156">
      <calculatedColumnFormula>IF(AccAction26[[#This Row],[Started Date]]&lt;&gt;"",NOW(),"")</calculatedColumnFormula>
    </tableColumn>
    <tableColumn id="8" xr3:uid="{00000000-0010-0000-0800-000008000000}" name="Is Web Visible?" dataDxfId="155">
      <calculatedColumnFormula>"N"</calculatedColumnFormula>
    </tableColumn>
    <tableColumn id="9" xr3:uid="{00000000-0010-0000-0800-000009000000}" name="Cooperator" dataDxfId="154">
      <calculatedColumnFormula>"Estrada, Stacey, USDA, ARS, NCRPIS, Iowa State University, Ames, Iowa, United States"</calculatedColumnFormula>
    </tableColumn>
    <tableColumn id="11" xr3:uid="{00000000-0010-0000-0800-00000B000000}" name="Method" dataDxfId="153">
      <calculatedColumnFormula>"NC7.DOC.PASSPORT"</calculatedColumnFormula>
    </tableColumn>
    <tableColumn id="10" xr3:uid="{00000000-0010-0000-0800-00000A000000}" name="Note" dataDxfId="15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A000000}" name="SourceCollector" displayName="SourceCollector" ref="A1:T201" totalsRowShown="0" headerRowDxfId="151">
  <autoFilter ref="A1:T201" xr:uid="{00000000-0009-0000-0100-000004000000}"/>
  <tableColumns count="20">
    <tableColumn id="1" xr3:uid="{00000000-0010-0000-0A00-000001000000}" name="Accession Source ID"/>
    <tableColumn id="2" xr3:uid="{00000000-0010-0000-0A00-000002000000}" name="Accession">
      <calculatedColumnFormula>Master[[#This Row],[Accession Prefix (NPGS)]]&amp;" "&amp;Master[[#This Row],[Accession Number -Assigned]]</calculatedColumnFormula>
    </tableColumn>
    <tableColumn id="3" xr3:uid="{00000000-0010-0000-0A00-000003000000}" name="Source Type">
      <calculatedColumnFormula>"Collection source event"</calculatedColumnFormula>
    </tableColumn>
    <tableColumn id="4" xr3:uid="{00000000-0010-0000-0A00-000004000000}" name="Source Date Format">
      <calculatedColumnFormula>"mm/dd/yyyy"</calculatedColumnFormula>
    </tableColumn>
    <tableColumn id="5" xr3:uid="{00000000-0010-0000-0A00-000005000000}" name="Source Date" dataDxfId="150">
      <calculatedColumnFormula>IF(IF(Master[[#This Row],[Date Collected or Developed]]="",Master[[#This Row],[Received Date -received by site]],Master[[#This Row],[Date Collected or Developed]])="","",(IF(Master[[#This Row],[Date Collected or Developed]]="",Master[[#This Row],[Received Date -received by site]],Master[[#This Row],[Date Collected or Developed]])))</calculatedColumnFormula>
    </tableColumn>
    <tableColumn id="6" xr3:uid="{00000000-0010-0000-0A00-000006000000}" name="Geography" dataDxfId="149">
      <calculatedColumnFormula>IF(Master[[#This Row],[Geography (Collection) -Lookup Picker in GRIN]]="","",Master[[#This Row],[Geography (Collection) -Lookup Picker in GRIN]])</calculatedColumnFormula>
    </tableColumn>
    <tableColumn id="7" xr3:uid="{00000000-0010-0000-0A00-000007000000}" name="Is Origin?">
      <calculatedColumnFormula>"Y"</calculatedColumnFormula>
    </tableColumn>
    <tableColumn id="19" xr3:uid="{00000000-0010-0000-0A00-000013000000}" name="Collecting or Acquisition Source" dataDxfId="148">
      <calculatedColumnFormula>IF(Master[[#This Row],[Collecting or Acquisition Source - List]]="","",Master[[#This Row],[Collecting or Acquisition Source - List]])</calculatedColumnFormula>
    </tableColumn>
    <tableColumn id="8" xr3:uid="{00000000-0010-0000-0A00-000008000000}" name="Collected Form">
      <calculatedColumnFormula>IF(Master[[#This Row],[Inventory Type - Lookup Picker]]="","",Master[[#This Row],[Inventory Type - Lookup Picker]])</calculatedColumnFormula>
    </tableColumn>
    <tableColumn id="9" xr3:uid="{00000000-0010-0000-0A00-000009000000}" name="Number Plants Sampled" dataDxfId="147">
      <calculatedColumnFormula>IF(Master[[#This Row],[Number Plants Sampled]]="","",Master[[#This Row],[Number Plants Sampled]])</calculatedColumnFormula>
    </tableColumn>
    <tableColumn id="10" xr3:uid="{00000000-0010-0000-0A00-00000A000000}" name="Environment Description" dataDxfId="146">
      <calculatedColumnFormula>IF(Master[[#This Row],[Environment Description]]="","",Master[[#This Row],[Environment Description]])</calculatedColumnFormula>
    </tableColumn>
    <tableColumn id="11" xr3:uid="{00000000-0010-0000-0A00-00000B000000}" name="Collector Verbatim Locality" dataDxfId="145">
      <calculatedColumnFormula>IF(Master[[#This Row],[Collector Verbatim Locality]]="","",Master[[#This Row],[Collector Verbatim Locality]])</calculatedColumnFormula>
    </tableColumn>
    <tableColumn id="12" xr3:uid="{00000000-0010-0000-0A00-00000C000000}" name="Elevation (meters)" dataDxfId="144">
      <calculatedColumnFormula>IF(Master[[#This Row],[Elevation (meters)]]=0,"",Master[[#This Row],[Elevation (meters)]])</calculatedColumnFormula>
    </tableColumn>
    <tableColumn id="13" xr3:uid="{00000000-0010-0000-0A00-00000D000000}" name="Latitude" dataDxfId="143">
      <calculatedColumnFormula>IF(Master[[#This Row],[Latitude -decimal degrees]]="","",Master[[#This Row],[Latitude -decimal degrees]])</calculatedColumnFormula>
    </tableColumn>
    <tableColumn id="14" xr3:uid="{00000000-0010-0000-0A00-00000E000000}" name="Longitude" dataDxfId="142">
      <calculatedColumnFormula>IF(Master[[#This Row],[Longitude -decimal degrees]]="","",Master[[#This Row],[Longitude -decimal degrees]])</calculatedColumnFormula>
    </tableColumn>
    <tableColumn id="15" xr3:uid="{00000000-0010-0000-0A00-00000F000000}" name="Georeference Datum" dataDxfId="141">
      <calculatedColumnFormula>IF(Master[[#This Row],[Georeference Datum]]="","",Master[[#This Row],[Georeference Datum]])</calculatedColumnFormula>
    </tableColumn>
    <tableColumn id="16" xr3:uid="{00000000-0010-0000-0A00-000010000000}" name="Georeference Protocol" dataDxfId="140">
      <calculatedColumnFormula>IF(Master[[#This Row],[Georeference Protocol - Lookup Picker]]="","",Master[[#This Row],[Georeference Protocol - Lookup Picker]])</calculatedColumnFormula>
    </tableColumn>
    <tableColumn id="21" xr3:uid="{00000000-0010-0000-0A00-000015000000}" name="Associated Species" dataDxfId="139">
      <calculatedColumnFormula>IF(Master[[#This Row],[Associated Species]]="","",Master[[#This Row],[Associated Species]])</calculatedColumnFormula>
    </tableColumn>
    <tableColumn id="17" xr3:uid="{00000000-0010-0000-0A00-000011000000}" name="Is Web Visible?">
      <calculatedColumnFormula>"Y"</calculatedColumnFormula>
    </tableColumn>
    <tableColumn id="18" xr3:uid="{00000000-0010-0000-0A00-000012000000}" name="Note" dataDxfId="138">
      <calculatedColumnFormula>IF(Master[[#This Row],[Note (Accession Source - Collector)]]="","",Master[[#This Row],[Note (Accession Source - Collector)]])</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SourceDonor" displayName="SourceDonor" ref="A1:H201" totalsRowShown="0" headerRowDxfId="137">
  <autoFilter ref="A1:H201" xr:uid="{00000000-0009-0000-0100-000005000000}"/>
  <tableColumns count="8">
    <tableColumn id="1" xr3:uid="{00000000-0010-0000-0C00-000001000000}" name="Accession Source ID"/>
    <tableColumn id="2" xr3:uid="{00000000-0010-0000-0C00-000002000000}" name="Accession">
      <calculatedColumnFormula>Master[[#This Row],[Accession Prefix (NPGS)]]&amp;" "&amp;Master[[#This Row],[Accession Number -Assigned]]</calculatedColumnFormula>
    </tableColumn>
    <tableColumn id="3" xr3:uid="{00000000-0010-0000-0C00-000003000000}" name="Source Type">
      <calculatedColumnFormula>"Donor source event"</calculatedColumnFormula>
    </tableColumn>
    <tableColumn id="4" xr3:uid="{00000000-0010-0000-0C00-000004000000}" name="Source Date Format">
      <calculatedColumnFormula>"mm/dd/yyyy"</calculatedColumnFormula>
    </tableColumn>
    <tableColumn id="5" xr3:uid="{00000000-0010-0000-0C00-000005000000}" name="Source Date" dataDxfId="136">
      <calculatedColumnFormula>Master[[#This Row],[Received Date -received by site]]</calculatedColumnFormula>
    </tableColumn>
    <tableColumn id="6" xr3:uid="{00000000-0010-0000-0C00-000006000000}" name="Geography" dataDxfId="135">
      <calculatedColumnFormula>IF(Master[[#This Row],[Geography (Donor)  -Lookup Picker in GRIN]]="","",Master[[#This Row],[Geography (Donor)  -Lookup Picker in GRIN]])</calculatedColumnFormula>
    </tableColumn>
    <tableColumn id="7" xr3:uid="{00000000-0010-0000-0C00-000007000000}" name="Is Origin?">
      <calculatedColumnFormula>"N"</calculatedColumnFormula>
    </tableColumn>
    <tableColumn id="8" xr3:uid="{00000000-0010-0000-0C00-000008000000}" name="Note"/>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Inventory" displayName="Inventory" ref="A1:V201" totalsRowShown="0" headerRowDxfId="134" dataDxfId="133">
  <autoFilter ref="A1:V201" xr:uid="{00000000-0009-0000-0100-00000E000000}"/>
  <tableColumns count="22">
    <tableColumn id="1" xr3:uid="{00000000-0010-0000-0D00-000001000000}" name="Inventory ID" dataDxfId="132"/>
    <tableColumn id="2" xr3:uid="{00000000-0010-0000-0D00-000002000000}" name="Inventory Prefix" dataDxfId="131">
      <calculatedColumnFormula>IF(Master[[#This Row],[Inventory Prefix]]="","",Master[[#This Row],[Inventory Prefix]])</calculatedColumnFormula>
    </tableColumn>
    <tableColumn id="3" xr3:uid="{00000000-0010-0000-0D00-000003000000}" name="Inventory Number" dataDxfId="130">
      <calculatedColumnFormula>IF(Master[[#This Row],[Inventory Number]]="","",Master[[#This Row],[Inventory Number]])</calculatedColumnFormula>
    </tableColumn>
    <tableColumn id="4" xr3:uid="{00000000-0010-0000-0D00-000004000000}" name="Inventory Suffix" dataDxfId="129">
      <calculatedColumnFormula>IF(Master[[#This Row],[Inventory Suffix]]="","",Master[[#This Row],[Inventory Suffix]])</calculatedColumnFormula>
    </tableColumn>
    <tableColumn id="5" xr3:uid="{00000000-0010-0000-0D00-000005000000}" name="Inventory Type" dataDxfId="128">
      <calculatedColumnFormula>IF(Master[[#This Row],[Inventory Type - Lookup Picker]]="","",Master[[#This Row],[Inventory Type - Lookup Picker]])</calculatedColumnFormula>
    </tableColumn>
    <tableColumn id="6" xr3:uid="{00000000-0010-0000-0D00-000006000000}" name="Accession" dataDxfId="127">
      <calculatedColumnFormula>Master[[#This Row],[Accession Prefix (NPGS)]]&amp;" "&amp;Master[[#This Row],[Accession Number -Assigned]]</calculatedColumnFormula>
    </tableColumn>
    <tableColumn id="7" xr3:uid="{00000000-0010-0000-0D00-000007000000}" name="Inventory Maintenance Policy" dataDxfId="126">
      <calculatedColumnFormula>IF(Master[[#This Row],[Inventory Maintenance Policy]]="","",Master[[#This Row],[Inventory Maintenance Policy]])</calculatedColumnFormula>
    </tableColumn>
    <tableColumn id="8" xr3:uid="{00000000-0010-0000-0D00-000008000000}" name="Inventory Maintenance Site" dataDxfId="125">
      <calculatedColumnFormula>IF(Master[[#This Row],[Inventory Maintenance Site -W6]]="","",Master[[#This Row],[Inventory Maintenance Site -W6]])</calculatedColumnFormula>
    </tableColumn>
    <tableColumn id="9" xr3:uid="{00000000-0010-0000-0D00-000009000000}" name="Is Default Inventory?" dataDxfId="124">
      <calculatedColumnFormula>IF(RIGHT(TEXT(Inventory[[#This Row],[Inventory Suffix]],"00"),2)="01","Y",IF(RIGHT(TEXT(Inventory[[#This Row],[Inventory Suffix]],"00"),2)="c1","Y",IF(RIGHT(TEXT(Inventory[[#This Row],[Inventory Suffix]],"00"),2)="m1","Y","N")))</calculatedColumnFormula>
    </tableColumn>
    <tableColumn id="10" xr3:uid="{00000000-0010-0000-0D00-00000A000000}" name="Is Auto Deducted?" dataDxfId="123">
      <calculatedColumnFormula>IF(Inventory[[#This Row],[Inventory Type]]="SD","Y",IF(Inventory[[#This Row],[Inventory Type]]="LV","Y","N"))</calculatedColumnFormula>
    </tableColumn>
    <tableColumn id="11" xr3:uid="{00000000-0010-0000-0D00-00000B000000}" name="Is Available?" dataDxfId="122">
      <calculatedColumnFormula>"N"</calculatedColumnFormula>
    </tableColumn>
    <tableColumn id="12" xr3:uid="{00000000-0010-0000-0D00-00000C000000}" name="Availability Status" dataDxfId="121">
      <calculatedColumnFormula>"Original lot received"</calculatedColumnFormula>
    </tableColumn>
    <tableColumn id="20" xr3:uid="{00000000-0010-0000-0D00-000014000000}" name="Status Note" dataDxfId="120">
      <calculatedColumnFormula>"ORIG from SOS Project"</calculatedColumnFormula>
    </tableColumn>
    <tableColumn id="13" xr3:uid="{00000000-0010-0000-0D00-00000D000000}" name="Quantity On Hand" dataDxfId="119">
      <calculatedColumnFormula>ROUNDDOWN(Master[[#This Row],[Quantity On Hand]],0)</calculatedColumnFormula>
    </tableColumn>
    <tableColumn id="14" xr3:uid="{00000000-0010-0000-0D00-00000E000000}" name="Quantity On Hand Units" dataDxfId="118">
      <calculatedColumnFormula>IF(Master[[#This Row],[Quantity On Hand Units -''count'' or ''packet'']]="","",Master[[#This Row],[Quantity On Hand Units -''count'' or ''packet'']])</calculatedColumnFormula>
    </tableColumn>
    <tableColumn id="21" xr3:uid="{00000000-0010-0000-0D00-000015000000}" name="Standard Distribution Form" dataDxfId="117">
      <calculatedColumnFormula>IF(Master[[#This Row],[Inventory Type - Lookup Picker]]="","",Master[[#This Row],[Inventory Type - Lookup Picker]])</calculatedColumnFormula>
    </tableColumn>
    <tableColumn id="23" xr3:uid="{00000000-0010-0000-0D00-000017000000}" name="Location Section 1" dataDxfId="116">
      <calculatedColumnFormula>"Mike has"</calculatedColumnFormula>
    </tableColumn>
    <tableColumn id="15" xr3:uid="{00000000-0010-0000-0D00-00000F000000}" name="Latitude" dataDxfId="115">
      <calculatedColumnFormula>IF(Master[[#This Row],[Latitude -decimal degrees]]="","",Master[[#This Row],[Latitude -decimal degrees]])</calculatedColumnFormula>
    </tableColumn>
    <tableColumn id="16" xr3:uid="{00000000-0010-0000-0D00-000010000000}" name="Longitude" dataDxfId="114">
      <calculatedColumnFormula>IF(Master[[#This Row],[Longitude -decimal degrees]]="","",Master[[#This Row],[Longitude -decimal degrees]])</calculatedColumnFormula>
    </tableColumn>
    <tableColumn id="17" xr3:uid="{00000000-0010-0000-0D00-000011000000}" name="Parent Inventory" dataDxfId="113">
      <calculatedColumnFormula>IF(Master[[#This Row],[Parent Inventory]]="","",Master[[#This Row],[Parent Inventory]])</calculatedColumnFormula>
    </tableColumn>
    <tableColumn id="18" xr3:uid="{00000000-0010-0000-0D00-000012000000}" name="Hundred Seed Weight" dataDxfId="112">
      <calculatedColumnFormula>IF(Master[[#This Row],[Hundred Seed Weight -gram]]="","",Master[[#This Row],[Hundred Seed Weight -gram]])</calculatedColumnFormula>
    </tableColumn>
    <tableColumn id="19" xr3:uid="{00000000-0010-0000-0D00-000013000000}" name="Note" dataDxfId="111">
      <calculatedColumnFormula>IF(Master[[#This Row],[Note (Inventory)]]="","",Master[[#This Row],[Note (Inventory)]])</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E000000}" name="FirstLots22" displayName="FirstLots22" ref="A1:D201" totalsRowShown="0" headerRowDxfId="110">
  <autoFilter ref="A1:D201" xr:uid="{00000000-0009-0000-0100-000015000000}"/>
  <tableColumns count="4">
    <tableColumn id="1" xr3:uid="{00000000-0010-0000-0E00-000001000000}" name="Accession Inventory Group Map ID"/>
    <tableColumn id="2" xr3:uid="{00000000-0010-0000-0E00-000002000000}" name="Inventory" dataDxfId="109">
      <calculatedColumnFormula>Master[[#This Row],[Accession Prefix (NPGS)]]&amp;" "&amp;Master[[#This Row],[Accession Number -Assigned]]&amp;" **"</calculatedColumnFormula>
    </tableColumn>
    <tableColumn id="3" xr3:uid="{00000000-0010-0000-0E00-000003000000}" name="Accession Inventory Group" dataDxfId="108">
      <calculatedColumnFormula>#REF!</calculatedColumnFormula>
    </tableColumn>
    <tableColumn id="4" xr3:uid="{00000000-0010-0000-0E00-000004000000}" name="Note"/>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FirstLots" displayName="FirstLots" ref="A1:D201" totalsRowShown="0" headerRowDxfId="107">
  <autoFilter ref="A1:D201" xr:uid="{00000000-0009-0000-0100-000014000000}"/>
  <tableColumns count="4">
    <tableColumn id="1" xr3:uid="{00000000-0010-0000-0F00-000001000000}" name="Accession Inventory Group Map ID"/>
    <tableColumn id="2" xr3:uid="{00000000-0010-0000-0F00-000002000000}" name="Inventory" dataDxfId="106">
      <calculatedColumnFormula>Master[[#This Row],[Accession Prefix (NPGS)]]&amp;" "&amp;Master[[#This Row],[Accession Number -Assigned]]&amp;" "&amp;Master[[#This Row],[Inventory Suffix]]&amp;" "&amp;Master[[#This Row],[Inventory Type - Lookup Picker]]</calculatedColumnFormula>
    </tableColumn>
    <tableColumn id="3" xr3:uid="{00000000-0010-0000-0F00-000003000000}" name="Accession Inventory Group" dataDxfId="105">
      <calculatedColumnFormula>""</calculatedColumnFormula>
    </tableColumn>
    <tableColumn id="4" xr3:uid="{00000000-0010-0000-0F00-000004000000}" name="Note"/>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VIABILITY" displayName="VIABILITY" ref="A1:R201" totalsRowShown="0" headerRowDxfId="104">
  <autoFilter ref="A1:R201" xr:uid="{00000000-0009-0000-0100-000013000000}"/>
  <tableColumns count="18">
    <tableColumn id="1" xr3:uid="{00000000-0010-0000-1000-000001000000}" name="Inventory Viability ID"/>
    <tableColumn id="2" xr3:uid="{00000000-0010-0000-1000-000002000000}" name="Inventory Viability Rule" dataDxfId="103">
      <calculatedColumnFormula>"W6.GERMS.FROM.DONOR"</calculatedColumnFormula>
    </tableColumn>
    <tableColumn id="3" xr3:uid="{00000000-0010-0000-1000-000003000000}" name="Inventory" dataDxfId="102">
      <calculatedColumnFormula>Master[[#This Row],[Inventory Prefix]]&amp;" "&amp;Master[[#This Row],[Inventory Number]]&amp;" "&amp;Master[[#This Row],[Inventory Suffix]]&amp;" "&amp;Master[[#This Row],[Inventory Type - Lookup Picker]]</calculatedColumnFormula>
    </tableColumn>
    <tableColumn id="4" xr3:uid="{00000000-0010-0000-1000-000004000000}" name="Test Date Format" dataDxfId="101">
      <calculatedColumnFormula>"mm/yyyy"</calculatedColumnFormula>
    </tableColumn>
    <tableColumn id="5" xr3:uid="{00000000-0010-0000-1000-000005000000}" name="Tested Date" dataDxfId="100">
      <calculatedColumnFormula>IF(Master[[#This Row],[GERMS from DONOR (test date)]]="","",Master[[#This Row],[GERMS from DONOR (test date)]])</calculatedColumnFormula>
    </tableColumn>
    <tableColumn id="6" xr3:uid="{00000000-0010-0000-1000-000006000000}" name="Percent Normal"/>
    <tableColumn id="7" xr3:uid="{00000000-0010-0000-1000-000007000000}" name="Percent Abnormal"/>
    <tableColumn id="8" xr3:uid="{00000000-0010-0000-1000-000008000000}" name="Percent Dormant"/>
    <tableColumn id="9" xr3:uid="{00000000-0010-0000-1000-000009000000}" name="Percent Viable" dataDxfId="99">
      <calculatedColumnFormula>IF(Master[[#This Row],[GERMS from DONOR (viability)]]="","",Master[[#This Row],[GERMS from DONOR (viability)]])</calculatedColumnFormula>
    </tableColumn>
    <tableColumn id="10" xr3:uid="{00000000-0010-0000-1000-00000A000000}" name="Vigor Rating"/>
    <tableColumn id="11" xr3:uid="{00000000-0010-0000-1000-00000B000000}" name="Sample Count"/>
    <tableColumn id="12" xr3:uid="{00000000-0010-0000-1000-00000C000000}" name="Replication Count"/>
    <tableColumn id="13" xr3:uid="{00000000-0010-0000-1000-00000D000000}" name="Percent Hard"/>
    <tableColumn id="14" xr3:uid="{00000000-0010-0000-1000-00000E000000}" name="Percent Empty"/>
    <tableColumn id="15" xr3:uid="{00000000-0010-0000-1000-00000F000000}" name="Percent Infested"/>
    <tableColumn id="16" xr3:uid="{00000000-0010-0000-1000-000010000000}" name="Percent Dead"/>
    <tableColumn id="17" xr3:uid="{00000000-0010-0000-1000-000011000000}" name="Percent Unknown"/>
    <tableColumn id="18" xr3:uid="{00000000-0010-0000-1000-000012000000}" name="Note"/>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1000000}" name="InvActionRecd" displayName="InvActionRecd" ref="A1:J201" totalsRowShown="0" headerRowDxfId="98">
  <autoFilter ref="A1:J201" xr:uid="{00000000-0009-0000-0100-000010000000}"/>
  <tableColumns count="10">
    <tableColumn id="1" xr3:uid="{00000000-0010-0000-1100-000001000000}" name="Inventory Action ID"/>
    <tableColumn id="2" xr3:uid="{00000000-0010-0000-1100-000002000000}" name="Inventory" dataDxfId="97">
      <calculatedColumnFormula>Master[[#This Row],[Inventory Prefix]]&amp;" "&amp;Master[[#This Row],[Inventory Number]]&amp;" "&amp;Master[[#This Row],[Inventory Suffix]]&amp;" "&amp;Master[[#This Row],[Inventory Type - Lookup Picker]]</calculatedColumnFormula>
    </tableColumn>
    <tableColumn id="3" xr3:uid="{00000000-0010-0000-1100-000003000000}" name="Action Name">
      <calculatedColumnFormula>"Received"</calculatedColumnFormula>
    </tableColumn>
    <tableColumn id="4" xr3:uid="{00000000-0010-0000-1100-000004000000}" name="Completed Date Format">
      <calculatedColumnFormula>"mm/dd/yyyy"</calculatedColumnFormula>
    </tableColumn>
    <tableColumn id="5" xr3:uid="{00000000-0010-0000-1100-000005000000}" name="Completed Date" dataDxfId="96">
      <calculatedColumnFormula>Master[[#This Row],[Received Date -received by site]]</calculatedColumnFormula>
    </tableColumn>
    <tableColumn id="6" xr3:uid="{00000000-0010-0000-1100-000006000000}" name="Quantity" dataDxfId="95">
      <calculatedColumnFormula>IF(Master[[#This Row],[Total Weight -gram (if unknown, leave blank)]]="","1",Master[[#This Row],[Total Weight -gram (if unknown, leave blank)]])</calculatedColumnFormula>
    </tableColumn>
    <tableColumn id="7" xr3:uid="{00000000-0010-0000-1100-000007000000}" name="Units" dataDxfId="94">
      <calculatedColumnFormula>IF(InvActionRecd[[#This Row],[Quantity]]="1","packet","gram")</calculatedColumnFormula>
    </tableColumn>
    <tableColumn id="8" xr3:uid="{00000000-0010-0000-1100-000008000000}" name="Form">
      <calculatedColumnFormula>IF(Master[[#This Row],[Inventory Type - Lookup Picker]]="","",Master[[#This Row],[Inventory Type - Lookup Picker]])</calculatedColumnFormula>
    </tableColumn>
    <tableColumn id="9" xr3:uid="{00000000-0010-0000-1100-000009000000}" name="Cooperator">
      <calculatedColumnFormula>IF(Master[[#This Row],[Cooperator (Donor) 1 -full record]]="","",Master[[#This Row],[Cooperator (Donor) 1 -full record]])</calculatedColumnFormula>
    </tableColumn>
    <tableColumn id="10" xr3:uid="{00000000-0010-0000-1100-00000A000000}" name="Note"/>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InvActionHarvest" displayName="InvActionHarvest" ref="A1:J201" totalsRowShown="0" headerRowDxfId="93">
  <autoFilter ref="A1:J201" xr:uid="{00000000-0009-0000-0100-000012000000}"/>
  <tableColumns count="10">
    <tableColumn id="1" xr3:uid="{00000000-0010-0000-1200-000001000000}" name="Inventory Action ID"/>
    <tableColumn id="2" xr3:uid="{00000000-0010-0000-1200-000002000000}" name="Inventory" dataDxfId="92">
      <calculatedColumnFormula>Master[[#This Row],[Inventory Prefix]]&amp;" "&amp;Master[[#This Row],[Inventory Number]]&amp;" "&amp;Master[[#This Row],[Inventory Suffix]]&amp;" "&amp;Master[[#This Row],[Inventory Type - Lookup Picker]]</calculatedColumnFormula>
    </tableColumn>
    <tableColumn id="3" xr3:uid="{00000000-0010-0000-1200-000003000000}" name="Action Name" dataDxfId="91">
      <calculatedColumnFormula>"Collected"</calculatedColumnFormula>
    </tableColumn>
    <tableColumn id="4" xr3:uid="{00000000-0010-0000-1200-000004000000}" name="Completed Date Format">
      <calculatedColumnFormula>"mm/dd/yyyy"</calculatedColumnFormula>
    </tableColumn>
    <tableColumn id="5" xr3:uid="{00000000-0010-0000-1200-000005000000}" name="Completed Date" dataDxfId="90">
      <calculatedColumnFormula>IF(Master[[#This Row],[Date Collected or Developed]]="","",Master[[#This Row],[Date Collected or Developed]])</calculatedColumnFormula>
    </tableColumn>
    <tableColumn id="6" xr3:uid="{00000000-0010-0000-1200-000006000000}" name="Quantity" dataDxfId="89">
      <calculatedColumnFormula>IF(Master[[#This Row],[Quantity On Hand]]="","",Master[[#This Row],[Quantity On Hand]])</calculatedColumnFormula>
    </tableColumn>
    <tableColumn id="7" xr3:uid="{00000000-0010-0000-1200-000007000000}" name="Units" dataDxfId="88">
      <calculatedColumnFormula>IF(Master[[#This Row],[Quantity On Hand Units -''count'' or ''packet'']]="count","count",IF(Master[[#This Row],[Quantity On Hand Units -''count'' or ''packet'']]="packet","packet",""))</calculatedColumnFormula>
    </tableColumn>
    <tableColumn id="8" xr3:uid="{00000000-0010-0000-1200-000008000000}" name="Form" dataDxfId="87">
      <calculatedColumnFormula>IF(Master[[#This Row],[Inventory Type - Lookup Picker]]="","",Master[[#This Row],[Inventory Type - Lookup Picker]])</calculatedColumnFormula>
    </tableColumn>
    <tableColumn id="9" xr3:uid="{00000000-0010-0000-1200-000009000000}" name="Cooperator">
      <calculatedColumnFormula>IF(Master[[#This Row],[Cooperator (Collector) 1 -full record]]="","",Master[[#This Row],[Cooperator (Collector) 1 -full record]])</calculatedColumnFormula>
    </tableColumn>
    <tableColumn id="10" xr3:uid="{00000000-0010-0000-1200-00000A000000}"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9CCE51DF-A3BB-43F1-96DA-28F180A823D9}" name="Table36" displayName="Table36" ref="C1:C13" totalsRowShown="0" headerRowDxfId="324" headerRowBorderDxfId="323" tableBorderDxfId="322">
  <autoFilter ref="C1:C13" xr:uid="{87B0CE97-C2B2-4318-82B1-6FAD5D53F92D}"/>
  <tableColumns count="1">
    <tableColumn id="1" xr3:uid="{BC87DB28-E87F-4639-8704-B61C4C68A0BA}" name="Life Form"/>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3000000}" name="CollectorCoop1" displayName="CollectorCoop1" ref="A1:C201" totalsRowShown="0" headerRowDxfId="86">
  <autoFilter ref="A1:C201" xr:uid="{00000000-0009-0000-0100-000006000000}"/>
  <tableColumns count="3">
    <tableColumn id="1" xr3:uid="{00000000-0010-0000-1300-000001000000}" name="Accession Source Map ID"/>
    <tableColumn id="2" xr3:uid="{00000000-0010-0000-1300-000002000000}" name="Accession Source" dataDxfId="85">
      <calculatedColumnFormula>Master[[#This Row],[Accession Prefix (NPGS)]]&amp;" "&amp;Master[[#This Row],[Accession Number -Assigned]]&amp;" COLLECTED "&amp;TEXT(SourceCollector[[#This Row],[Source Date]], "MM/DD/YYYY")</calculatedColumnFormula>
    </tableColumn>
    <tableColumn id="3" xr3:uid="{00000000-0010-0000-1300-000003000000}" name="Cooperator" dataDxfId="84">
      <calculatedColumnFormula>IF(Master[[#This Row],[Cooperator (Collector) 1 -full record]]="","",Master[[#This Row],[Cooperator (Collector) 1 -full record]])</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CollectorCoop2" displayName="CollectorCoop2" ref="A1:C201" totalsRowShown="0" headerRowDxfId="83">
  <autoFilter ref="A1:C201" xr:uid="{00000000-0009-0000-0100-000007000000}"/>
  <tableColumns count="3">
    <tableColumn id="1" xr3:uid="{00000000-0010-0000-1400-000001000000}" name="Accession Source Map ID"/>
    <tableColumn id="2" xr3:uid="{00000000-0010-0000-1400-000002000000}" name="Accession Source" dataDxfId="82">
      <calculatedColumnFormula>Master[[#This Row],[Accession Prefix (NPGS)]]&amp;" "&amp;Master[[#This Row],[Accession Number -Assigned]]&amp;" COLLECTED "&amp;TEXT(SourceCollector[[#This Row],[Source Date]], "MM/DD/YYYY")</calculatedColumnFormula>
    </tableColumn>
    <tableColumn id="3" xr3:uid="{00000000-0010-0000-1400-000003000000}" name="Cooperator" dataDxfId="81">
      <calculatedColumnFormula>IF(Master[[#This Row],[Cooperator (Collector) 2 -full record]]="","",Master[[#This Row],[Cooperator (Collector) 2 -full record]])</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5000000}" name="CollectorCoop3" displayName="CollectorCoop3" ref="A1:C201" totalsRowShown="0" headerRowDxfId="80">
  <autoFilter ref="A1:C201" xr:uid="{00000000-0009-0000-0100-000008000000}"/>
  <tableColumns count="3">
    <tableColumn id="1" xr3:uid="{00000000-0010-0000-1500-000001000000}" name="Accession Source Map ID"/>
    <tableColumn id="2" xr3:uid="{00000000-0010-0000-1500-000002000000}" name="Accession Source" dataDxfId="79">
      <calculatedColumnFormula>Master[[#This Row],[Accession Prefix (NPGS)]]&amp;" "&amp;Master[[#This Row],[Accession Number -Assigned]]&amp;" COLLECTED "&amp;TEXT(SourceCollector[[#This Row],[Source Date]], "MM/DD/YYYY")</calculatedColumnFormula>
    </tableColumn>
    <tableColumn id="3" xr3:uid="{00000000-0010-0000-1500-000003000000}" name="Cooperator" dataDxfId="78">
      <calculatedColumnFormula>IF(Master[[#This Row],[Cooperator (Collector) 3 -full record]]="","",Master[[#This Row],[Cooperator (Collector) 3 -full record]])</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7000000}" name="DonorCoop1" displayName="DonorCoop1" ref="A1:C201" totalsRowShown="0" headerRowDxfId="77">
  <autoFilter ref="A1:C201" xr:uid="{00000000-0009-0000-0100-000009000000}"/>
  <tableColumns count="3">
    <tableColumn id="1" xr3:uid="{00000000-0010-0000-1700-000001000000}" name="Accession Source Map ID"/>
    <tableColumn id="2" xr3:uid="{00000000-0010-0000-1700-000002000000}" name="Accession Source">
      <calculatedColumnFormula>Master[[#This Row],[Accession Prefix (NPGS)]]&amp;" "&amp;Master[[#This Row],[Accession Number -Assigned]]&amp;" DONATED "&amp;TEXT(Master[[#This Row],[Received Date -received by site]], "MM/DD/YYYY")</calculatedColumnFormula>
    </tableColumn>
    <tableColumn id="3" xr3:uid="{00000000-0010-0000-1700-000003000000}" name="Cooperator" dataDxfId="76">
      <calculatedColumnFormula>IF(Master[[#This Row],[Cooperator (Donor) 1 -full record]]="","",Master[[#This Row],[Cooperator (Donor) 1 -full record]])</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8000000}" name="DonorCoop2" displayName="DonorCoop2" ref="A1:C201" totalsRowShown="0" headerRowDxfId="75">
  <autoFilter ref="A1:C201" xr:uid="{00000000-0009-0000-0100-00000A000000}"/>
  <tableColumns count="3">
    <tableColumn id="1" xr3:uid="{00000000-0010-0000-1800-000001000000}" name="Accession Source Map ID"/>
    <tableColumn id="2" xr3:uid="{00000000-0010-0000-1800-000002000000}" name="Accession Source">
      <calculatedColumnFormula>Master[[#This Row],[Accession Prefix (NPGS)]]&amp;" "&amp;Master[[#This Row],[Accession Number -Assigned]]&amp;" DONATED "&amp;TEXT(Master[[#This Row],[Received Date -received by site]], "MM/DD/YYYY")</calculatedColumnFormula>
    </tableColumn>
    <tableColumn id="3" xr3:uid="{00000000-0010-0000-1800-000003000000}" name="Cooperator" dataDxfId="74">
      <calculatedColumnFormula>IF(Master[[#This Row],[Cooperator (Donor) 2 -full record]]="","",Master[[#This Row],[Cooperator (Donor) 2 -full record]])</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9000000}" name="Name34244" displayName="Name34244" ref="A1:H201" totalsRowShown="0" headerRowDxfId="73">
  <autoFilter ref="A1:H201" xr:uid="{00000000-0009-0000-0100-00002B000000}">
    <filterColumn colId="0">
      <filters blank="1"/>
    </filterColumn>
  </autoFilter>
  <tableColumns count="8">
    <tableColumn id="1" xr3:uid="{00000000-0010-0000-1900-000001000000}" name="Accession Inventory Name ID"/>
    <tableColumn id="2" xr3:uid="{00000000-0010-0000-1900-000002000000}" name="Accession">
      <calculatedColumnFormula>Master[[#This Row],[Accession Prefix (NPGS)]]&amp;" "&amp;Master[[#This Row],[Accession Number -Assigned]]</calculatedColumnFormula>
    </tableColumn>
    <tableColumn id="3" xr3:uid="{00000000-0010-0000-1900-000003000000}" name="Inventory">
      <calculatedColumnFormula>Master[[#This Row],[Accession Prefix (NPGS)]]&amp;" "&amp;Master[[#This Row],[Accession Number -Assigned]]&amp;" **"</calculatedColumnFormula>
    </tableColumn>
    <tableColumn id="4" xr3:uid="{00000000-0010-0000-1900-000004000000}" name="Category" dataDxfId="72">
      <calculatedColumnFormula>IF(Master[[#This Row],[Accession Name Category (Identifier 1) -Lookup Picker]]="","",Master[[#This Row],[Accession Name Category (Identifier 1) -Lookup Picker]])</calculatedColumnFormula>
    </tableColumn>
    <tableColumn id="5" xr3:uid="{00000000-0010-0000-1900-000005000000}" name="Name" dataDxfId="71">
      <calculatedColumnFormula>IF(Master[[#This Row],[Accession Name (Identifier 1)]]="","",Master[[#This Row],[Accession Name (Identifier 1)]])</calculatedColumnFormula>
    </tableColumn>
    <tableColumn id="7" xr3:uid="{00000000-0010-0000-1900-000007000000}" name="Cooperator" dataDxfId="70">
      <calculatedColumnFormula>IF(Master[[#This Row],[Accession Name Cooperator (Identifier 1) -name, organization]]="","",Master[[#This Row],[Accession Name Cooperator (Identifier 1) -name, organization]])</calculatedColumnFormula>
    </tableColumn>
    <tableColumn id="8" xr3:uid="{00000000-0010-0000-1900-000008000000}" name="Is Web Visible?">
      <calculatedColumnFormula>"Y"</calculatedColumnFormula>
    </tableColumn>
    <tableColumn id="9" xr3:uid="{00000000-0010-0000-1900-000009000000}" name="Note"/>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A000000}" name="Name342" displayName="Name342" ref="A1:H201" totalsRowShown="0" headerRowDxfId="69">
  <autoFilter ref="A1:H201" xr:uid="{00000000-0009-0000-0100-000029000000}"/>
  <tableColumns count="8">
    <tableColumn id="1" xr3:uid="{00000000-0010-0000-1A00-000001000000}" name="Accession Inventory Name ID"/>
    <tableColumn id="2" xr3:uid="{00000000-0010-0000-1A00-000002000000}" name="Accession">
      <calculatedColumnFormula>Master[[#This Row],[Accession Prefix (NPGS)]]&amp;" "&amp;Master[[#This Row],[Accession Number -Assigned]]</calculatedColumnFormula>
    </tableColumn>
    <tableColumn id="3" xr3:uid="{00000000-0010-0000-1A00-000003000000}" name="Inventory">
      <calculatedColumnFormula>Master[[#This Row],[Accession Prefix (NPGS)]]&amp;" "&amp;Master[[#This Row],[Accession Number -Assigned]]&amp;" **"</calculatedColumnFormula>
    </tableColumn>
    <tableColumn id="4" xr3:uid="{00000000-0010-0000-1A00-000004000000}" name="Category" dataDxfId="68">
      <calculatedColumnFormula>IF(Master[[#This Row],[Accession Name Category (Identifier 2) -Lookup Picker]]="","",Master[[#This Row],[Accession Name Category (Identifier 2) -Lookup Picker]])</calculatedColumnFormula>
    </tableColumn>
    <tableColumn id="5" xr3:uid="{00000000-0010-0000-1A00-000005000000}" name="Name" dataDxfId="67">
      <calculatedColumnFormula>IF(Master[[#This Row],[Accession Name (Identifier 2)]]="","",Master[[#This Row],[Accession Name (Identifier 2)]])</calculatedColumnFormula>
    </tableColumn>
    <tableColumn id="7" xr3:uid="{00000000-0010-0000-1A00-000007000000}" name="Cooperator" dataDxfId="66">
      <calculatedColumnFormula>IF(Master[[#This Row],[Accession Name Cooperator (Identifier 2) -name, organization]]="","",Master[[#This Row],[Accession Name Cooperator (Identifier 2) -name, organization]])</calculatedColumnFormula>
    </tableColumn>
    <tableColumn id="8" xr3:uid="{00000000-0010-0000-1A00-000008000000}" name="Is Web Visible?">
      <calculatedColumnFormula>"Y"</calculatedColumnFormula>
    </tableColumn>
    <tableColumn id="9" xr3:uid="{00000000-0010-0000-1A00-000009000000}" name="Note"/>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C2C3C2B-2515-4041-A2B3-18EB2827CDAC}" name="Name34255" displayName="Name34255" ref="A1:H201" totalsRowShown="0" headerRowDxfId="65">
  <autoFilter ref="A1:H201" xr:uid="{00000000-0009-0000-0100-000029000000}"/>
  <tableColumns count="8">
    <tableColumn id="1" xr3:uid="{76A2A2B6-6CAD-4D8B-A3B7-A3064C150F42}" name="Accession Inventory Name ID"/>
    <tableColumn id="2" xr3:uid="{0EAD2F16-C21E-4B4F-9BA0-A92A5D4D07F5}" name="Accession">
      <calculatedColumnFormula>Master[[#This Row],[Accession Prefix (NPGS)]]&amp;" "&amp;Master[[#This Row],[Accession Number -Assigned]]</calculatedColumnFormula>
    </tableColumn>
    <tableColumn id="3" xr3:uid="{5F9E863B-CB5B-4AC3-BBFC-AB0A5A2EC3CE}" name="Inventory">
      <calculatedColumnFormula>Master[[#This Row],[Accession Prefix (NPGS)]]&amp;" "&amp;Master[[#This Row],[Accession Number -Assigned]]&amp;" **"</calculatedColumnFormula>
    </tableColumn>
    <tableColumn id="4" xr3:uid="{1FED88CD-9DBF-4AEC-B037-38249DD06E99}" name="Category" dataDxfId="64">
      <calculatedColumnFormula>IF(Master[[#This Row],[Accession Name Category (Identifier 3) -Lookup Picker]]="","",Master[[#This Row],[Accession Name Category (Identifier 3) -Lookup Picker]])</calculatedColumnFormula>
    </tableColumn>
    <tableColumn id="5" xr3:uid="{5ABD01DE-662E-447D-A577-B57FBC421CC4}" name="Name" dataDxfId="63">
      <calculatedColumnFormula>IF(Master[[#This Row],[Accession Name (Identifier 3)]]="","",Master[[#This Row],[Accession Name (Identifier 3)]])</calculatedColumnFormula>
    </tableColumn>
    <tableColumn id="7" xr3:uid="{84F6082A-17DF-4451-A06B-3B3948C9E8CF}" name="Cooperator" dataDxfId="62">
      <calculatedColumnFormula>IF(Master[[#This Row],[Accession Name Cooperator (Identifier 3) -name, organization]]="","",Master[[#This Row],[Accession Name Cooperator (Identifier 3) -name, organization]])</calculatedColumnFormula>
    </tableColumn>
    <tableColumn id="8" xr3:uid="{20DA2B0F-88AD-4BD7-B382-BF9E95F09F38}" name="Is Web Visible?">
      <calculatedColumnFormula>"Y"</calculatedColumnFormula>
    </tableColumn>
    <tableColumn id="9" xr3:uid="{B188B24D-3943-451A-8392-EF4F7C4ADEB8}" name="Note"/>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C000000}" name="Voucher340" displayName="Voucher340" ref="A1:I201" totalsRowShown="0" headerRowDxfId="61">
  <autoFilter ref="A1:I201" xr:uid="{00000000-0009-0000-0100-000027000000}"/>
  <tableColumns count="9">
    <tableColumn id="1" xr3:uid="{00000000-0010-0000-1C00-000001000000}" name="Accession Inventory Voucher ID"/>
    <tableColumn id="2" xr3:uid="{00000000-0010-0000-1C00-000002000000}" name="Accession">
      <calculatedColumnFormula>Master[[#This Row],[Accession Prefix (NPGS)]]&amp;" "&amp;Master[[#This Row],[Accession Number -Assigned]]</calculatedColumnFormula>
    </tableColumn>
    <tableColumn id="3" xr3:uid="{00000000-0010-0000-1C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C00-000004000000}" name="Collector Voucher Number">
      <calculatedColumnFormula>IF(Master[[#This Row],[Collector Voucher Number]]="","",Master[[#This Row],[Collector Voucher Number]])</calculatedColumnFormula>
    </tableColumn>
    <tableColumn id="5" xr3:uid="{00000000-0010-0000-1C00-000005000000}" name="Voucher Location" dataDxfId="60">
      <calculatedColumnFormula>IF(Master[[#This Row],[Voucher Location (1)]]="","",Master[[#This Row],[Voucher Location (1)]])</calculatedColumnFormula>
    </tableColumn>
    <tableColumn id="6" xr3:uid="{00000000-0010-0000-1C00-000006000000}" name="Vouchered Date Format">
      <calculatedColumnFormula>"mm/dd/yyyy"</calculatedColumnFormula>
    </tableColumn>
    <tableColumn id="7" xr3:uid="{00000000-0010-0000-1C00-000007000000}" name="Vouchered Date" dataDxfId="59">
      <calculatedColumnFormula>IF(Master[[#This Row],[Voucher Date]]="","",Master[[#This Row],[Voucher Date]])</calculatedColumnFormula>
    </tableColumn>
    <tableColumn id="8" xr3:uid="{00000000-0010-0000-1C00-000008000000}" name="Voucher Cooperator" dataDxfId="58">
      <calculatedColumnFormula>IF(Master[[#This Row],[Voucher Collector -name, organization]]="","",Master[[#This Row],[Voucher Collector -name, organization]])</calculatedColumnFormula>
    </tableColumn>
    <tableColumn id="9" xr3:uid="{00000000-0010-0000-1C00-000009000000}" name="Note">
      <calculatedColumnFormula>IF(Master[[#This Row],[Note (Voucher)]]="","",Master[[#This Row],[Note (Voucher)]])</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D000000}" name="Voucher336" displayName="Voucher336" ref="A1:I201" totalsRowShown="0" headerRowDxfId="57">
  <autoFilter ref="A1:I201" xr:uid="{00000000-0009-0000-0100-000023000000}"/>
  <tableColumns count="9">
    <tableColumn id="1" xr3:uid="{00000000-0010-0000-1D00-000001000000}" name="Accession Inventory Voucher ID"/>
    <tableColumn id="2" xr3:uid="{00000000-0010-0000-1D00-000002000000}" name="Accession">
      <calculatedColumnFormula>Master[[#This Row],[Accession Prefix (NPGS)]]&amp;" "&amp;Master[[#This Row],[Accession Number -Assigned]]</calculatedColumnFormula>
    </tableColumn>
    <tableColumn id="3" xr3:uid="{00000000-0010-0000-1D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D00-000004000000}" name="Collector Voucher Number">
      <calculatedColumnFormula>IF(Master[[#This Row],[Collector Voucher Number]]="","",Master[[#This Row],[Collector Voucher Number]])</calculatedColumnFormula>
    </tableColumn>
    <tableColumn id="5" xr3:uid="{00000000-0010-0000-1D00-000005000000}" name="Voucher Location" dataDxfId="56">
      <calculatedColumnFormula>IF(Master[[#This Row],[Voucher Location (2)]]="","",Master[[#This Row],[Voucher Location (2)]])</calculatedColumnFormula>
    </tableColumn>
    <tableColumn id="6" xr3:uid="{00000000-0010-0000-1D00-000006000000}" name="Vouchered Date Format">
      <calculatedColumnFormula>"mm/dd/yyyy"</calculatedColumnFormula>
    </tableColumn>
    <tableColumn id="7" xr3:uid="{00000000-0010-0000-1D00-000007000000}" name="Vouchered Date" dataDxfId="55">
      <calculatedColumnFormula>IF(Master[[#This Row],[Voucher Date]]="","",Master[[#This Row],[Voucher Date]])</calculatedColumnFormula>
    </tableColumn>
    <tableColumn id="8" xr3:uid="{00000000-0010-0000-1D00-000008000000}" name="Note" dataDxfId="54">
      <calculatedColumnFormula>IF(Master[[#This Row],[Voucher Collector -name, organization]]="","",Master[[#This Row],[Voucher Collector -name, organization]])</calculatedColumnFormula>
    </tableColumn>
    <tableColumn id="9" xr3:uid="{00000000-0010-0000-1D00-000009000000}" name="Column1">
      <calculatedColumnFormula>IF(Master[[#This Row],[Note (Voucher)]]="","",Master[[#This Row],[Note (Voucher)]])</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7F210DA-B69C-4048-AF3E-DFD7C809F675}" name="Table37" displayName="Table37" ref="B1:B40" totalsRowShown="0" headerRowDxfId="321" headerRowBorderDxfId="320" tableBorderDxfId="319">
  <autoFilter ref="B1:B40" xr:uid="{5A4CD7D2-6864-42EC-A69C-2601A0BD0CFA}"/>
  <tableColumns count="1">
    <tableColumn id="1" xr3:uid="{0287E2B9-3C67-4764-A1ED-2EDC7E9E571C}" name="Inventory Type"/>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E000000}" name="Voucher3" displayName="Voucher3" ref="A1:I201" totalsRowShown="0" headerRowDxfId="53">
  <autoFilter ref="A1:I201" xr:uid="{6F909228-30EF-41D5-823B-0EC60B610923}"/>
  <tableColumns count="9">
    <tableColumn id="1" xr3:uid="{00000000-0010-0000-1E00-000001000000}" name="Accession Inventory Voucher ID"/>
    <tableColumn id="2" xr3:uid="{00000000-0010-0000-1E00-000002000000}" name="Accession">
      <calculatedColumnFormula>Master[[#This Row],[Accession Prefix (NPGS)]]&amp;" "&amp;Master[[#This Row],[Accession Number -Assigned]]</calculatedColumnFormula>
    </tableColumn>
    <tableColumn id="3" xr3:uid="{00000000-0010-0000-1E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E00-000004000000}" name="Collector Voucher Number">
      <calculatedColumnFormula>IF(Master[[#This Row],[Collector Voucher Number]]="","",Master[[#This Row],[Collector Voucher Number]])</calculatedColumnFormula>
    </tableColumn>
    <tableColumn id="5" xr3:uid="{00000000-0010-0000-1E00-000005000000}" name="Voucher Location" dataDxfId="52">
      <calculatedColumnFormula>IF(Master[[#This Row],[Voucher Location (3)]]="","",Master[[#This Row],[Voucher Location (3)]])</calculatedColumnFormula>
    </tableColumn>
    <tableColumn id="6" xr3:uid="{00000000-0010-0000-1E00-000006000000}" name="Vouchered Date Format">
      <calculatedColumnFormula>"mm/dd/yyyy"</calculatedColumnFormula>
    </tableColumn>
    <tableColumn id="7" xr3:uid="{00000000-0010-0000-1E00-000007000000}" name="Vouchered Date" dataDxfId="51">
      <calculatedColumnFormula>IF(Master[[#This Row],[Voucher Date]]="","",Master[[#This Row],[Voucher Date]])</calculatedColumnFormula>
    </tableColumn>
    <tableColumn id="8" xr3:uid="{00000000-0010-0000-1E00-000008000000}" name="Note" dataDxfId="50">
      <calculatedColumnFormula>IF(Master[[#This Row],[Voucher Collector -name, organization]]="","",Master[[#This Row],[Voucher Collector -name, organization]])</calculatedColumnFormula>
    </tableColumn>
    <tableColumn id="9" xr3:uid="{00000000-0010-0000-1E00-000009000000}" name="Note2">
      <calculatedColumnFormula>IF(Master[[#This Row],[Note (Voucher)]]="","",Master[[#This Row],[Note (Voucher)]])</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Citation" displayName="Citation" ref="A1:U201" totalsRowShown="0" headerRowDxfId="49">
  <autoFilter ref="A1:U201" xr:uid="{00000000-0009-0000-0100-000020000000}">
    <filterColumn colId="0">
      <filters blank="1"/>
    </filterColumn>
  </autoFilter>
  <tableColumns count="21">
    <tableColumn id="1" xr3:uid="{00000000-0010-0000-1F00-000001000000}" name="Citation ID"/>
    <tableColumn id="2" xr3:uid="{00000000-0010-0000-1F00-000002000000}" name="Literature Source" dataDxfId="48">
      <calculatedColumnFormula>IF(#REF!="","",#REF!)</calculatedColumnFormula>
    </tableColumn>
    <tableColumn id="3" xr3:uid="{00000000-0010-0000-1F00-000003000000}" name="Citation Title" dataDxfId="47">
      <calculatedColumnFormula>IF(#REF!="","",#REF!)</calculatedColumnFormula>
    </tableColumn>
    <tableColumn id="4" xr3:uid="{00000000-0010-0000-1F00-000004000000}" name="Author(s) Name" dataDxfId="46">
      <calculatedColumnFormula>IF(#REF!="","",#REF!)</calculatedColumnFormula>
    </tableColumn>
    <tableColumn id="5" xr3:uid="{00000000-0010-0000-1F00-000005000000}" name="Citation Year" dataDxfId="45">
      <calculatedColumnFormula>IF(#REF!="","",#REF!)</calculatedColumnFormula>
    </tableColumn>
    <tableColumn id="6" xr3:uid="{00000000-0010-0000-1F00-000006000000}" name="Reference" dataDxfId="44">
      <calculatedColumnFormula>IF(#REF!="","",#REF!)</calculatedColumnFormula>
    </tableColumn>
    <tableColumn id="11" xr3:uid="{00000000-0010-0000-1F00-00000B000000}" name="Accession" dataDxfId="43">
      <calculatedColumnFormula>Master[[#This Row],[Accession Prefix (NPGS)]]&amp;" "&amp;Master[[#This Row],[Accession Number -Assigned]]</calculatedColumnFormula>
    </tableColumn>
    <tableColumn id="21" xr3:uid="{00000000-0010-0000-1F00-000015000000}" name="Note"/>
    <tableColumn id="7" xr3:uid="{00000000-0010-0000-1F00-000007000000}" name="DOI Reference" dataDxfId="42">
      <calculatedColumnFormula>IF(#REF!="","",#REF!)</calculatedColumnFormula>
    </tableColumn>
    <tableColumn id="8" xr3:uid="{00000000-0010-0000-1F00-000008000000}" name="URL" dataDxfId="41">
      <calculatedColumnFormula>IF(#REF!="","",#REF!)</calculatedColumnFormula>
    </tableColumn>
    <tableColumn id="9" xr3:uid="{00000000-0010-0000-1F00-000009000000}" name="Reference Title"/>
    <tableColumn id="10" xr3:uid="{00000000-0010-0000-1F00-00000A000000}" name="Reference Description"/>
    <tableColumn id="12" xr3:uid="{00000000-0010-0000-1F00-00000C000000}" name="Method"/>
    <tableColumn id="13" xr3:uid="{00000000-0010-0000-1F00-00000D000000}" name="Taxonomy Species"/>
    <tableColumn id="14" xr3:uid="{00000000-0010-0000-1F00-00000E000000}" name="Extended Genus"/>
    <tableColumn id="15" xr3:uid="{00000000-0010-0000-1F00-00000F000000}" name="Accepted Extended Family"/>
    <tableColumn id="16" xr3:uid="{00000000-0010-0000-1F00-000010000000}" name="Accession IPR"/>
    <tableColumn id="17" xr3:uid="{00000000-0010-0000-1F00-000011000000}" name="Accession Pedigree"/>
    <tableColumn id="18" xr3:uid="{00000000-0010-0000-1F00-000012000000}" name="Genetic Marker"/>
    <tableColumn id="19" xr3:uid="{00000000-0010-0000-1F00-000013000000}" name="Type"/>
    <tableColumn id="20" xr3:uid="{00000000-0010-0000-1F00-000014000000}" name="Unique Key"/>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0000000}" name="Aspect" displayName="Aspect" ref="A1:I201" totalsRowShown="0" headerRowDxfId="40">
  <autoFilter ref="A1:I201" xr:uid="{00000000-0009-0000-0100-00000B000000}">
    <filterColumn colId="0">
      <filters blank="1"/>
    </filterColumn>
  </autoFilter>
  <tableColumns count="9">
    <tableColumn id="1" xr3:uid="{00000000-0010-0000-2000-000001000000}" name="Source Descriptor Observation ID"/>
    <tableColumn id="2" xr3:uid="{00000000-0010-0000-20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000-000003000000}" name="Source Descriptor">
      <calculatedColumnFormula>"ASPECT"</calculatedColumnFormula>
    </tableColumn>
    <tableColumn id="4" xr3:uid="{00000000-0010-0000-2000-000004000000}" name="Coded Value" dataDxfId="39">
      <calculatedColumnFormula>IF(Master[[#This Row],[ASPECT -lookup picker]]="","",Master[[#This Row],[ASPECT -lookup picker]])</calculatedColumnFormula>
    </tableColumn>
    <tableColumn id="5" xr3:uid="{00000000-0010-0000-2000-000005000000}" name="Code" dataDxfId="38"/>
    <tableColumn id="6" xr3:uid="{00000000-0010-0000-2000-000006000000}" name="Numeric Value"/>
    <tableColumn id="7" xr3:uid="{00000000-0010-0000-2000-000007000000}" name="Text Value"/>
    <tableColumn id="8" xr3:uid="{00000000-0010-0000-2000-000008000000}" name="Original Value" dataDxfId="37">
      <calculatedColumnFormula>IF(Master[[#This Row],[ASPECT Original Value]]="","",Master[[#This Row],[ASPECT Original Value]])</calculatedColumnFormula>
    </tableColumn>
    <tableColumn id="9" xr3:uid="{00000000-0010-0000-2000-000009000000}" name="Note"/>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1000000}" name="Slope" displayName="Slope" ref="A1:I201" totalsRowShown="0" headerRowDxfId="36">
  <autoFilter ref="A1:I201" xr:uid="{00000000-0009-0000-0100-00000C000000}"/>
  <tableColumns count="9">
    <tableColumn id="1" xr3:uid="{00000000-0010-0000-2100-000001000000}" name="Source Descriptor Observation ID"/>
    <tableColumn id="2" xr3:uid="{00000000-0010-0000-21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100-000003000000}" name="Source Descriptor">
      <calculatedColumnFormula>"SLOPE"</calculatedColumnFormula>
    </tableColumn>
    <tableColumn id="4" xr3:uid="{00000000-0010-0000-2100-000004000000}" name="Coded Value" dataDxfId="35"/>
    <tableColumn id="5" xr3:uid="{00000000-0010-0000-2100-000005000000}" name="Code"/>
    <tableColumn id="6" xr3:uid="{00000000-0010-0000-2100-000006000000}" name="Numeric Value" dataDxfId="34">
      <calculatedColumnFormula>IF(Master[[#This Row],[SLOPE]]="","",Master[[#This Row],[SLOPE]])</calculatedColumnFormula>
    </tableColumn>
    <tableColumn id="7" xr3:uid="{00000000-0010-0000-2100-000007000000}" name="Text Value" dataDxfId="33">
      <calculatedColumnFormula>IF(Master[[#This Row],[SLOPE]]="","",Master[[#This Row],[SLOPE]])</calculatedColumnFormula>
    </tableColumn>
    <tableColumn id="8" xr3:uid="{00000000-0010-0000-2100-000008000000}" name="Original Value" dataDxfId="32">
      <calculatedColumnFormula>IF(Master[[#This Row],[SLOPE Original Value]]="","",Master[[#This Row],[SLOPE Original Value]])</calculatedColumnFormula>
    </tableColumn>
    <tableColumn id="9" xr3:uid="{00000000-0010-0000-2100-000009000000}" name="Note"/>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2000000}" name="SoilTexture" displayName="SoilTexture" ref="A1:I201" totalsRowShown="0" headerRowDxfId="31">
  <autoFilter ref="A1:I201" xr:uid="{00000000-0009-0000-0100-00000D000000}"/>
  <tableColumns count="9">
    <tableColumn id="1" xr3:uid="{00000000-0010-0000-2200-000001000000}" name="Source Descriptor Observation ID"/>
    <tableColumn id="2" xr3:uid="{00000000-0010-0000-22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200-000003000000}" name="Source Descriptor">
      <calculatedColumnFormula>"SOIL TEXTURE"</calculatedColumnFormula>
    </tableColumn>
    <tableColumn id="4" xr3:uid="{00000000-0010-0000-2200-000004000000}" name="Coded Value" dataDxfId="30">
      <calculatedColumnFormula>IF(Master[[#This Row],[SOIL TEXTURE - lookup picker]]="","",Master[[#This Row],[SOIL TEXTURE - lookup picker]])</calculatedColumnFormula>
    </tableColumn>
    <tableColumn id="5" xr3:uid="{00000000-0010-0000-2200-000005000000}" name="Code" dataDxfId="29"/>
    <tableColumn id="6" xr3:uid="{00000000-0010-0000-2200-000006000000}" name="Numeric Value"/>
    <tableColumn id="7" xr3:uid="{00000000-0010-0000-2200-000007000000}" name="Text Value" dataDxfId="28">
      <calculatedColumnFormula>IF(Master[[#This Row],[SOIL TEXTURE - lookup picker]]="","",Master[[#This Row],[SOIL TEXTURE - lookup picker]])</calculatedColumnFormula>
    </tableColumn>
    <tableColumn id="8" xr3:uid="{00000000-0010-0000-2200-000008000000}" name="Original Value" dataDxfId="27">
      <calculatedColumnFormula>IF(Master[[#This Row],[Soil TEXTURE Original Value]]="","",Master[[#This Row],[Soil TEXTURE Original Value]])</calculatedColumnFormula>
    </tableColumn>
    <tableColumn id="9" xr3:uid="{00000000-0010-0000-2200-000009000000}" name="Note"/>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A112C4E-516B-461D-A871-86E0605AFF07}" name="SoilTexture39" displayName="SoilTexture39" ref="A1:I201" totalsRowShown="0" headerRowDxfId="26">
  <autoFilter ref="A1:I201" xr:uid="{00000000-0009-0000-0100-00000D000000}"/>
  <tableColumns count="9">
    <tableColumn id="1" xr3:uid="{24D4C918-28C1-4D98-8361-1ECF3DD654ED}" name="Source Descriptor Observation ID"/>
    <tableColumn id="2" xr3:uid="{71201367-C31A-4B95-B362-B21FB0582EE1}" name="Accession Source">
      <calculatedColumnFormula>Master[[#This Row],[Accession Prefix (NPGS)]]&amp;" "&amp;Master[[#This Row],[Accession Number -Assigned]]&amp;" COLLECTED "&amp;TEXT(Master[[#This Row],[Date Collected or Developed]], "MM/DD/YYYY")</calculatedColumnFormula>
    </tableColumn>
    <tableColumn id="3" xr3:uid="{8B696D3D-C915-4844-A8B4-74FF19DB3BF1}" name="Source Descriptor" dataDxfId="25">
      <calculatedColumnFormula>"ECOREGION"</calculatedColumnFormula>
    </tableColumn>
    <tableColumn id="4" xr3:uid="{AA6F45ED-E26C-45B3-827A-764A6ED2466E}" name="Coded Value" dataDxfId="24">
      <calculatedColumnFormula>IF(Master[[#This Row],[ECOREGION - Lookup picker]]="","",Master[[#This Row],[ECOREGION - Lookup picker]])</calculatedColumnFormula>
    </tableColumn>
    <tableColumn id="5" xr3:uid="{1B2582F2-103C-4728-A15F-DFFC1DCA02D8}" name="Code" dataDxfId="23"/>
    <tableColumn id="6" xr3:uid="{C29B6667-FD48-457E-9C9F-E22E6A606D25}" name="Numeric Value"/>
    <tableColumn id="7" xr3:uid="{0FA13286-7324-4AD4-9A9D-C17ECD3F22F6}" name="Text Value" dataDxfId="22">
      <calculatedColumnFormula>IF(Master[[#This Row],[ECOREGION - Lookup picker]]="","",Master[[#This Row],[ECOREGION - Lookup picker]])</calculatedColumnFormula>
    </tableColumn>
    <tableColumn id="8" xr3:uid="{6BFBBF99-0210-4D94-8803-5DB9BAEE71C3}" name="Ecoregion Original Value" dataDxfId="21">
      <calculatedColumnFormula>IF(Master[[#This Row],[Ecoregion Original Value]]="","",Master[[#This Row],[Ecoregion Original Value]])</calculatedColumnFormula>
    </tableColumn>
    <tableColumn id="9" xr3:uid="{58DCB242-9BCD-4D90-B787-D3A038E29872}" name="Note"/>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24000000}" name="FinalCheck" displayName="FinalCheck" ref="A1:D9" totalsRowShown="0" headerRowDxfId="20" dataDxfId="19">
  <autoFilter ref="A1:D9" xr:uid="{00000000-0009-0000-0100-00001C000000}"/>
  <tableColumns count="4">
    <tableColumn id="1" xr3:uid="{00000000-0010-0000-2400-000001000000}" name="Final Steps" dataDxfId="18"/>
    <tableColumn id="2" xr3:uid="{00000000-0010-0000-2400-000002000000}" name="Directions" dataDxfId="17"/>
    <tableColumn id="3" xr3:uid="{00000000-0010-0000-2400-000003000000}" name="Detailed Directions" dataDxfId="16"/>
    <tableColumn id="4" xr3:uid="{00000000-0010-0000-2400-000004000000}" name="Side notes" dataDxfId="15"/>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5000000}" name="AccessionFile" displayName="AccessionFile" ref="A1:M201" totalsRowShown="0" headerRowDxfId="14" dataDxfId="13">
  <autoFilter ref="A1:M201" xr:uid="{00000000-0009-0000-0100-00000F000000}">
    <filterColumn colId="1">
      <filters blank="1"/>
    </filterColumn>
  </autoFilter>
  <tableColumns count="13">
    <tableColumn id="13" xr3:uid="{00000000-0010-0000-2500-00000D000000}" name="No." dataDxfId="12">
      <calculatedColumnFormula>ROW()-2</calculatedColumnFormula>
    </tableColumn>
    <tableColumn id="1" xr3:uid="{00000000-0010-0000-2500-000001000000}" name="Accession" dataDxfId="11">
      <calculatedColumnFormula>Master[[#This Row],[Accession Prefix (NPGS)]]&amp;" "&amp;Master[[#This Row],[Accession Number -Assigned]]</calculatedColumnFormula>
    </tableColumn>
    <tableColumn id="14" xr3:uid="{00000000-0010-0000-2500-00000E000000}" name="Inventory" dataDxfId="10">
      <calculatedColumnFormula>Master[[#This Row],[Inventory Prefix]]&amp;" "&amp;Master[[#This Row],[Inventory Number]]&amp;" "&amp;Master[[#This Row],[Inventory Suffix]]&amp;" "&amp;Master[[#This Row],[Inventory Type - Lookup Picker]]</calculatedColumnFormula>
    </tableColumn>
    <tableColumn id="2" xr3:uid="{00000000-0010-0000-2500-000002000000}" name="Collection/Developer Number" dataDxfId="9">
      <calculatedColumnFormula>IF(Master[[#This Row],[Accession Name (Identifier 1)]]="","",Master[[#This Row],[Accession Name (Identifier 1)]])</calculatedColumnFormula>
    </tableColumn>
    <tableColumn id="3" xr3:uid="{00000000-0010-0000-2500-000003000000}" name="Date Harvested/Developed" dataDxfId="8">
      <calculatedColumnFormula>IF(Master[[#This Row],[Date Collected or Developed]]="","",Master[[#This Row],[Date Collected or Developed]])</calculatedColumnFormula>
    </tableColumn>
    <tableColumn id="4" xr3:uid="{00000000-0010-0000-2500-000004000000}" name="Date Received" dataDxfId="7">
      <calculatedColumnFormula>IF(Master[[#This Row],[Received Date -received by site]]="","",Master[[#This Row],[Received Date -received by site]])</calculatedColumnFormula>
    </tableColumn>
    <tableColumn id="5" xr3:uid="{00000000-0010-0000-2500-000005000000}" name="Taxonomy" dataDxfId="6">
      <calculatedColumnFormula>IF(Master[[#This Row],[Taxon -Lookup Picker in GRIN]]="","",Master[[#This Row],[Taxon -Lookup Picker in GRIN]])</calculatedColumnFormula>
    </tableColumn>
    <tableColumn id="11" xr3:uid="{00000000-0010-0000-2500-00000B000000}" name="Inventory Maintenance Policy" dataDxfId="5">
      <calculatedColumnFormula>IF(Master[[#This Row],[Inventory Maintenance Policy]]="","",Master[[#This Row],[Inventory Maintenance Policy]])</calculatedColumnFormula>
    </tableColumn>
    <tableColumn id="6" xr3:uid="{00000000-0010-0000-2500-000006000000}" name="Collection/Developer Geography (origin)" dataDxfId="4">
      <calculatedColumnFormula>IF(Master[[#This Row],[Geography (Collection) -Lookup Picker in GRIN]]="",#REF!,Master[[#This Row],[Geography (Collection) -Lookup Picker in GRIN]])</calculatedColumnFormula>
    </tableColumn>
    <tableColumn id="7" xr3:uid="{00000000-0010-0000-2500-000007000000}" name="Location Description" dataDxfId="3">
      <calculatedColumnFormula>IF(Master[[#This Row],[Collector Verbatim Locality]]="","",Master[[#This Row],[Collector Verbatim Locality]])</calculatedColumnFormula>
    </tableColumn>
    <tableColumn id="8" xr3:uid="{00000000-0010-0000-2500-000008000000}" name="Latitude" dataDxfId="2">
      <calculatedColumnFormula>IF(Master[[#This Row],[Latitude -decimal degrees]]="","",Master[[#This Row],[Latitude -decimal degrees]])</calculatedColumnFormula>
    </tableColumn>
    <tableColumn id="9" xr3:uid="{00000000-0010-0000-2500-000009000000}" name="Longitude" dataDxfId="1">
      <calculatedColumnFormula>IF(Master[[#This Row],[Longitude -decimal degrees]]="","",Master[[#This Row],[Longitude -decimal degrees]])</calculatedColumnFormula>
    </tableColumn>
    <tableColumn id="10" xr3:uid="{00000000-0010-0000-2500-00000A000000}" name="Donor Cooperator" dataDxfId="0">
      <calculatedColumnFormula>IF(Master[[#This Row],[Cooperator (Donor) 1 -full record]]="","",Master[[#This Row],[Cooperator (Donor) 1 -full record]])</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29D6F25-12C2-449C-8B5B-8748A195DEE7}" name="Table40" displayName="Table40" ref="D1:D11" totalsRowShown="0" headerRowDxfId="318" headerRowBorderDxfId="317" tableBorderDxfId="316">
  <autoFilter ref="D1:D11" xr:uid="{34B18F38-45C7-49E8-A4B7-2F6B73FC4016}"/>
  <tableColumns count="1">
    <tableColumn id="1" xr3:uid="{4DDDAA0E-8CFE-4246-AD30-10D32AD78797}" name="Level of Improve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A45BA625-88FA-4FC1-8118-11509998F800}" name="Table42" displayName="Table42" ref="E1:E13" totalsRowShown="0" headerRowDxfId="315" headerRowBorderDxfId="314" tableBorderDxfId="313">
  <autoFilter ref="E1:E13" xr:uid="{CB30C3C8-2B15-4451-ACF5-490FDE2A74FC}"/>
  <tableColumns count="1">
    <tableColumn id="1" xr3:uid="{DE5DE5ED-B22F-4A20-A1C4-840DC216FBC7}" name="Reproductive Uniformit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54C8566D-7840-484D-80A9-8DAEEE0B134F}" name="Table44" displayName="Table44" ref="F1:F15" totalsRowShown="0" headerRowDxfId="312" headerRowBorderDxfId="311" tableBorderDxfId="310">
  <autoFilter ref="F1:F15" xr:uid="{122E88BE-19BC-4155-9340-98F822791CFB}"/>
  <tableColumns count="1">
    <tableColumn id="1" xr3:uid="{4BB1DDF6-1461-4E65-A0D7-13DC16579E3A}" name="Accession Name Category (Identifier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80F56C81-BC01-4C31-B75B-2EF159426875}" name="Table45" displayName="Table45" ref="G1:G16" totalsRowShown="0" headerRowDxfId="309" headerRowBorderDxfId="308" tableBorderDxfId="307">
  <autoFilter ref="G1:G16" xr:uid="{9B7917B5-155E-4652-956E-8D29D90F54CC}"/>
  <tableColumns count="1">
    <tableColumn id="1" xr3:uid="{D45912E3-3921-47B0-A47E-9222B72D68D1}" name="Georeference Protoco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907414D-7C8A-4174-A8F0-C5E198A390EB}" name="Table46" displayName="Table46" ref="H1:H31" totalsRowShown="0" headerRowDxfId="306" headerRowBorderDxfId="305" tableBorderDxfId="304">
  <autoFilter ref="H1:H31" xr:uid="{55BB0160-AD6A-4978-A96B-D2DAB7FE3113}"/>
  <tableColumns count="1">
    <tableColumn id="1" xr3:uid="{8B0EFF75-43C4-4641-8BD8-539AFEC64F8E}" name="Source/Habitat Observation - Source Descript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2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2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35.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41.xml"/><Relationship Id="rId1" Type="http://schemas.openxmlformats.org/officeDocument/2006/relationships/vmlDrawing" Target="../drawings/vmlDrawing8.v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1.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R99"/>
  <sheetViews>
    <sheetView workbookViewId="0">
      <pane ySplit="1" topLeftCell="A2" activePane="bottomLeft" state="frozen"/>
      <selection pane="bottomLeft" activeCell="I44" sqref="I44"/>
    </sheetView>
  </sheetViews>
  <sheetFormatPr defaultRowHeight="15" x14ac:dyDescent="0.25"/>
  <cols>
    <col min="1" max="1" width="96.85546875" bestFit="1" customWidth="1"/>
    <col min="2" max="2" width="7" style="7" customWidth="1"/>
    <col min="3" max="3" width="7" customWidth="1"/>
    <col min="4" max="4" width="57.28515625" style="35" bestFit="1" customWidth="1"/>
    <col min="5" max="5" width="12.140625" customWidth="1"/>
    <col min="6" max="6" width="13.7109375" customWidth="1"/>
    <col min="7" max="7" width="13.7109375" style="7" customWidth="1"/>
    <col min="8" max="8" width="13.7109375" customWidth="1"/>
    <col min="9" max="9" width="13.7109375" style="141" customWidth="1"/>
    <col min="10" max="11" width="13.7109375" style="7" customWidth="1"/>
    <col min="12" max="12" width="13.7109375" customWidth="1"/>
    <col min="13" max="13" width="10.7109375" style="10" customWidth="1"/>
    <col min="14" max="14" width="29.42578125" customWidth="1"/>
    <col min="15" max="15" width="31.85546875" style="14" customWidth="1"/>
    <col min="16" max="16" width="19.28515625" style="10" customWidth="1"/>
    <col min="17" max="17" width="17.42578125" customWidth="1"/>
    <col min="18" max="18" width="31.42578125" customWidth="1"/>
  </cols>
  <sheetData>
    <row r="1" spans="1:18" s="6" customFormat="1" ht="61.5" thickBot="1" x14ac:dyDescent="0.35">
      <c r="A1" s="50" t="s">
        <v>153</v>
      </c>
      <c r="D1" s="49" t="s">
        <v>152</v>
      </c>
      <c r="E1" s="83" t="s">
        <v>344</v>
      </c>
      <c r="F1" s="83" t="s">
        <v>346</v>
      </c>
      <c r="G1" s="83" t="s">
        <v>347</v>
      </c>
      <c r="H1"/>
      <c r="I1" s="141"/>
      <c r="J1" s="7"/>
      <c r="K1" s="7"/>
      <c r="L1"/>
      <c r="M1" s="27" t="s">
        <v>119</v>
      </c>
      <c r="N1" s="6" t="s">
        <v>120</v>
      </c>
      <c r="O1" s="28" t="s">
        <v>121</v>
      </c>
      <c r="P1" s="6" t="s">
        <v>101</v>
      </c>
      <c r="Q1" s="28" t="s">
        <v>95</v>
      </c>
      <c r="R1" s="6" t="s">
        <v>100</v>
      </c>
    </row>
    <row r="2" spans="1:18" ht="15.75" x14ac:dyDescent="0.25">
      <c r="A2" t="s">
        <v>155</v>
      </c>
      <c r="D2" s="168" t="s">
        <v>46</v>
      </c>
      <c r="E2" s="85"/>
      <c r="F2" s="86"/>
      <c r="G2" s="86"/>
      <c r="M2" s="21">
        <v>1</v>
      </c>
      <c r="N2" s="15" t="s">
        <v>10</v>
      </c>
      <c r="O2" s="15" t="s">
        <v>1</v>
      </c>
      <c r="P2" s="15"/>
      <c r="Q2" s="10"/>
      <c r="R2" s="10" t="s">
        <v>96</v>
      </c>
    </row>
    <row r="3" spans="1:18" ht="15.75" x14ac:dyDescent="0.25">
      <c r="A3" t="s">
        <v>157</v>
      </c>
      <c r="D3" s="168" t="s">
        <v>562</v>
      </c>
      <c r="E3" s="86" t="s">
        <v>557</v>
      </c>
      <c r="F3" s="86" t="s">
        <v>557</v>
      </c>
      <c r="G3" s="86" t="s">
        <v>557</v>
      </c>
      <c r="M3" s="21">
        <v>2</v>
      </c>
      <c r="N3" s="15" t="s">
        <v>10</v>
      </c>
      <c r="O3" s="15" t="s">
        <v>2</v>
      </c>
      <c r="P3" s="15"/>
      <c r="Q3" s="10" t="s">
        <v>97</v>
      </c>
      <c r="R3" t="s">
        <v>71</v>
      </c>
    </row>
    <row r="4" spans="1:18" ht="15.75" x14ac:dyDescent="0.25">
      <c r="A4" t="s">
        <v>156</v>
      </c>
      <c r="D4" s="168" t="s">
        <v>544</v>
      </c>
      <c r="E4" s="86" t="s">
        <v>557</v>
      </c>
      <c r="F4" s="86" t="s">
        <v>557</v>
      </c>
      <c r="G4" s="86" t="s">
        <v>557</v>
      </c>
      <c r="M4" s="21">
        <v>3</v>
      </c>
      <c r="N4" s="15" t="s">
        <v>10</v>
      </c>
      <c r="O4" s="15" t="s">
        <v>3</v>
      </c>
      <c r="P4" s="15"/>
      <c r="Q4" s="10"/>
    </row>
    <row r="5" spans="1:18" x14ac:dyDescent="0.25">
      <c r="A5" t="s">
        <v>556</v>
      </c>
      <c r="D5" s="169" t="s">
        <v>523</v>
      </c>
      <c r="E5" s="67" t="s">
        <v>97</v>
      </c>
      <c r="F5" s="75" t="s">
        <v>345</v>
      </c>
      <c r="G5" s="74" t="s">
        <v>345</v>
      </c>
      <c r="M5" s="21">
        <v>4</v>
      </c>
      <c r="N5" s="15" t="s">
        <v>10</v>
      </c>
      <c r="O5" s="15" t="s">
        <v>0</v>
      </c>
      <c r="P5" s="15"/>
      <c r="Q5" s="10" t="s">
        <v>97</v>
      </c>
    </row>
    <row r="6" spans="1:18" x14ac:dyDescent="0.25">
      <c r="A6" t="s">
        <v>158</v>
      </c>
      <c r="D6" s="170" t="s">
        <v>127</v>
      </c>
      <c r="E6" s="67" t="s">
        <v>97</v>
      </c>
      <c r="F6" s="75" t="s">
        <v>345</v>
      </c>
      <c r="G6" s="74" t="s">
        <v>345</v>
      </c>
      <c r="M6" s="21">
        <v>5</v>
      </c>
      <c r="N6" s="15" t="s">
        <v>10</v>
      </c>
      <c r="O6" s="15" t="s">
        <v>4</v>
      </c>
      <c r="P6" s="15"/>
      <c r="Q6" s="10"/>
    </row>
    <row r="7" spans="1:18" x14ac:dyDescent="0.25">
      <c r="A7" t="s">
        <v>154</v>
      </c>
      <c r="D7" s="171" t="s">
        <v>17</v>
      </c>
      <c r="E7" s="67" t="s">
        <v>97</v>
      </c>
      <c r="F7" s="75" t="s">
        <v>345</v>
      </c>
      <c r="G7" s="74" t="s">
        <v>345</v>
      </c>
      <c r="M7" s="21">
        <v>6</v>
      </c>
      <c r="N7" s="15" t="s">
        <v>10</v>
      </c>
      <c r="O7" s="15" t="s">
        <v>5</v>
      </c>
      <c r="P7" s="15"/>
      <c r="Q7" s="10"/>
    </row>
    <row r="8" spans="1:18" x14ac:dyDescent="0.25">
      <c r="A8" t="s">
        <v>349</v>
      </c>
      <c r="D8" s="171" t="s">
        <v>18</v>
      </c>
      <c r="E8" s="67" t="s">
        <v>97</v>
      </c>
      <c r="F8" s="75" t="s">
        <v>345</v>
      </c>
      <c r="G8" s="74" t="s">
        <v>345</v>
      </c>
      <c r="M8" s="21">
        <v>7</v>
      </c>
      <c r="N8" s="15" t="s">
        <v>10</v>
      </c>
      <c r="O8" s="15" t="s">
        <v>6</v>
      </c>
      <c r="P8" s="15"/>
      <c r="Q8" s="10"/>
    </row>
    <row r="9" spans="1:18" x14ac:dyDescent="0.25">
      <c r="D9" s="172" t="s">
        <v>15</v>
      </c>
      <c r="E9" s="67" t="s">
        <v>97</v>
      </c>
      <c r="F9" s="75" t="s">
        <v>345</v>
      </c>
      <c r="G9" s="74" t="s">
        <v>345</v>
      </c>
      <c r="M9" s="21">
        <v>8</v>
      </c>
      <c r="N9" s="15" t="s">
        <v>10</v>
      </c>
      <c r="O9" s="15" t="s">
        <v>7</v>
      </c>
      <c r="P9" s="15"/>
      <c r="Q9" s="10"/>
    </row>
    <row r="10" spans="1:18" x14ac:dyDescent="0.25">
      <c r="D10" s="172" t="s">
        <v>160</v>
      </c>
      <c r="E10" s="67" t="s">
        <v>97</v>
      </c>
      <c r="F10" s="75" t="s">
        <v>345</v>
      </c>
      <c r="G10" s="74" t="s">
        <v>345</v>
      </c>
      <c r="M10" s="21">
        <v>9</v>
      </c>
      <c r="N10" s="15" t="s">
        <v>10</v>
      </c>
      <c r="O10" s="15" t="s">
        <v>8</v>
      </c>
      <c r="P10" s="15"/>
      <c r="Q10" s="10"/>
    </row>
    <row r="11" spans="1:18" x14ac:dyDescent="0.25">
      <c r="A11" t="s">
        <v>555</v>
      </c>
      <c r="D11" s="169" t="s">
        <v>128</v>
      </c>
      <c r="E11" s="67" t="s">
        <v>97</v>
      </c>
      <c r="F11" s="75" t="s">
        <v>345</v>
      </c>
      <c r="G11" s="74" t="s">
        <v>345</v>
      </c>
      <c r="M11" s="21">
        <v>10</v>
      </c>
      <c r="N11" s="15" t="s">
        <v>10</v>
      </c>
      <c r="O11" s="15" t="s">
        <v>9</v>
      </c>
      <c r="P11" s="15"/>
      <c r="Q11" s="10"/>
    </row>
    <row r="12" spans="1:18" x14ac:dyDescent="0.25">
      <c r="A12" s="165" t="s">
        <v>547</v>
      </c>
      <c r="D12" s="173" t="s">
        <v>129</v>
      </c>
      <c r="E12" s="67" t="s">
        <v>97</v>
      </c>
      <c r="F12" s="75" t="s">
        <v>345</v>
      </c>
      <c r="G12" s="74" t="s">
        <v>345</v>
      </c>
      <c r="M12" s="21">
        <v>11</v>
      </c>
      <c r="N12" s="15" t="s">
        <v>98</v>
      </c>
      <c r="O12" s="15" t="s">
        <v>48</v>
      </c>
      <c r="P12" s="15"/>
      <c r="Q12" s="10"/>
      <c r="R12" s="10" t="s">
        <v>96</v>
      </c>
    </row>
    <row r="13" spans="1:18" ht="15.75" x14ac:dyDescent="0.25">
      <c r="D13" s="174" t="s">
        <v>130</v>
      </c>
      <c r="E13" s="67"/>
      <c r="F13" s="75" t="s">
        <v>345</v>
      </c>
      <c r="G13" s="74" t="s">
        <v>345</v>
      </c>
      <c r="M13" s="21">
        <v>12</v>
      </c>
      <c r="N13" s="15" t="s">
        <v>98</v>
      </c>
      <c r="O13" s="15" t="s">
        <v>10</v>
      </c>
      <c r="P13" s="15"/>
      <c r="Q13" s="10" t="s">
        <v>97</v>
      </c>
    </row>
    <row r="14" spans="1:18" ht="15.75" x14ac:dyDescent="0.25">
      <c r="A14" s="54" t="s">
        <v>226</v>
      </c>
      <c r="D14" s="169" t="s">
        <v>131</v>
      </c>
      <c r="E14" s="67"/>
      <c r="F14" s="75" t="s">
        <v>345</v>
      </c>
      <c r="G14" s="74" t="s">
        <v>345</v>
      </c>
      <c r="M14" s="21">
        <v>13</v>
      </c>
      <c r="N14" s="15" t="s">
        <v>98</v>
      </c>
      <c r="O14" s="15" t="s">
        <v>49</v>
      </c>
      <c r="P14" s="15" t="s">
        <v>99</v>
      </c>
      <c r="Q14" s="10" t="s">
        <v>97</v>
      </c>
    </row>
    <row r="15" spans="1:18" ht="15.75" x14ac:dyDescent="0.25">
      <c r="A15" s="51" t="s">
        <v>497</v>
      </c>
      <c r="D15" s="169" t="s">
        <v>132</v>
      </c>
      <c r="E15" s="67"/>
      <c r="F15" s="75" t="s">
        <v>345</v>
      </c>
      <c r="G15" s="74" t="s">
        <v>345</v>
      </c>
      <c r="M15" s="21">
        <v>14</v>
      </c>
      <c r="N15" s="15" t="s">
        <v>98</v>
      </c>
      <c r="O15" s="15" t="s">
        <v>50</v>
      </c>
      <c r="P15" s="15"/>
      <c r="Q15" s="10"/>
      <c r="R15" t="s">
        <v>56</v>
      </c>
    </row>
    <row r="16" spans="1:18" x14ac:dyDescent="0.25">
      <c r="D16" s="169" t="s">
        <v>47</v>
      </c>
      <c r="E16" s="67"/>
      <c r="F16" s="75"/>
      <c r="G16" s="74"/>
      <c r="M16" s="21">
        <v>15</v>
      </c>
      <c r="N16" s="15" t="s">
        <v>98</v>
      </c>
      <c r="O16" s="15" t="s">
        <v>51</v>
      </c>
      <c r="P16" s="15"/>
      <c r="Q16" s="10"/>
      <c r="R16" t="s">
        <v>104</v>
      </c>
    </row>
    <row r="17" spans="1:18" x14ac:dyDescent="0.25">
      <c r="D17" s="175" t="s">
        <v>334</v>
      </c>
      <c r="E17" s="67" t="s">
        <v>348</v>
      </c>
      <c r="F17" s="75" t="s">
        <v>348</v>
      </c>
      <c r="G17" s="74" t="s">
        <v>348</v>
      </c>
      <c r="M17" s="21">
        <v>16</v>
      </c>
      <c r="N17" s="15" t="s">
        <v>98</v>
      </c>
      <c r="O17" s="15" t="s">
        <v>52</v>
      </c>
      <c r="P17" s="15"/>
      <c r="Q17" s="10"/>
      <c r="R17" t="s">
        <v>56</v>
      </c>
    </row>
    <row r="18" spans="1:18" ht="19.5" thickBot="1" x14ac:dyDescent="0.35">
      <c r="A18" s="49" t="s">
        <v>323</v>
      </c>
      <c r="D18" s="175" t="s">
        <v>332</v>
      </c>
      <c r="E18" s="67" t="s">
        <v>348</v>
      </c>
      <c r="F18" s="75" t="s">
        <v>348</v>
      </c>
      <c r="G18" s="74" t="s">
        <v>348</v>
      </c>
      <c r="M18" s="21">
        <v>17</v>
      </c>
      <c r="N18" s="15" t="s">
        <v>98</v>
      </c>
      <c r="O18" s="15" t="s">
        <v>53</v>
      </c>
      <c r="P18" s="15"/>
      <c r="Q18" s="10"/>
      <c r="R18" t="s">
        <v>96</v>
      </c>
    </row>
    <row r="19" spans="1:18" x14ac:dyDescent="0.25">
      <c r="A19" s="34" t="s">
        <v>10</v>
      </c>
      <c r="D19" s="169" t="s">
        <v>228</v>
      </c>
      <c r="E19" s="67"/>
      <c r="F19" s="75" t="s">
        <v>345</v>
      </c>
      <c r="G19" s="74"/>
      <c r="M19" s="21">
        <v>18</v>
      </c>
      <c r="N19" s="15" t="s">
        <v>98</v>
      </c>
      <c r="O19" s="15" t="s">
        <v>54</v>
      </c>
      <c r="P19" s="15"/>
      <c r="Q19" s="10"/>
      <c r="R19" t="s">
        <v>11</v>
      </c>
    </row>
    <row r="20" spans="1:18" x14ac:dyDescent="0.25">
      <c r="A20" s="34" t="s">
        <v>98</v>
      </c>
      <c r="D20" s="176" t="s">
        <v>545</v>
      </c>
      <c r="E20" s="67"/>
      <c r="F20" s="75" t="s">
        <v>558</v>
      </c>
      <c r="G20" s="74" t="s">
        <v>345</v>
      </c>
      <c r="M20" s="21">
        <v>19</v>
      </c>
      <c r="N20" s="15" t="s">
        <v>98</v>
      </c>
      <c r="O20" s="15" t="s">
        <v>55</v>
      </c>
      <c r="P20" s="15"/>
      <c r="Q20" s="10"/>
      <c r="R20" t="s">
        <v>105</v>
      </c>
    </row>
    <row r="21" spans="1:18" x14ac:dyDescent="0.25">
      <c r="A21" s="36" t="s">
        <v>74</v>
      </c>
      <c r="D21" s="177" t="s">
        <v>134</v>
      </c>
      <c r="E21" s="67"/>
      <c r="F21" s="75" t="s">
        <v>348</v>
      </c>
      <c r="G21" s="74" t="s">
        <v>345</v>
      </c>
      <c r="M21" s="22">
        <v>20</v>
      </c>
      <c r="N21" s="16" t="s">
        <v>74</v>
      </c>
      <c r="O21" s="16" t="s">
        <v>61</v>
      </c>
      <c r="P21" s="16" t="s">
        <v>102</v>
      </c>
      <c r="Q21" s="7"/>
      <c r="R21" t="s">
        <v>96</v>
      </c>
    </row>
    <row r="22" spans="1:18" x14ac:dyDescent="0.25">
      <c r="A22" s="36" t="s">
        <v>103</v>
      </c>
      <c r="D22" s="177" t="s">
        <v>133</v>
      </c>
      <c r="E22" s="84" t="s">
        <v>97</v>
      </c>
      <c r="F22" s="75" t="s">
        <v>345</v>
      </c>
      <c r="G22" s="74" t="s">
        <v>345</v>
      </c>
      <c r="M22" s="22">
        <v>21</v>
      </c>
      <c r="N22" s="16" t="s">
        <v>74</v>
      </c>
      <c r="O22" s="16" t="s">
        <v>10</v>
      </c>
      <c r="P22" s="16" t="s">
        <v>102</v>
      </c>
      <c r="Q22" s="10" t="s">
        <v>97</v>
      </c>
    </row>
    <row r="23" spans="1:18" x14ac:dyDescent="0.25">
      <c r="A23" s="37" t="s">
        <v>106</v>
      </c>
      <c r="D23" s="177" t="s">
        <v>278</v>
      </c>
      <c r="E23" s="67"/>
      <c r="F23" s="75" t="s">
        <v>345</v>
      </c>
      <c r="G23" s="74"/>
      <c r="M23" s="22">
        <v>22</v>
      </c>
      <c r="N23" s="16" t="s">
        <v>74</v>
      </c>
      <c r="O23" s="16" t="s">
        <v>62</v>
      </c>
      <c r="P23" s="16" t="s">
        <v>102</v>
      </c>
      <c r="Q23" s="10" t="s">
        <v>97</v>
      </c>
    </row>
    <row r="24" spans="1:18" x14ac:dyDescent="0.25">
      <c r="A24" s="38" t="s">
        <v>31</v>
      </c>
      <c r="D24" s="177" t="s">
        <v>33</v>
      </c>
      <c r="E24" s="67"/>
      <c r="F24" s="75"/>
      <c r="G24" s="74" t="s">
        <v>345</v>
      </c>
      <c r="M24" s="22">
        <v>23</v>
      </c>
      <c r="N24" s="16" t="s">
        <v>74</v>
      </c>
      <c r="O24" s="16" t="s">
        <v>63</v>
      </c>
      <c r="P24" s="16" t="s">
        <v>102</v>
      </c>
      <c r="Q24" s="7"/>
      <c r="R24" t="s">
        <v>56</v>
      </c>
    </row>
    <row r="25" spans="1:18" x14ac:dyDescent="0.25">
      <c r="A25" s="38" t="s">
        <v>110</v>
      </c>
      <c r="D25" s="177" t="s">
        <v>496</v>
      </c>
      <c r="E25" s="84"/>
      <c r="F25" s="75"/>
      <c r="G25" s="74"/>
      <c r="M25" s="22">
        <v>24</v>
      </c>
      <c r="N25" s="16" t="s">
        <v>74</v>
      </c>
      <c r="O25" s="16" t="s">
        <v>64</v>
      </c>
      <c r="P25" s="16" t="s">
        <v>102</v>
      </c>
      <c r="Q25" s="7"/>
      <c r="R25" s="29" t="s">
        <v>122</v>
      </c>
    </row>
    <row r="26" spans="1:18" x14ac:dyDescent="0.25">
      <c r="A26" s="46" t="s">
        <v>112</v>
      </c>
      <c r="D26" s="177" t="s">
        <v>34</v>
      </c>
      <c r="E26" s="67"/>
      <c r="F26" s="75"/>
      <c r="G26" s="74" t="s">
        <v>345</v>
      </c>
      <c r="M26" s="22">
        <v>25</v>
      </c>
      <c r="N26" s="16" t="s">
        <v>74</v>
      </c>
      <c r="O26" s="16" t="s">
        <v>65</v>
      </c>
      <c r="P26" s="16" t="s">
        <v>102</v>
      </c>
      <c r="Q26" s="7"/>
      <c r="R26" s="29" t="s">
        <v>123</v>
      </c>
    </row>
    <row r="27" spans="1:18" x14ac:dyDescent="0.25">
      <c r="A27" s="47" t="s">
        <v>114</v>
      </c>
      <c r="D27" s="177" t="s">
        <v>495</v>
      </c>
      <c r="E27" s="84"/>
      <c r="F27" s="75"/>
      <c r="G27" s="74"/>
      <c r="M27" s="22">
        <v>26</v>
      </c>
      <c r="N27" s="16" t="s">
        <v>74</v>
      </c>
      <c r="O27" s="16" t="s">
        <v>66</v>
      </c>
      <c r="P27" s="16" t="s">
        <v>102</v>
      </c>
      <c r="Q27" s="7"/>
      <c r="R27" t="s">
        <v>124</v>
      </c>
    </row>
    <row r="28" spans="1:18" x14ac:dyDescent="0.25">
      <c r="A28" s="48" t="s">
        <v>118</v>
      </c>
      <c r="D28" s="177" t="s">
        <v>35</v>
      </c>
      <c r="E28" s="67"/>
      <c r="F28" s="75"/>
      <c r="G28" s="74" t="s">
        <v>345</v>
      </c>
      <c r="M28" s="22">
        <v>27</v>
      </c>
      <c r="N28" s="16" t="s">
        <v>74</v>
      </c>
      <c r="O28" s="16" t="s">
        <v>32</v>
      </c>
      <c r="P28" s="16" t="s">
        <v>94</v>
      </c>
      <c r="Q28" s="10"/>
    </row>
    <row r="29" spans="1:18" x14ac:dyDescent="0.25">
      <c r="D29" s="178" t="s">
        <v>208</v>
      </c>
      <c r="E29" s="85"/>
      <c r="F29" s="86"/>
      <c r="G29" s="86"/>
      <c r="M29" s="22">
        <v>28</v>
      </c>
      <c r="N29" s="16" t="s">
        <v>74</v>
      </c>
      <c r="O29" s="16" t="s">
        <v>33</v>
      </c>
      <c r="P29" s="16" t="s">
        <v>94</v>
      </c>
      <c r="Q29" s="10"/>
    </row>
    <row r="30" spans="1:18" x14ac:dyDescent="0.25">
      <c r="D30" s="179" t="s">
        <v>209</v>
      </c>
      <c r="E30" s="67"/>
      <c r="F30" s="75"/>
      <c r="G30" s="74" t="s">
        <v>345</v>
      </c>
      <c r="M30" s="22">
        <v>29</v>
      </c>
      <c r="N30" s="16" t="s">
        <v>74</v>
      </c>
      <c r="O30" s="16" t="s">
        <v>34</v>
      </c>
      <c r="P30" s="16" t="s">
        <v>94</v>
      </c>
      <c r="Q30" s="10"/>
    </row>
    <row r="31" spans="1:18" x14ac:dyDescent="0.25">
      <c r="D31" s="180" t="s">
        <v>135</v>
      </c>
      <c r="E31" s="67"/>
      <c r="F31" s="75"/>
      <c r="G31" s="74" t="s">
        <v>345</v>
      </c>
      <c r="M31" s="22">
        <v>30</v>
      </c>
      <c r="N31" s="16" t="s">
        <v>74</v>
      </c>
      <c r="O31" s="16" t="s">
        <v>35</v>
      </c>
      <c r="P31" s="16" t="s">
        <v>94</v>
      </c>
      <c r="Q31" s="10"/>
    </row>
    <row r="32" spans="1:18" ht="19.5" thickBot="1" x14ac:dyDescent="0.35">
      <c r="A32" s="49" t="s">
        <v>324</v>
      </c>
      <c r="D32" s="180" t="s">
        <v>136</v>
      </c>
      <c r="E32" s="67"/>
      <c r="F32" s="75"/>
      <c r="G32" s="74" t="s">
        <v>345</v>
      </c>
      <c r="M32" s="22">
        <v>31</v>
      </c>
      <c r="N32" s="16" t="s">
        <v>74</v>
      </c>
      <c r="O32" s="16" t="s">
        <v>36</v>
      </c>
      <c r="P32" s="16" t="s">
        <v>94</v>
      </c>
      <c r="Q32" s="10"/>
    </row>
    <row r="33" spans="1:18" x14ac:dyDescent="0.25">
      <c r="A33" s="71" t="s">
        <v>325</v>
      </c>
      <c r="D33" s="177" t="s">
        <v>37</v>
      </c>
      <c r="E33" s="67"/>
      <c r="F33" s="75"/>
      <c r="G33" s="74"/>
      <c r="M33" s="22">
        <v>32</v>
      </c>
      <c r="N33" s="16" t="s">
        <v>74</v>
      </c>
      <c r="O33" s="16" t="s">
        <v>27</v>
      </c>
      <c r="P33" s="16" t="s">
        <v>94</v>
      </c>
      <c r="Q33" s="10"/>
    </row>
    <row r="34" spans="1:18" x14ac:dyDescent="0.25">
      <c r="A34" s="70" t="s">
        <v>326</v>
      </c>
      <c r="D34" s="177" t="s">
        <v>225</v>
      </c>
      <c r="E34" s="67"/>
      <c r="F34" s="75"/>
      <c r="G34" s="74"/>
      <c r="M34" s="22">
        <v>33</v>
      </c>
      <c r="N34" s="16" t="s">
        <v>74</v>
      </c>
      <c r="O34" s="16" t="s">
        <v>28</v>
      </c>
      <c r="P34" s="16" t="s">
        <v>94</v>
      </c>
      <c r="Q34" s="10"/>
    </row>
    <row r="35" spans="1:18" x14ac:dyDescent="0.25">
      <c r="A35" s="69" t="s">
        <v>327</v>
      </c>
      <c r="D35" s="177" t="s">
        <v>125</v>
      </c>
      <c r="E35" s="67"/>
      <c r="F35" s="75"/>
      <c r="G35" s="74"/>
      <c r="M35" s="22">
        <v>34</v>
      </c>
      <c r="N35" s="16" t="s">
        <v>74</v>
      </c>
      <c r="O35" s="16" t="s">
        <v>37</v>
      </c>
      <c r="P35" s="16" t="s">
        <v>94</v>
      </c>
      <c r="Q35" s="10"/>
    </row>
    <row r="36" spans="1:18" x14ac:dyDescent="0.25">
      <c r="A36" s="68" t="s">
        <v>329</v>
      </c>
      <c r="D36" s="177" t="s">
        <v>137</v>
      </c>
      <c r="E36" s="84" t="s">
        <v>97</v>
      </c>
      <c r="F36" s="75" t="s">
        <v>345</v>
      </c>
      <c r="G36" s="74" t="s">
        <v>345</v>
      </c>
      <c r="M36" s="22">
        <v>35</v>
      </c>
      <c r="N36" s="16" t="s">
        <v>74</v>
      </c>
      <c r="O36" s="16" t="s">
        <v>38</v>
      </c>
      <c r="P36" s="16" t="s">
        <v>94</v>
      </c>
      <c r="Q36" s="10"/>
    </row>
    <row r="37" spans="1:18" x14ac:dyDescent="0.25">
      <c r="A37" s="46" t="s">
        <v>328</v>
      </c>
      <c r="D37" s="177" t="s">
        <v>138</v>
      </c>
      <c r="E37" s="67"/>
      <c r="F37" s="75"/>
      <c r="G37" s="74"/>
      <c r="M37" s="22">
        <v>36</v>
      </c>
      <c r="N37" s="16" t="s">
        <v>74</v>
      </c>
      <c r="O37" s="16" t="s">
        <v>54</v>
      </c>
      <c r="P37" s="16" t="s">
        <v>102</v>
      </c>
      <c r="Q37" s="10"/>
      <c r="R37" t="s">
        <v>13</v>
      </c>
    </row>
    <row r="38" spans="1:18" ht="15.75" x14ac:dyDescent="0.25">
      <c r="A38" s="72" t="s">
        <v>330</v>
      </c>
      <c r="D38" s="177" t="s">
        <v>277</v>
      </c>
      <c r="E38" s="67"/>
      <c r="F38" s="75" t="s">
        <v>345</v>
      </c>
      <c r="G38" s="74"/>
      <c r="M38" s="22">
        <v>37</v>
      </c>
      <c r="N38" s="16" t="s">
        <v>74</v>
      </c>
      <c r="O38" s="16" t="s">
        <v>9</v>
      </c>
      <c r="P38" s="16" t="s">
        <v>94</v>
      </c>
      <c r="Q38" s="10"/>
    </row>
    <row r="39" spans="1:18" x14ac:dyDescent="0.25">
      <c r="A39" s="73" t="s">
        <v>331</v>
      </c>
      <c r="D39" s="177" t="s">
        <v>139</v>
      </c>
      <c r="E39" s="67"/>
      <c r="F39" s="75" t="s">
        <v>348</v>
      </c>
      <c r="G39" s="74" t="s">
        <v>345</v>
      </c>
      <c r="M39" s="22">
        <v>38</v>
      </c>
      <c r="N39" s="16" t="s">
        <v>103</v>
      </c>
      <c r="O39" s="16" t="s">
        <v>73</v>
      </c>
      <c r="P39" s="16" t="s">
        <v>102</v>
      </c>
      <c r="Q39" s="10"/>
      <c r="R39" t="s">
        <v>96</v>
      </c>
    </row>
    <row r="40" spans="1:18" x14ac:dyDescent="0.25">
      <c r="D40" s="177" t="s">
        <v>140</v>
      </c>
      <c r="E40" s="67"/>
      <c r="F40" s="75"/>
      <c r="G40" s="74"/>
      <c r="M40" s="22">
        <v>39</v>
      </c>
      <c r="N40" s="16" t="s">
        <v>103</v>
      </c>
      <c r="O40" s="16" t="s">
        <v>74</v>
      </c>
      <c r="P40" s="16" t="s">
        <v>102</v>
      </c>
      <c r="Q40" s="10" t="s">
        <v>97</v>
      </c>
    </row>
    <row r="41" spans="1:18" x14ac:dyDescent="0.25">
      <c r="D41" s="177" t="s">
        <v>141</v>
      </c>
      <c r="E41" s="67"/>
      <c r="F41" s="75"/>
      <c r="G41" s="74"/>
      <c r="M41" s="22">
        <v>40</v>
      </c>
      <c r="N41" s="16" t="s">
        <v>103</v>
      </c>
      <c r="O41" s="16" t="s">
        <v>55</v>
      </c>
      <c r="P41" s="16" t="s">
        <v>102</v>
      </c>
      <c r="Q41" s="10" t="s">
        <v>97</v>
      </c>
      <c r="R41" t="s">
        <v>105</v>
      </c>
    </row>
    <row r="42" spans="1:18" x14ac:dyDescent="0.25">
      <c r="D42" s="181" t="s">
        <v>88</v>
      </c>
      <c r="E42" s="67"/>
      <c r="F42" s="75"/>
      <c r="G42" s="74" t="s">
        <v>348</v>
      </c>
      <c r="M42" s="23">
        <v>41</v>
      </c>
      <c r="N42" s="18" t="s">
        <v>106</v>
      </c>
      <c r="O42" s="18" t="s">
        <v>80</v>
      </c>
      <c r="P42" s="18" t="s">
        <v>107</v>
      </c>
      <c r="Q42" s="10"/>
      <c r="R42" t="s">
        <v>96</v>
      </c>
    </row>
    <row r="43" spans="1:18" x14ac:dyDescent="0.25">
      <c r="D43" s="181" t="s">
        <v>464</v>
      </c>
      <c r="E43" s="67"/>
      <c r="F43" s="75"/>
      <c r="G43" s="74" t="s">
        <v>348</v>
      </c>
      <c r="M43" s="23">
        <v>42</v>
      </c>
      <c r="N43" s="18" t="s">
        <v>106</v>
      </c>
      <c r="O43" s="18" t="s">
        <v>74</v>
      </c>
      <c r="P43" s="18" t="s">
        <v>107</v>
      </c>
      <c r="Q43" s="10" t="s">
        <v>97</v>
      </c>
    </row>
    <row r="44" spans="1:18" x14ac:dyDescent="0.25">
      <c r="D44" s="181" t="s">
        <v>520</v>
      </c>
      <c r="E44" s="67"/>
      <c r="F44" s="75"/>
      <c r="G44" s="74" t="s">
        <v>348</v>
      </c>
      <c r="M44" s="23">
        <v>43</v>
      </c>
      <c r="N44" s="18" t="s">
        <v>106</v>
      </c>
      <c r="O44" s="18" t="s">
        <v>81</v>
      </c>
      <c r="P44" s="18" t="s">
        <v>107</v>
      </c>
      <c r="Q44" s="10" t="s">
        <v>97</v>
      </c>
    </row>
    <row r="45" spans="1:18" x14ac:dyDescent="0.25">
      <c r="D45" s="181" t="s">
        <v>786</v>
      </c>
      <c r="E45" s="84"/>
      <c r="F45" s="75"/>
      <c r="G45" s="74" t="s">
        <v>348</v>
      </c>
      <c r="M45" s="23">
        <v>44</v>
      </c>
      <c r="N45" s="18" t="s">
        <v>106</v>
      </c>
      <c r="O45" s="18" t="s">
        <v>82</v>
      </c>
      <c r="P45" s="18" t="s">
        <v>107</v>
      </c>
      <c r="Q45" s="10"/>
    </row>
    <row r="46" spans="1:18" x14ac:dyDescent="0.25">
      <c r="D46" s="172" t="s">
        <v>14</v>
      </c>
      <c r="E46" s="84" t="s">
        <v>97</v>
      </c>
      <c r="F46" s="75" t="s">
        <v>345</v>
      </c>
      <c r="G46" s="74" t="s">
        <v>345</v>
      </c>
      <c r="M46" s="23">
        <v>45</v>
      </c>
      <c r="N46" s="18" t="s">
        <v>106</v>
      </c>
      <c r="O46" s="18" t="s">
        <v>83</v>
      </c>
      <c r="P46" s="18" t="s">
        <v>107</v>
      </c>
      <c r="Q46" s="10"/>
      <c r="R46" t="s">
        <v>108</v>
      </c>
    </row>
    <row r="47" spans="1:18" x14ac:dyDescent="0.25">
      <c r="D47" s="182" t="s">
        <v>142</v>
      </c>
      <c r="E47" s="84" t="s">
        <v>97</v>
      </c>
      <c r="F47" s="75" t="s">
        <v>345</v>
      </c>
      <c r="G47" s="74" t="s">
        <v>345</v>
      </c>
      <c r="M47" s="23">
        <v>46</v>
      </c>
      <c r="N47" s="18" t="s">
        <v>106</v>
      </c>
      <c r="O47" s="18" t="s">
        <v>84</v>
      </c>
      <c r="P47" s="18" t="s">
        <v>107</v>
      </c>
      <c r="Q47" s="10"/>
    </row>
    <row r="48" spans="1:18" x14ac:dyDescent="0.25">
      <c r="D48" s="183" t="s">
        <v>25</v>
      </c>
      <c r="E48" s="67"/>
      <c r="F48" s="75" t="s">
        <v>345</v>
      </c>
      <c r="G48" s="74" t="s">
        <v>345</v>
      </c>
      <c r="M48" s="23">
        <v>47</v>
      </c>
      <c r="N48" s="18" t="s">
        <v>106</v>
      </c>
      <c r="O48" s="18" t="s">
        <v>85</v>
      </c>
      <c r="P48" s="18" t="s">
        <v>107</v>
      </c>
      <c r="Q48" s="10"/>
    </row>
    <row r="49" spans="4:18" x14ac:dyDescent="0.25">
      <c r="D49" s="172" t="s">
        <v>143</v>
      </c>
      <c r="E49" s="67"/>
      <c r="F49" s="75" t="s">
        <v>345</v>
      </c>
      <c r="G49" s="74" t="s">
        <v>345</v>
      </c>
      <c r="M49" s="23">
        <v>48</v>
      </c>
      <c r="N49" s="18" t="s">
        <v>106</v>
      </c>
      <c r="O49" s="18" t="s">
        <v>86</v>
      </c>
      <c r="P49" s="18" t="s">
        <v>107</v>
      </c>
      <c r="Q49" s="10"/>
    </row>
    <row r="50" spans="4:18" x14ac:dyDescent="0.25">
      <c r="D50" s="183" t="s">
        <v>149</v>
      </c>
      <c r="E50" s="67"/>
      <c r="F50" s="75" t="s">
        <v>345</v>
      </c>
      <c r="G50" s="74" t="s">
        <v>345</v>
      </c>
      <c r="M50" s="23">
        <v>49</v>
      </c>
      <c r="N50" s="18" t="s">
        <v>106</v>
      </c>
      <c r="O50" s="18" t="s">
        <v>9</v>
      </c>
      <c r="P50" s="18" t="s">
        <v>107</v>
      </c>
      <c r="Q50" s="10"/>
    </row>
    <row r="51" spans="4:18" x14ac:dyDescent="0.25">
      <c r="D51" s="183" t="s">
        <v>144</v>
      </c>
      <c r="E51" s="67"/>
      <c r="F51" s="75" t="s">
        <v>345</v>
      </c>
      <c r="G51" s="74" t="s">
        <v>345</v>
      </c>
      <c r="M51" s="32">
        <v>50</v>
      </c>
      <c r="N51" s="12" t="s">
        <v>31</v>
      </c>
      <c r="O51" s="12" t="s">
        <v>16</v>
      </c>
      <c r="P51" s="12"/>
      <c r="Q51" s="10"/>
      <c r="R51" t="s">
        <v>96</v>
      </c>
    </row>
    <row r="52" spans="4:18" ht="30" x14ac:dyDescent="0.25">
      <c r="D52" s="184" t="s">
        <v>145</v>
      </c>
      <c r="E52" s="85"/>
      <c r="F52" s="86"/>
      <c r="G52" s="86"/>
      <c r="M52" s="32">
        <v>51</v>
      </c>
      <c r="N52" s="12" t="s">
        <v>31</v>
      </c>
      <c r="O52" s="12" t="s">
        <v>17</v>
      </c>
      <c r="P52" s="12"/>
      <c r="Q52" s="10" t="s">
        <v>97</v>
      </c>
    </row>
    <row r="53" spans="4:18" x14ac:dyDescent="0.25">
      <c r="D53" s="172" t="s">
        <v>29</v>
      </c>
      <c r="E53" s="67"/>
      <c r="F53" s="75"/>
      <c r="G53" s="74"/>
      <c r="M53" s="32">
        <v>52</v>
      </c>
      <c r="N53" s="12" t="s">
        <v>31</v>
      </c>
      <c r="O53" s="12" t="s">
        <v>18</v>
      </c>
      <c r="P53" s="12"/>
      <c r="Q53" s="10"/>
    </row>
    <row r="54" spans="4:18" x14ac:dyDescent="0.25">
      <c r="D54" s="172" t="s">
        <v>526</v>
      </c>
      <c r="E54" s="67"/>
      <c r="F54" s="75"/>
      <c r="G54" s="74"/>
      <c r="M54" s="32">
        <v>53</v>
      </c>
      <c r="N54" s="12" t="s">
        <v>31</v>
      </c>
      <c r="O54" s="12" t="s">
        <v>15</v>
      </c>
      <c r="P54" s="12"/>
      <c r="Q54" s="10"/>
      <c r="R54" t="s">
        <v>109</v>
      </c>
    </row>
    <row r="55" spans="4:18" x14ac:dyDescent="0.25">
      <c r="D55" s="172" t="s">
        <v>527</v>
      </c>
      <c r="E55" s="67"/>
      <c r="F55" s="75"/>
      <c r="G55" s="74"/>
      <c r="M55" s="32">
        <v>54</v>
      </c>
      <c r="N55" s="12" t="s">
        <v>31</v>
      </c>
      <c r="O55" s="12" t="s">
        <v>19</v>
      </c>
      <c r="P55" s="12"/>
      <c r="Q55" s="10" t="s">
        <v>97</v>
      </c>
    </row>
    <row r="56" spans="4:18" x14ac:dyDescent="0.25">
      <c r="D56" s="172" t="s">
        <v>93</v>
      </c>
      <c r="E56" s="67"/>
      <c r="F56" s="75"/>
      <c r="G56" s="74"/>
      <c r="M56" s="32">
        <v>55</v>
      </c>
      <c r="N56" s="12" t="s">
        <v>31</v>
      </c>
      <c r="O56" s="12" t="s">
        <v>10</v>
      </c>
      <c r="P56" s="12"/>
      <c r="Q56" s="10" t="s">
        <v>97</v>
      </c>
    </row>
    <row r="57" spans="4:18" x14ac:dyDescent="0.25">
      <c r="D57" s="185" t="s">
        <v>92</v>
      </c>
      <c r="E57" s="67"/>
      <c r="F57" s="75" t="s">
        <v>348</v>
      </c>
      <c r="G57" s="74" t="s">
        <v>348</v>
      </c>
      <c r="M57" s="32">
        <v>56</v>
      </c>
      <c r="N57" s="12" t="s">
        <v>31</v>
      </c>
      <c r="O57" s="12" t="s">
        <v>14</v>
      </c>
      <c r="P57" s="12"/>
      <c r="Q57" s="10" t="s">
        <v>97</v>
      </c>
    </row>
    <row r="58" spans="4:18" x14ac:dyDescent="0.25">
      <c r="D58" s="185" t="s">
        <v>146</v>
      </c>
      <c r="E58" s="67"/>
      <c r="F58" s="75" t="s">
        <v>348</v>
      </c>
      <c r="G58" s="74" t="s">
        <v>348</v>
      </c>
      <c r="M58" s="32">
        <v>57</v>
      </c>
      <c r="N58" s="12" t="s">
        <v>31</v>
      </c>
      <c r="O58" s="12" t="s">
        <v>20</v>
      </c>
      <c r="P58" s="12"/>
      <c r="Q58" s="10"/>
      <c r="R58" t="s">
        <v>108</v>
      </c>
    </row>
    <row r="59" spans="4:18" x14ac:dyDescent="0.25">
      <c r="D59" s="185" t="s">
        <v>517</v>
      </c>
      <c r="E59" s="67"/>
      <c r="F59" s="75" t="s">
        <v>348</v>
      </c>
      <c r="G59" s="74" t="s">
        <v>348</v>
      </c>
      <c r="M59" s="32">
        <v>58</v>
      </c>
      <c r="N59" s="12" t="s">
        <v>31</v>
      </c>
      <c r="O59" s="12" t="s">
        <v>21</v>
      </c>
      <c r="P59" s="12"/>
      <c r="Q59" s="10"/>
      <c r="R59" t="s">
        <v>13</v>
      </c>
    </row>
    <row r="60" spans="4:18" x14ac:dyDescent="0.25">
      <c r="D60" s="185" t="s">
        <v>147</v>
      </c>
      <c r="E60" s="67"/>
      <c r="F60" s="75" t="s">
        <v>348</v>
      </c>
      <c r="G60" s="74" t="s">
        <v>348</v>
      </c>
      <c r="M60" s="32">
        <v>59</v>
      </c>
      <c r="N60" s="12" t="s">
        <v>31</v>
      </c>
      <c r="O60" s="12" t="s">
        <v>22</v>
      </c>
      <c r="P60" s="12"/>
      <c r="Q60" s="10"/>
      <c r="R60" t="s">
        <v>13</v>
      </c>
    </row>
    <row r="61" spans="4:18" x14ac:dyDescent="0.25">
      <c r="D61" s="186" t="s">
        <v>150</v>
      </c>
      <c r="E61" s="67"/>
      <c r="F61" s="75"/>
      <c r="G61" s="74"/>
      <c r="M61" s="32">
        <v>60</v>
      </c>
      <c r="N61" s="12" t="s">
        <v>31</v>
      </c>
      <c r="O61" s="12" t="s">
        <v>23</v>
      </c>
      <c r="P61" s="12"/>
      <c r="Q61" s="10"/>
      <c r="R61" t="s">
        <v>11</v>
      </c>
    </row>
    <row r="62" spans="4:18" x14ac:dyDescent="0.25">
      <c r="D62" s="186" t="s">
        <v>518</v>
      </c>
      <c r="E62" s="67"/>
      <c r="F62" s="75"/>
      <c r="G62" s="74"/>
      <c r="M62" s="32">
        <v>61</v>
      </c>
      <c r="N62" s="12" t="s">
        <v>31</v>
      </c>
      <c r="O62" s="12" t="s">
        <v>24</v>
      </c>
      <c r="P62" s="12"/>
      <c r="Q62" s="10" t="s">
        <v>97</v>
      </c>
      <c r="R62" s="7" t="s">
        <v>91</v>
      </c>
    </row>
    <row r="63" spans="4:18" x14ac:dyDescent="0.25">
      <c r="D63" s="186" t="s">
        <v>516</v>
      </c>
      <c r="E63" s="67"/>
      <c r="F63" s="75"/>
      <c r="G63" s="74"/>
      <c r="M63" s="32">
        <v>62</v>
      </c>
      <c r="N63" s="12" t="s">
        <v>31</v>
      </c>
      <c r="O63" s="12" t="s">
        <v>25</v>
      </c>
      <c r="P63" s="12"/>
      <c r="Q63" s="10"/>
    </row>
    <row r="64" spans="4:18" x14ac:dyDescent="0.25">
      <c r="D64" s="186" t="s">
        <v>151</v>
      </c>
      <c r="E64" s="67"/>
      <c r="F64" s="75"/>
      <c r="G64" s="74"/>
      <c r="M64" s="32">
        <v>63</v>
      </c>
      <c r="N64" s="12" t="s">
        <v>31</v>
      </c>
      <c r="O64" s="12" t="s">
        <v>26</v>
      </c>
      <c r="P64" s="12"/>
      <c r="Q64" s="10"/>
    </row>
    <row r="65" spans="4:18" x14ac:dyDescent="0.25">
      <c r="D65" s="185" t="s">
        <v>551</v>
      </c>
      <c r="E65" s="67"/>
      <c r="F65" s="75" t="s">
        <v>348</v>
      </c>
      <c r="G65" s="74" t="s">
        <v>348</v>
      </c>
      <c r="M65" s="32">
        <v>64</v>
      </c>
      <c r="N65" s="12" t="s">
        <v>31</v>
      </c>
      <c r="O65" s="12" t="s">
        <v>27</v>
      </c>
      <c r="P65" s="12"/>
      <c r="Q65" s="10"/>
    </row>
    <row r="66" spans="4:18" x14ac:dyDescent="0.25">
      <c r="D66" s="185" t="s">
        <v>552</v>
      </c>
      <c r="E66" s="67"/>
      <c r="F66" s="75" t="s">
        <v>348</v>
      </c>
      <c r="G66" s="74" t="s">
        <v>348</v>
      </c>
      <c r="M66" s="32">
        <v>65</v>
      </c>
      <c r="N66" s="12" t="s">
        <v>31</v>
      </c>
      <c r="O66" s="12" t="s">
        <v>28</v>
      </c>
      <c r="P66" s="12"/>
      <c r="Q66" s="10"/>
    </row>
    <row r="67" spans="4:18" x14ac:dyDescent="0.25">
      <c r="D67" s="185" t="s">
        <v>554</v>
      </c>
      <c r="E67" s="67"/>
      <c r="F67" s="75" t="s">
        <v>348</v>
      </c>
      <c r="G67" s="74" t="s">
        <v>348</v>
      </c>
      <c r="M67" s="32">
        <v>66</v>
      </c>
      <c r="N67" s="12" t="s">
        <v>31</v>
      </c>
      <c r="O67" s="12" t="s">
        <v>29</v>
      </c>
      <c r="P67" s="12"/>
      <c r="Q67" s="10"/>
    </row>
    <row r="68" spans="4:18" x14ac:dyDescent="0.25">
      <c r="D68" s="185" t="s">
        <v>553</v>
      </c>
      <c r="E68" s="67"/>
      <c r="F68" s="75" t="s">
        <v>348</v>
      </c>
      <c r="G68" s="74" t="s">
        <v>348</v>
      </c>
      <c r="M68" s="32">
        <v>67</v>
      </c>
      <c r="N68" s="12" t="s">
        <v>31</v>
      </c>
      <c r="O68" s="12" t="s">
        <v>30</v>
      </c>
      <c r="P68" s="12"/>
      <c r="Q68" s="10"/>
    </row>
    <row r="69" spans="4:18" x14ac:dyDescent="0.25">
      <c r="D69" s="187" t="s">
        <v>76</v>
      </c>
      <c r="E69" s="67"/>
      <c r="F69" s="75" t="s">
        <v>348</v>
      </c>
      <c r="G69" s="74" t="s">
        <v>348</v>
      </c>
      <c r="M69" s="32">
        <v>68</v>
      </c>
      <c r="N69" s="12" t="s">
        <v>31</v>
      </c>
      <c r="O69" s="12" t="s">
        <v>9</v>
      </c>
      <c r="P69" s="12"/>
      <c r="Q69" s="10"/>
    </row>
    <row r="70" spans="4:18" x14ac:dyDescent="0.25">
      <c r="D70" s="187" t="s">
        <v>525</v>
      </c>
      <c r="E70" s="67"/>
      <c r="F70" s="75" t="s">
        <v>348</v>
      </c>
      <c r="G70" s="74" t="s">
        <v>348</v>
      </c>
      <c r="M70" s="32">
        <v>69</v>
      </c>
      <c r="N70" s="12" t="s">
        <v>110</v>
      </c>
      <c r="O70" s="12" t="s">
        <v>57</v>
      </c>
      <c r="P70" s="12" t="s">
        <v>111</v>
      </c>
      <c r="Q70" s="10"/>
      <c r="R70" t="s">
        <v>96</v>
      </c>
    </row>
    <row r="71" spans="4:18" x14ac:dyDescent="0.25">
      <c r="D71" s="187" t="s">
        <v>41</v>
      </c>
      <c r="E71" s="67"/>
      <c r="F71" s="75" t="s">
        <v>348</v>
      </c>
      <c r="G71" s="74" t="s">
        <v>348</v>
      </c>
      <c r="M71" s="32">
        <v>70</v>
      </c>
      <c r="N71" s="12" t="s">
        <v>110</v>
      </c>
      <c r="O71" s="12" t="s">
        <v>31</v>
      </c>
      <c r="P71" s="12" t="s">
        <v>111</v>
      </c>
      <c r="Q71" s="10" t="s">
        <v>97</v>
      </c>
      <c r="R71" s="7" t="s">
        <v>113</v>
      </c>
    </row>
    <row r="72" spans="4:18" x14ac:dyDescent="0.25">
      <c r="D72" s="187" t="s">
        <v>42</v>
      </c>
      <c r="E72" s="67"/>
      <c r="F72" s="75"/>
      <c r="G72" s="74"/>
      <c r="M72" s="32">
        <v>71</v>
      </c>
      <c r="N72" s="12" t="s">
        <v>110</v>
      </c>
      <c r="O72" s="12" t="s">
        <v>49</v>
      </c>
      <c r="P72" s="12" t="s">
        <v>111</v>
      </c>
      <c r="Q72" s="10" t="s">
        <v>97</v>
      </c>
    </row>
    <row r="73" spans="4:18" x14ac:dyDescent="0.25">
      <c r="D73" s="187" t="s">
        <v>43</v>
      </c>
      <c r="E73" s="84"/>
      <c r="F73" s="75"/>
      <c r="G73" s="74"/>
      <c r="M73" s="32">
        <v>72</v>
      </c>
      <c r="N73" s="12" t="s">
        <v>110</v>
      </c>
      <c r="O73" s="12" t="s">
        <v>52</v>
      </c>
      <c r="P73" s="12" t="s">
        <v>111</v>
      </c>
      <c r="Q73" s="10"/>
      <c r="R73" t="s">
        <v>56</v>
      </c>
    </row>
    <row r="74" spans="4:18" x14ac:dyDescent="0.25">
      <c r="D74" s="187" t="s">
        <v>148</v>
      </c>
      <c r="E74" s="84"/>
      <c r="F74" s="75" t="s">
        <v>348</v>
      </c>
      <c r="G74" s="74" t="s">
        <v>348</v>
      </c>
      <c r="M74" s="32">
        <v>73</v>
      </c>
      <c r="N74" s="12" t="s">
        <v>110</v>
      </c>
      <c r="O74" s="12" t="s">
        <v>53</v>
      </c>
      <c r="P74" s="12" t="s">
        <v>111</v>
      </c>
      <c r="Q74" s="10"/>
      <c r="R74" s="29" t="s">
        <v>122</v>
      </c>
    </row>
    <row r="75" spans="4:18" x14ac:dyDescent="0.25">
      <c r="D75" s="187" t="s">
        <v>45</v>
      </c>
      <c r="E75" s="84"/>
      <c r="F75" s="75"/>
      <c r="G75" s="74"/>
      <c r="M75" s="32">
        <v>74</v>
      </c>
      <c r="N75" s="12" t="s">
        <v>110</v>
      </c>
      <c r="O75" s="12" t="s">
        <v>58</v>
      </c>
      <c r="P75" s="12" t="s">
        <v>111</v>
      </c>
      <c r="Q75" s="10"/>
    </row>
    <row r="76" spans="4:18" x14ac:dyDescent="0.25">
      <c r="D76" s="188" t="s">
        <v>474</v>
      </c>
      <c r="E76" s="84"/>
      <c r="F76" s="75" t="s">
        <v>348</v>
      </c>
      <c r="G76" s="74" t="s">
        <v>348</v>
      </c>
      <c r="M76" s="32">
        <v>75</v>
      </c>
      <c r="N76" s="12" t="s">
        <v>110</v>
      </c>
      <c r="O76" s="12" t="s">
        <v>59</v>
      </c>
      <c r="P76" s="12" t="s">
        <v>111</v>
      </c>
      <c r="Q76" s="10"/>
    </row>
    <row r="77" spans="4:18" x14ac:dyDescent="0.25">
      <c r="D77" s="188" t="s">
        <v>475</v>
      </c>
      <c r="E77" s="84"/>
      <c r="F77" s="75" t="s">
        <v>348</v>
      </c>
      <c r="G77" s="74" t="s">
        <v>348</v>
      </c>
      <c r="M77" s="32">
        <v>76</v>
      </c>
      <c r="N77" s="12" t="s">
        <v>110</v>
      </c>
      <c r="O77" s="12" t="s">
        <v>60</v>
      </c>
      <c r="P77" s="12" t="s">
        <v>111</v>
      </c>
      <c r="Q77" s="10"/>
    </row>
    <row r="78" spans="4:18" x14ac:dyDescent="0.25">
      <c r="D78" s="188" t="s">
        <v>476</v>
      </c>
      <c r="E78" s="84"/>
      <c r="F78" s="75" t="s">
        <v>348</v>
      </c>
      <c r="G78" s="74" t="s">
        <v>348</v>
      </c>
      <c r="M78" s="32">
        <v>77</v>
      </c>
      <c r="N78" s="12" t="s">
        <v>110</v>
      </c>
      <c r="O78" s="12" t="s">
        <v>55</v>
      </c>
      <c r="P78" s="12" t="s">
        <v>111</v>
      </c>
      <c r="Q78" s="10"/>
      <c r="R78" t="s">
        <v>105</v>
      </c>
    </row>
    <row r="79" spans="4:18" x14ac:dyDescent="0.25">
      <c r="D79" s="188" t="s">
        <v>477</v>
      </c>
      <c r="E79" s="84"/>
      <c r="F79" s="75" t="s">
        <v>348</v>
      </c>
      <c r="G79" s="74" t="s">
        <v>348</v>
      </c>
      <c r="M79" s="24">
        <v>78</v>
      </c>
      <c r="N79" s="20" t="s">
        <v>112</v>
      </c>
      <c r="O79" s="20" t="s">
        <v>72</v>
      </c>
      <c r="P79" s="20" t="s">
        <v>40</v>
      </c>
      <c r="Q79" s="10"/>
      <c r="R79" t="s">
        <v>96</v>
      </c>
    </row>
    <row r="80" spans="4:18" x14ac:dyDescent="0.25">
      <c r="D80" s="188" t="s">
        <v>478</v>
      </c>
      <c r="E80" s="84"/>
      <c r="F80" s="75" t="s">
        <v>348</v>
      </c>
      <c r="G80" s="74" t="s">
        <v>348</v>
      </c>
      <c r="M80" s="24">
        <v>79</v>
      </c>
      <c r="N80" s="20" t="s">
        <v>112</v>
      </c>
      <c r="O80" s="20" t="s">
        <v>31</v>
      </c>
      <c r="P80" s="20" t="s">
        <v>40</v>
      </c>
      <c r="Q80" s="10" t="s">
        <v>97</v>
      </c>
      <c r="R80" t="s">
        <v>113</v>
      </c>
    </row>
    <row r="81" spans="4:18" x14ac:dyDescent="0.25">
      <c r="D81" s="188" t="s">
        <v>482</v>
      </c>
      <c r="E81" s="84"/>
      <c r="F81" s="75" t="s">
        <v>348</v>
      </c>
      <c r="G81" s="74" t="s">
        <v>348</v>
      </c>
      <c r="M81" s="24">
        <v>80</v>
      </c>
      <c r="N81" s="20" t="s">
        <v>112</v>
      </c>
      <c r="O81" s="20" t="s">
        <v>39</v>
      </c>
      <c r="P81" s="20" t="s">
        <v>40</v>
      </c>
      <c r="Q81" s="10" t="s">
        <v>97</v>
      </c>
      <c r="R81" t="s">
        <v>40</v>
      </c>
    </row>
    <row r="82" spans="4:18" x14ac:dyDescent="0.25">
      <c r="D82" s="189" t="s">
        <v>483</v>
      </c>
      <c r="E82" s="84"/>
      <c r="F82" s="75" t="s">
        <v>348</v>
      </c>
      <c r="G82" s="74" t="s">
        <v>348</v>
      </c>
      <c r="M82" s="25">
        <v>81</v>
      </c>
      <c r="N82" s="17" t="s">
        <v>114</v>
      </c>
      <c r="O82" s="17" t="s">
        <v>67</v>
      </c>
      <c r="P82" s="17"/>
      <c r="Q82" s="10"/>
      <c r="R82" t="s">
        <v>96</v>
      </c>
    </row>
    <row r="83" spans="4:18" x14ac:dyDescent="0.25">
      <c r="M83" s="25">
        <v>82</v>
      </c>
      <c r="N83" s="17" t="s">
        <v>114</v>
      </c>
      <c r="O83" s="17" t="s">
        <v>10</v>
      </c>
      <c r="P83" s="17"/>
      <c r="Q83" s="10"/>
      <c r="R83" t="s">
        <v>108</v>
      </c>
    </row>
    <row r="84" spans="4:18" x14ac:dyDescent="0.25">
      <c r="M84" s="25">
        <v>83</v>
      </c>
      <c r="N84" s="17" t="s">
        <v>114</v>
      </c>
      <c r="O84" s="17" t="s">
        <v>31</v>
      </c>
      <c r="P84" s="17"/>
      <c r="Q84" s="10" t="s">
        <v>97</v>
      </c>
      <c r="R84" t="s">
        <v>115</v>
      </c>
    </row>
    <row r="85" spans="4:18" x14ac:dyDescent="0.25">
      <c r="M85" s="25">
        <v>84</v>
      </c>
      <c r="N85" s="17" t="s">
        <v>114</v>
      </c>
      <c r="O85" s="17" t="s">
        <v>68</v>
      </c>
      <c r="P85" s="17" t="s">
        <v>126</v>
      </c>
      <c r="Q85" s="10" t="s">
        <v>97</v>
      </c>
      <c r="R85" t="s">
        <v>116</v>
      </c>
    </row>
    <row r="86" spans="4:18" x14ac:dyDescent="0.25">
      <c r="M86" s="25">
        <v>85</v>
      </c>
      <c r="N86" s="17" t="s">
        <v>114</v>
      </c>
      <c r="O86" s="17" t="s">
        <v>69</v>
      </c>
      <c r="P86" s="17"/>
      <c r="Q86" s="10" t="s">
        <v>97</v>
      </c>
    </row>
    <row r="87" spans="4:18" x14ac:dyDescent="0.25">
      <c r="M87" s="25">
        <v>86</v>
      </c>
      <c r="N87" s="17" t="s">
        <v>114</v>
      </c>
      <c r="O87" s="17" t="s">
        <v>70</v>
      </c>
      <c r="P87" s="17"/>
      <c r="Q87" s="10"/>
    </row>
    <row r="88" spans="4:18" x14ac:dyDescent="0.25">
      <c r="M88" s="25">
        <v>87</v>
      </c>
      <c r="N88" s="17" t="s">
        <v>114</v>
      </c>
      <c r="O88" s="17" t="s">
        <v>55</v>
      </c>
      <c r="P88" s="17"/>
      <c r="Q88" s="10"/>
      <c r="R88" t="s">
        <v>117</v>
      </c>
    </row>
    <row r="89" spans="4:18" x14ac:dyDescent="0.25">
      <c r="M89" s="25">
        <v>88</v>
      </c>
      <c r="N89" s="17" t="s">
        <v>114</v>
      </c>
      <c r="O89" s="17" t="s">
        <v>54</v>
      </c>
      <c r="P89" s="17"/>
      <c r="Q89" s="10" t="s">
        <v>97</v>
      </c>
      <c r="R89" t="s">
        <v>13</v>
      </c>
    </row>
    <row r="90" spans="4:18" x14ac:dyDescent="0.25">
      <c r="M90" s="25">
        <v>89</v>
      </c>
      <c r="N90" s="17" t="s">
        <v>114</v>
      </c>
      <c r="O90" s="17" t="s">
        <v>9</v>
      </c>
      <c r="P90" s="17"/>
      <c r="Q90" s="10"/>
    </row>
    <row r="91" spans="4:18" x14ac:dyDescent="0.25">
      <c r="M91" s="26">
        <v>90</v>
      </c>
      <c r="N91" s="19" t="s">
        <v>118</v>
      </c>
      <c r="O91" s="19" t="s">
        <v>75</v>
      </c>
      <c r="P91" s="19"/>
      <c r="Q91" s="10"/>
      <c r="R91" t="s">
        <v>96</v>
      </c>
    </row>
    <row r="92" spans="4:18" x14ac:dyDescent="0.25">
      <c r="M92" s="26">
        <v>91</v>
      </c>
      <c r="N92" s="19" t="s">
        <v>118</v>
      </c>
      <c r="O92" s="19" t="s">
        <v>10</v>
      </c>
      <c r="P92" s="19"/>
      <c r="Q92" s="10"/>
      <c r="R92" t="s">
        <v>108</v>
      </c>
    </row>
    <row r="93" spans="4:18" x14ac:dyDescent="0.25">
      <c r="M93" s="26">
        <v>92</v>
      </c>
      <c r="N93" s="19" t="s">
        <v>118</v>
      </c>
      <c r="O93" s="19" t="s">
        <v>31</v>
      </c>
      <c r="P93" s="19"/>
      <c r="Q93" s="10" t="s">
        <v>97</v>
      </c>
      <c r="R93" s="7" t="s">
        <v>113</v>
      </c>
    </row>
    <row r="94" spans="4:18" x14ac:dyDescent="0.25">
      <c r="M94" s="26">
        <v>93</v>
      </c>
      <c r="N94" s="19" t="s">
        <v>118</v>
      </c>
      <c r="O94" s="19" t="s">
        <v>76</v>
      </c>
      <c r="P94" s="19"/>
      <c r="Q94" s="10"/>
    </row>
    <row r="95" spans="4:18" x14ac:dyDescent="0.25">
      <c r="M95" s="26">
        <v>94</v>
      </c>
      <c r="N95" s="19" t="s">
        <v>118</v>
      </c>
      <c r="O95" s="19" t="s">
        <v>77</v>
      </c>
      <c r="P95" s="19"/>
      <c r="Q95" s="10" t="s">
        <v>97</v>
      </c>
    </row>
    <row r="96" spans="4:18" x14ac:dyDescent="0.25">
      <c r="M96" s="26">
        <v>95</v>
      </c>
      <c r="N96" s="19" t="s">
        <v>118</v>
      </c>
      <c r="O96" s="19" t="s">
        <v>78</v>
      </c>
      <c r="P96" s="19"/>
      <c r="Q96" s="10"/>
      <c r="R96" t="s">
        <v>56</v>
      </c>
    </row>
    <row r="97" spans="13:18" x14ac:dyDescent="0.25">
      <c r="M97" s="26">
        <v>96</v>
      </c>
      <c r="N97" s="19" t="s">
        <v>118</v>
      </c>
      <c r="O97" s="19" t="s">
        <v>44</v>
      </c>
      <c r="P97" s="19"/>
      <c r="Q97" s="10"/>
    </row>
    <row r="98" spans="13:18" x14ac:dyDescent="0.25">
      <c r="M98" s="26">
        <v>97</v>
      </c>
      <c r="N98" s="19" t="s">
        <v>118</v>
      </c>
      <c r="O98" s="19" t="s">
        <v>79</v>
      </c>
      <c r="P98" s="19"/>
      <c r="Q98" s="10"/>
      <c r="R98" s="7" t="s">
        <v>117</v>
      </c>
    </row>
    <row r="99" spans="13:18" x14ac:dyDescent="0.25">
      <c r="M99" s="26">
        <v>98</v>
      </c>
      <c r="N99" s="19" t="s">
        <v>118</v>
      </c>
      <c r="O99" s="19" t="s">
        <v>9</v>
      </c>
      <c r="P99" s="19"/>
      <c r="Q99" s="10"/>
    </row>
  </sheetData>
  <conditionalFormatting sqref="Q2:Q99">
    <cfRule type="containsText" dxfId="338" priority="1" stopIfTrue="1" operator="containsText" text="YES">
      <formula>NOT(ISERROR(SEARCH("YES",Q2)))</formula>
    </cfRule>
  </conditionalFormatting>
  <pageMargins left="0.7" right="0.7" top="0.75" bottom="0.75" header="0.3" footer="0.3"/>
  <pageSetup orientation="portrait" r:id="rId1"/>
  <legacy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4" tint="0.59999389629810485"/>
  </sheetPr>
  <dimension ref="A1:Y201"/>
  <sheetViews>
    <sheetView workbookViewId="0">
      <selection activeCell="A2" sqref="A2"/>
    </sheetView>
  </sheetViews>
  <sheetFormatPr defaultColWidth="10.140625" defaultRowHeight="15" x14ac:dyDescent="0.25"/>
  <cols>
    <col min="3" max="3" width="24.140625" customWidth="1"/>
    <col min="5" max="5" width="10.7109375" style="2" bestFit="1" customWidth="1"/>
    <col min="6" max="6" width="37" style="45" bestFit="1" customWidth="1"/>
    <col min="7" max="7" width="6.7109375" customWidth="1"/>
    <col min="8" max="8" width="34.140625" style="7" bestFit="1" customWidth="1"/>
    <col min="11" max="11" width="245.28515625" bestFit="1" customWidth="1"/>
    <col min="12" max="12" width="255.7109375" bestFit="1" customWidth="1"/>
    <col min="14" max="15" width="10.140625" style="55"/>
    <col min="17" max="17" width="8.140625" customWidth="1"/>
    <col min="18" max="18" width="255.7109375" style="7" bestFit="1" customWidth="1"/>
    <col min="19" max="19" width="7.140625" customWidth="1"/>
    <col min="20" max="20" width="127.140625" bestFit="1" customWidth="1"/>
  </cols>
  <sheetData>
    <row r="1" spans="1:25" s="116" customFormat="1" ht="60" x14ac:dyDescent="0.25">
      <c r="A1" s="116" t="s">
        <v>61</v>
      </c>
      <c r="B1" s="118" t="s">
        <v>10</v>
      </c>
      <c r="C1" s="118" t="s">
        <v>62</v>
      </c>
      <c r="D1" s="116" t="s">
        <v>63</v>
      </c>
      <c r="E1" s="128" t="s">
        <v>64</v>
      </c>
      <c r="F1" s="129" t="s">
        <v>65</v>
      </c>
      <c r="G1" s="116" t="s">
        <v>66</v>
      </c>
      <c r="H1" s="116" t="s">
        <v>408</v>
      </c>
      <c r="I1" s="116" t="s">
        <v>32</v>
      </c>
      <c r="J1" s="116" t="s">
        <v>33</v>
      </c>
      <c r="K1" s="116" t="s">
        <v>34</v>
      </c>
      <c r="L1" s="116" t="s">
        <v>35</v>
      </c>
      <c r="M1" s="116" t="s">
        <v>36</v>
      </c>
      <c r="N1" s="130" t="s">
        <v>27</v>
      </c>
      <c r="O1" s="130" t="s">
        <v>28</v>
      </c>
      <c r="P1" s="116" t="s">
        <v>37</v>
      </c>
      <c r="Q1" s="116" t="s">
        <v>38</v>
      </c>
      <c r="R1" s="116" t="s">
        <v>495</v>
      </c>
      <c r="S1" s="116" t="s">
        <v>54</v>
      </c>
      <c r="T1" s="116" t="s">
        <v>9</v>
      </c>
    </row>
    <row r="2" spans="1:25" ht="15.75" x14ac:dyDescent="0.25">
      <c r="A2" s="1"/>
      <c r="B2" t="str">
        <f>Master[[#This Row],[Accession Prefix (NPGS)]]&amp;" "&amp;Master[[#This Row],[Accession Number -Assigned]]</f>
        <v>W6 57036</v>
      </c>
      <c r="C2" t="str">
        <f>"Collection source event"</f>
        <v>Collection source event</v>
      </c>
      <c r="D2" t="str">
        <f>"mm/dd/yyyy"</f>
        <v>mm/dd/yyyy</v>
      </c>
      <c r="E2" s="77">
        <f>IF(IF(Master[[#This Row],[Date Collected or Developed]]="",Master[[#This Row],[Received Date -received by site]],Master[[#This Row],[Date Collected or Developed]])="","",(IF(Master[[#This Row],[Date Collected or Developed]]="",Master[[#This Row],[Received Date -received by site]],Master[[#This Row],[Date Collected or Developed]])))</f>
        <v>43290</v>
      </c>
      <c r="F2" s="76" t="str">
        <f>IF(Master[[#This Row],[Geography (Collection) -Lookup Picker in GRIN]]="","",Master[[#This Row],[Geography (Collection) -Lookup Picker in GRIN]])</f>
        <v>United States, Wyoming, Fremont</v>
      </c>
      <c r="G2" t="str">
        <f>"Y"</f>
        <v>Y</v>
      </c>
      <c r="H2" s="7" t="str">
        <f>IF(Master[[#This Row],[Collecting or Acquisition Source - List]]="","",Master[[#This Row],[Collecting or Acquisition Source - List]])</f>
        <v>Wild Habitat</v>
      </c>
      <c r="I2" t="str">
        <f>IF(Master[[#This Row],[Inventory Type - Lookup Picker]]="","",Master[[#This Row],[Inventory Type - Lookup Picker]])</f>
        <v>SD</v>
      </c>
      <c r="J2" s="4">
        <f>IF(Master[[#This Row],[Number Plants Sampled]]="","",Master[[#This Row],[Number Plants Sampled]])</f>
        <v>1016</v>
      </c>
      <c r="K2" s="4" t="str">
        <f>IF(Master[[#This Row],[Environment Description]]="","",Master[[#This Row],[Environment Description]])</f>
        <v>Sparsely Vegetated Grassland Slopes</v>
      </c>
      <c r="L2" s="4" t="str">
        <f>IF(Master[[#This Row],[Collector Verbatim Locality]]="","",Master[[#This Row],[Collector Verbatim Locality]])</f>
        <v>Comandra umbellata:Psoralidium lanceolatum:Yermo xanthocephalus:Astragalus spatulatus:Draba sp.</v>
      </c>
      <c r="M2" s="4">
        <f>IF(Master[[#This Row],[Elevation (meters)]]=0,"",Master[[#This Row],[Elevation (meters)]])</f>
        <v>2157</v>
      </c>
      <c r="N2" s="55">
        <f>IF(Master[[#This Row],[Latitude -decimal degrees]]="","",Master[[#This Row],[Latitude -decimal degrees]])</f>
        <v>42.686169999999997</v>
      </c>
      <c r="O2" s="55">
        <f>IF(Master[[#This Row],[Longitude -decimal degrees]]="","",Master[[#This Row],[Longitude -decimal degrees]])</f>
        <v>-108.12833999999999</v>
      </c>
      <c r="P2" s="4" t="str">
        <f>IF(Master[[#This Row],[Georeference Datum]]="","",Master[[#This Row],[Georeference Datum]])</f>
        <v>NAD83</v>
      </c>
      <c r="Q2" s="4" t="str">
        <f>IF(Master[[#This Row],[Georeference Protocol - Lookup Picker]]="","",Master[[#This Row],[Georeference Protocol - Lookup Picker]])</f>
        <v>Lat/lon determined by GPS</v>
      </c>
      <c r="R2" s="4" t="str">
        <f>IF(Master[[#This Row],[Associated Species]]="","",Master[[#This Row],[Associated Species]])</f>
        <v>Comandra umbellata:Psoralidium lanceolatum:Yermo xanthocephalus:Astragalus spatulatus:Draba sp.</v>
      </c>
      <c r="S2" t="str">
        <f>"Y"</f>
        <v>Y</v>
      </c>
      <c r="T2" s="5" t="str">
        <f>IF(Master[[#This Row],[Note (Accession Source - Collector)]]="","",Master[[#This Row],[Note (Accession Source - Collector)]])</f>
        <v>Collectors: R. Cross, E. Freeland, D. Tevlin</v>
      </c>
      <c r="U2" s="3"/>
      <c r="W2" s="3"/>
      <c r="Y2" s="3"/>
    </row>
    <row r="3" spans="1:25" x14ac:dyDescent="0.25">
      <c r="A3" s="7"/>
      <c r="B3" t="str">
        <f>Master[[#This Row],[Accession Prefix (NPGS)]]&amp;" "&amp;Master[[#This Row],[Accession Number -Assigned]]</f>
        <v xml:space="preserve">W6 </v>
      </c>
      <c r="C3" t="str">
        <f t="shared" ref="C3:C13" si="0">"Collection source event"</f>
        <v>Collection source event</v>
      </c>
      <c r="D3" t="str">
        <f t="shared" ref="D3:D13" si="1">"mm/dd/yyyy"</f>
        <v>mm/dd/yyyy</v>
      </c>
      <c r="E3" s="77" t="str">
        <f>IF(IF(Master[[#This Row],[Date Collected or Developed]]="",Master[[#This Row],[Received Date -received by site]],Master[[#This Row],[Date Collected or Developed]])="","",(IF(Master[[#This Row],[Date Collected or Developed]]="",Master[[#This Row],[Received Date -received by site]],Master[[#This Row],[Date Collected or Developed]])))</f>
        <v>COLL_DT</v>
      </c>
      <c r="F3" s="76" t="str">
        <f>IF(Master[[#This Row],[Geography (Collection) -Lookup Picker in GRIN]]="","",Master[[#This Row],[Geography (Collection) -Lookup Picker in GRIN]])</f>
        <v>COUNTRY/SUB_CNT1/SUB_CNT2</v>
      </c>
      <c r="G3" t="str">
        <f t="shared" ref="G3:G13" si="2">"Y"</f>
        <v>Y</v>
      </c>
      <c r="H3" s="7" t="str">
        <f>IF(Master[[#This Row],[Collecting or Acquisition Source - List]]="","",Master[[#This Row],[Collecting or Acquisition Source - List]])</f>
        <v/>
      </c>
      <c r="I3" t="str">
        <f>IF(Master[[#This Row],[Inventory Type - Lookup Picker]]="","",Master[[#This Row],[Inventory Type - Lookup Picker]])</f>
        <v>SD</v>
      </c>
      <c r="J3" s="4" t="str">
        <f>IF(Master[[#This Row],[Number Plants Sampled]]="","",Master[[#This Row],[Number Plants Sampled]])</f>
        <v>COLLECTION_MISC</v>
      </c>
      <c r="K3" s="4" t="str">
        <f>IF(Master[[#This Row],[Environment Description]]="","",Master[[#This Row],[Environment Description]])</f>
        <v>USER2</v>
      </c>
      <c r="L3" s="4" t="str">
        <f>IF(Master[[#This Row],[Collector Verbatim Locality]]="","",Master[[#This Row],[Collector Verbatim Locality]])</f>
        <v>SUB_CNT3/GEOG_AREA/LOCALITY</v>
      </c>
      <c r="M3" s="4" t="str">
        <f>IF(Master[[#This Row],[Elevation (meters)]]=0,"",Master[[#This Row],[Elevation (meters)]])</f>
        <v>ALTITUDE</v>
      </c>
      <c r="N3" s="55" t="str">
        <f>IF(Master[[#This Row],[Latitude -decimal degrees]]="","",Master[[#This Row],[Latitude -decimal degrees]])</f>
        <v>LATITUDE_DECIMAL</v>
      </c>
      <c r="O3" s="55" t="str">
        <f>IF(Master[[#This Row],[Longitude -decimal degrees]]="","",Master[[#This Row],[Longitude -decimal degrees]])</f>
        <v>LONGITUDE_DECIMAL</v>
      </c>
      <c r="P3" s="5" t="str">
        <f>IF(Master[[#This Row],[Georeference Datum]]="","",Master[[#This Row],[Georeference Datum]])</f>
        <v>GPS_DATUM</v>
      </c>
      <c r="Q3" s="5" t="str">
        <f>IF(Master[[#This Row],[Georeference Protocol - Lookup Picker]]="","",Master[[#This Row],[Georeference Protocol - Lookup Picker]])</f>
        <v>Lat/lon determined by GPS</v>
      </c>
      <c r="R3" s="5" t="str">
        <f>IF(Master[[#This Row],[Associated Species]]="","",Master[[#This Row],[Associated Species]])</f>
        <v>ASSOCIATED_TAXA_FULL</v>
      </c>
      <c r="S3" t="str">
        <f t="shared" ref="S3:S13" si="3">"Y"</f>
        <v>Y</v>
      </c>
      <c r="T3" s="5" t="str">
        <f>IF(Master[[#This Row],[Note (Accession Source - Collector)]]="","",Master[[#This Row],[Note (Accession Source - Collector)]])</f>
        <v>COLLECTED_WITH</v>
      </c>
      <c r="U3" s="3"/>
      <c r="W3" s="3"/>
      <c r="Y3" s="3"/>
    </row>
    <row r="4" spans="1:25" x14ac:dyDescent="0.25">
      <c r="A4" s="7"/>
      <c r="B4" t="str">
        <f>Master[[#This Row],[Accession Prefix (NPGS)]]&amp;" "&amp;Master[[#This Row],[Accession Number -Assigned]]</f>
        <v>W6 59590</v>
      </c>
      <c r="C4" t="str">
        <f t="shared" si="0"/>
        <v>Collection source event</v>
      </c>
      <c r="D4" t="str">
        <f t="shared" si="1"/>
        <v>mm/dd/yyyy</v>
      </c>
      <c r="E4" s="77">
        <f>IF(IF(Master[[#This Row],[Date Collected or Developed]]="",Master[[#This Row],[Received Date -received by site]],Master[[#This Row],[Date Collected or Developed]])="","",(IF(Master[[#This Row],[Date Collected or Developed]]="",Master[[#This Row],[Received Date -received by site]],Master[[#This Row],[Date Collected or Developed]])))</f>
        <v>44013</v>
      </c>
      <c r="F4" s="76" t="str">
        <f>IF(Master[[#This Row],[Geography (Collection) -Lookup Picker in GRIN]]="","",Master[[#This Row],[Geography (Collection) -Lookup Picker in GRIN]])</f>
        <v>United States, Colorado, Grand</v>
      </c>
      <c r="G4" t="str">
        <f t="shared" si="2"/>
        <v>Y</v>
      </c>
      <c r="H4" s="7" t="str">
        <f>IF(Master[[#This Row],[Collecting or Acquisition Source - List]]="","",Master[[#This Row],[Collecting or Acquisition Source - List]])</f>
        <v/>
      </c>
      <c r="I4" t="str">
        <f>IF(Master[[#This Row],[Inventory Type - Lookup Picker]]="","",Master[[#This Row],[Inventory Type - Lookup Picker]])</f>
        <v>SD</v>
      </c>
      <c r="J4" s="4">
        <f>IF(Master[[#This Row],[Number Plants Sampled]]="","",Master[[#This Row],[Number Plants Sampled]])</f>
        <v>300</v>
      </c>
      <c r="K4" s="4" t="str">
        <f>IF(Master[[#This Row],[Environment Description]]="","",Master[[#This Row],[Environment Description]])</f>
        <v/>
      </c>
      <c r="L4" s="4" t="str">
        <f>IF(Master[[#This Row],[Collector Verbatim Locality]]="","",Master[[#This Row],[Collector Verbatim Locality]])</f>
        <v>BLM Area/ Dirt Road/ From Kremmling head east on Park Ave, turn left/north on 22nd St, continue on CO HWY 22 for 2.5 miles, turn left/west on dirt road about .25 miles, collected on both sides of the road</v>
      </c>
      <c r="M4" s="4">
        <f>IF(Master[[#This Row],[Elevation (meters)]]=0,"",Master[[#This Row],[Elevation (meters)]])</f>
        <v>2378</v>
      </c>
      <c r="N4" s="55">
        <f>IF(Master[[#This Row],[Latitude -decimal degrees]]="","",Master[[#This Row],[Latitude -decimal degrees]])</f>
        <v>40.097479999999997</v>
      </c>
      <c r="O4" s="55">
        <f>IF(Master[[#This Row],[Longitude -decimal degrees]]="","",Master[[#This Row],[Longitude -decimal degrees]])</f>
        <v>-106.33926</v>
      </c>
      <c r="P4" s="5" t="str">
        <f>IF(Master[[#This Row],[Georeference Datum]]="","",Master[[#This Row],[Georeference Datum]])</f>
        <v>WGS84</v>
      </c>
      <c r="Q4" s="5" t="str">
        <f>IF(Master[[#This Row],[Georeference Protocol - Lookup Picker]]="","",Master[[#This Row],[Georeference Protocol - Lookup Picker]])</f>
        <v>Lat/lon determined by GPS</v>
      </c>
      <c r="R4" s="5" t="str">
        <f>IF(Master[[#This Row],[Associated Species]]="","",Master[[#This Row],[Associated Species]])</f>
        <v>Artemisia tridentata:Elymus elymoides:Eriogonum umbellatum</v>
      </c>
      <c r="S4" t="str">
        <f t="shared" si="3"/>
        <v>Y</v>
      </c>
      <c r="T4" s="5" t="str">
        <f>IF(Master[[#This Row],[Note (Accession Source - Collector)]]="","",Master[[#This Row],[Note (Accession Source - Collector)]])</f>
        <v>Gardner, M., Varone, E.</v>
      </c>
      <c r="U4" s="3"/>
      <c r="W4" s="3"/>
      <c r="Y4" s="3"/>
    </row>
    <row r="5" spans="1:25" x14ac:dyDescent="0.25">
      <c r="A5" s="7"/>
      <c r="B5" t="str">
        <f>Master[[#This Row],[Accession Prefix (NPGS)]]&amp;" "&amp;Master[[#This Row],[Accession Number -Assigned]]</f>
        <v>W6 59591</v>
      </c>
      <c r="C5" t="str">
        <f t="shared" si="0"/>
        <v>Collection source event</v>
      </c>
      <c r="D5" t="str">
        <f t="shared" si="1"/>
        <v>mm/dd/yyyy</v>
      </c>
      <c r="E5" s="77">
        <f>IF(IF(Master[[#This Row],[Date Collected or Developed]]="",Master[[#This Row],[Received Date -received by site]],Master[[#This Row],[Date Collected or Developed]])="","",(IF(Master[[#This Row],[Date Collected or Developed]]="",Master[[#This Row],[Received Date -received by site]],Master[[#This Row],[Date Collected or Developed]])))</f>
        <v>44026</v>
      </c>
      <c r="F5" s="76" t="str">
        <f>IF(Master[[#This Row],[Geography (Collection) -Lookup Picker in GRIN]]="","",Master[[#This Row],[Geography (Collection) -Lookup Picker in GRIN]])</f>
        <v>United States, Colorado, Eagle</v>
      </c>
      <c r="G5" t="str">
        <f t="shared" si="2"/>
        <v>Y</v>
      </c>
      <c r="H5" s="7" t="str">
        <f>IF(Master[[#This Row],[Collecting or Acquisition Source - List]]="","",Master[[#This Row],[Collecting or Acquisition Source - List]])</f>
        <v/>
      </c>
      <c r="I5" t="str">
        <f>IF(Master[[#This Row],[Inventory Type - Lookup Picker]]="","",Master[[#This Row],[Inventory Type - Lookup Picker]])</f>
        <v>SD</v>
      </c>
      <c r="J5" s="4">
        <f>IF(Master[[#This Row],[Number Plants Sampled]]="","",Master[[#This Row],[Number Plants Sampled]])</f>
        <v>150</v>
      </c>
      <c r="K5" s="4" t="str">
        <f>IF(Master[[#This Row],[Environment Description]]="","",Master[[#This Row],[Environment Description]])</f>
        <v>Grazed</v>
      </c>
      <c r="L5" s="4" t="str">
        <f>IF(Master[[#This Row],[Collector Verbatim Locality]]="","",Master[[#This Row],[Collector Verbatim Locality]])</f>
        <v>BLM Area/ CO HWY 11/ Take CO Rd 1/Trough Rd, Turn right/west onto CO HWY 11 just past Radium River Access, stay on CO HWY 11 for about .5 miles, collection on both sides of road</v>
      </c>
      <c r="M5" s="4">
        <f>IF(Master[[#This Row],[Elevation (meters)]]=0,"",Master[[#This Row],[Elevation (meters)]])</f>
        <v>2184</v>
      </c>
      <c r="N5" s="55">
        <f>IF(Master[[#This Row],[Latitude -decimal degrees]]="","",Master[[#This Row],[Latitude -decimal degrees]])</f>
        <v>39.95758</v>
      </c>
      <c r="O5" s="55">
        <f>IF(Master[[#This Row],[Longitude -decimal degrees]]="","",Master[[#This Row],[Longitude -decimal degrees]])</f>
        <v>-106.55204999999999</v>
      </c>
      <c r="P5" s="5" t="str">
        <f>IF(Master[[#This Row],[Georeference Datum]]="","",Master[[#This Row],[Georeference Datum]])</f>
        <v>WGS84</v>
      </c>
      <c r="Q5" s="5" t="str">
        <f>IF(Master[[#This Row],[Georeference Protocol - Lookup Picker]]="","",Master[[#This Row],[Georeference Protocol - Lookup Picker]])</f>
        <v>Lat/lon determined by GPS</v>
      </c>
      <c r="R5" s="5" t="str">
        <f>IF(Master[[#This Row],[Associated Species]]="","",Master[[#This Row],[Associated Species]])</f>
        <v>Juniperus sp.:Artemisia tridentata:Pinus sp.</v>
      </c>
      <c r="S5" t="str">
        <f t="shared" si="3"/>
        <v>Y</v>
      </c>
      <c r="T5" s="5" t="str">
        <f>IF(Master[[#This Row],[Note (Accession Source - Collector)]]="","",Master[[#This Row],[Note (Accession Source - Collector)]])</f>
        <v>Gardner, M., Varone, E.</v>
      </c>
      <c r="U5" s="3"/>
      <c r="W5" s="3"/>
      <c r="Y5" s="3"/>
    </row>
    <row r="6" spans="1:25" x14ac:dyDescent="0.25">
      <c r="A6" s="7"/>
      <c r="B6" t="str">
        <f>Master[[#This Row],[Accession Prefix (NPGS)]]&amp;" "&amp;Master[[#This Row],[Accession Number -Assigned]]</f>
        <v>W6 59592</v>
      </c>
      <c r="C6" t="str">
        <f t="shared" si="0"/>
        <v>Collection source event</v>
      </c>
      <c r="D6" t="str">
        <f t="shared" si="1"/>
        <v>mm/dd/yyyy</v>
      </c>
      <c r="E6" s="77">
        <f>IF(IF(Master[[#This Row],[Date Collected or Developed]]="",Master[[#This Row],[Received Date -received by site]],Master[[#This Row],[Date Collected or Developed]])="","",(IF(Master[[#This Row],[Date Collected or Developed]]="",Master[[#This Row],[Received Date -received by site]],Master[[#This Row],[Date Collected or Developed]])))</f>
        <v>44041</v>
      </c>
      <c r="F6" s="76" t="str">
        <f>IF(Master[[#This Row],[Geography (Collection) -Lookup Picker in GRIN]]="","",Master[[#This Row],[Geography (Collection) -Lookup Picker in GRIN]])</f>
        <v>United States, Colorado, Jackson</v>
      </c>
      <c r="G6" t="str">
        <f t="shared" si="2"/>
        <v>Y</v>
      </c>
      <c r="H6" s="7" t="str">
        <f>IF(Master[[#This Row],[Collecting or Acquisition Source - List]]="","",Master[[#This Row],[Collecting or Acquisition Source - List]])</f>
        <v/>
      </c>
      <c r="I6" t="str">
        <f>IF(Master[[#This Row],[Inventory Type - Lookup Picker]]="","",Master[[#This Row],[Inventory Type - Lookup Picker]])</f>
        <v>SD</v>
      </c>
      <c r="J6" s="4">
        <f>IF(Master[[#This Row],[Number Plants Sampled]]="","",Master[[#This Row],[Number Plants Sampled]])</f>
        <v>2000</v>
      </c>
      <c r="K6" s="4" t="str">
        <f>IF(Master[[#This Row],[Environment Description]]="","",Master[[#This Row],[Environment Description]])</f>
        <v>Grazed</v>
      </c>
      <c r="L6" s="4" t="str">
        <f>IF(Master[[#This Row],[Collector Verbatim Locality]]="","",Master[[#This Row],[Collector Verbatim Locality]])</f>
        <v>BLM area/ dirt two-track/ Going northeast on CO-14, turn southwest on 24 to Coalmont. Follow 24 for 7.2 miles and turn north on 5, take 5 for 0.7 miles on 5E. Take two-track northwest through shrubland. Follow two-tack for 0.16 miles. Population is on north and south sides of road.</v>
      </c>
      <c r="M6" s="4">
        <f>IF(Master[[#This Row],[Elevation (meters)]]=0,"",Master[[#This Row],[Elevation (meters)]])</f>
        <v>2564</v>
      </c>
      <c r="N6" s="55">
        <f>IF(Master[[#This Row],[Latitude -decimal degrees]]="","",Master[[#This Row],[Latitude -decimal degrees]])</f>
        <v>40.586970000000001</v>
      </c>
      <c r="O6" s="55">
        <f>IF(Master[[#This Row],[Longitude -decimal degrees]]="","",Master[[#This Row],[Longitude -decimal degrees]])</f>
        <v>-106.54463</v>
      </c>
      <c r="P6" s="5" t="str">
        <f>IF(Master[[#This Row],[Georeference Datum]]="","",Master[[#This Row],[Georeference Datum]])</f>
        <v>WGS84</v>
      </c>
      <c r="Q6" s="5" t="str">
        <f>IF(Master[[#This Row],[Georeference Protocol - Lookup Picker]]="","",Master[[#This Row],[Georeference Protocol - Lookup Picker]])</f>
        <v>Lat/lon determined by GPS</v>
      </c>
      <c r="R6" s="5" t="str">
        <f>IF(Master[[#This Row],[Associated Species]]="","",Master[[#This Row],[Associated Species]])</f>
        <v>Artemisia tridentata:Eriogonum umbellatum:Elymus elymoides:Poa sp.</v>
      </c>
      <c r="S6" t="str">
        <f t="shared" si="3"/>
        <v>Y</v>
      </c>
      <c r="T6" s="5" t="str">
        <f>IF(Master[[#This Row],[Note (Accession Source - Collector)]]="","",Master[[#This Row],[Note (Accession Source - Collector)]])</f>
        <v>Gardner, M., Varone, E.</v>
      </c>
      <c r="U6" s="3"/>
      <c r="W6" s="3"/>
      <c r="Y6" s="3"/>
    </row>
    <row r="7" spans="1:25" x14ac:dyDescent="0.25">
      <c r="A7" s="7"/>
      <c r="B7" t="str">
        <f>Master[[#This Row],[Accession Prefix (NPGS)]]&amp;" "&amp;Master[[#This Row],[Accession Number -Assigned]]</f>
        <v>W6 59593</v>
      </c>
      <c r="C7" t="str">
        <f t="shared" si="0"/>
        <v>Collection source event</v>
      </c>
      <c r="D7" t="str">
        <f t="shared" si="1"/>
        <v>mm/dd/yyyy</v>
      </c>
      <c r="E7" s="77">
        <f>IF(IF(Master[[#This Row],[Date Collected or Developed]]="",Master[[#This Row],[Received Date -received by site]],Master[[#This Row],[Date Collected or Developed]])="","",(IF(Master[[#This Row],[Date Collected or Developed]]="",Master[[#This Row],[Received Date -received by site]],Master[[#This Row],[Date Collected or Developed]])))</f>
        <v>44047</v>
      </c>
      <c r="F7" s="76" t="str">
        <f>IF(Master[[#This Row],[Geography (Collection) -Lookup Picker in GRIN]]="","",Master[[#This Row],[Geography (Collection) -Lookup Picker in GRIN]])</f>
        <v>United States, Colorado, Grand</v>
      </c>
      <c r="G7" t="str">
        <f t="shared" si="2"/>
        <v>Y</v>
      </c>
      <c r="H7" s="7" t="str">
        <f>IF(Master[[#This Row],[Collecting or Acquisition Source - List]]="","",Master[[#This Row],[Collecting or Acquisition Source - List]])</f>
        <v/>
      </c>
      <c r="I7" t="str">
        <f>IF(Master[[#This Row],[Inventory Type - Lookup Picker]]="","",Master[[#This Row],[Inventory Type - Lookup Picker]])</f>
        <v>SD</v>
      </c>
      <c r="J7" s="4">
        <f>IF(Master[[#This Row],[Number Plants Sampled]]="","",Master[[#This Row],[Number Plants Sampled]])</f>
        <v>200</v>
      </c>
      <c r="K7" s="4" t="str">
        <f>IF(Master[[#This Row],[Environment Description]]="","",Master[[#This Row],[Environment Description]])</f>
        <v/>
      </c>
      <c r="L7" s="4" t="str">
        <f>IF(Master[[#This Row],[Collector Verbatim Locality]]="","",Master[[#This Row],[Collector Verbatim Locality]])</f>
        <v>BLM area/ Dirt road/trail/ From Kremmling turn south on 6th st/HWY 9, follow for 2.3 miles to CO HWY 1/Trough Rd, turn west, follow for 7.4 miles to dirt road pull off on north side of road, park and walk road about 500 ft north west, population on both sides of road</v>
      </c>
      <c r="M7" s="4">
        <f>IF(Master[[#This Row],[Elevation (meters)]]=0,"",Master[[#This Row],[Elevation (meters)]])</f>
        <v>2435</v>
      </c>
      <c r="N7" s="55">
        <f>IF(Master[[#This Row],[Latitude -decimal degrees]]="","",Master[[#This Row],[Latitude -decimal degrees]])</f>
        <v>39.995480000000001</v>
      </c>
      <c r="O7" s="55">
        <f>IF(Master[[#This Row],[Longitude -decimal degrees]]="","",Master[[#This Row],[Longitude -decimal degrees]])</f>
        <v>-106.47521999999999</v>
      </c>
      <c r="P7" s="5" t="str">
        <f>IF(Master[[#This Row],[Georeference Datum]]="","",Master[[#This Row],[Georeference Datum]])</f>
        <v>WGS84</v>
      </c>
      <c r="Q7" s="5" t="str">
        <f>IF(Master[[#This Row],[Georeference Protocol - Lookup Picker]]="","",Master[[#This Row],[Georeference Protocol - Lookup Picker]])</f>
        <v>Lat/lon determined by GPS</v>
      </c>
      <c r="R7" s="5" t="str">
        <f>IF(Master[[#This Row],[Associated Species]]="","",Master[[#This Row],[Associated Species]])</f>
        <v>Artemisia tridentata:Populus tremuloides:Poa sp.:Penstemon sp.</v>
      </c>
      <c r="S7" t="str">
        <f t="shared" si="3"/>
        <v>Y</v>
      </c>
      <c r="T7" s="5" t="str">
        <f>IF(Master[[#This Row],[Note (Accession Source - Collector)]]="","",Master[[#This Row],[Note (Accession Source - Collector)]])</f>
        <v>Gardner, M., Varone, E.</v>
      </c>
      <c r="U7" s="3"/>
      <c r="W7" s="3"/>
      <c r="Y7" s="3"/>
    </row>
    <row r="8" spans="1:25" x14ac:dyDescent="0.25">
      <c r="A8" s="7"/>
      <c r="B8" t="str">
        <f>Master[[#This Row],[Accession Prefix (NPGS)]]&amp;" "&amp;Master[[#This Row],[Accession Number -Assigned]]</f>
        <v>W6 59594</v>
      </c>
      <c r="C8" t="str">
        <f t="shared" si="0"/>
        <v>Collection source event</v>
      </c>
      <c r="D8" t="str">
        <f t="shared" si="1"/>
        <v>mm/dd/yyyy</v>
      </c>
      <c r="E8" s="77">
        <f>IF(IF(Master[[#This Row],[Date Collected or Developed]]="",Master[[#This Row],[Received Date -received by site]],Master[[#This Row],[Date Collected or Developed]])="","",(IF(Master[[#This Row],[Date Collected or Developed]]="",Master[[#This Row],[Received Date -received by site]],Master[[#This Row],[Date Collected or Developed]])))</f>
        <v>44053</v>
      </c>
      <c r="F8" s="76" t="str">
        <f>IF(Master[[#This Row],[Geography (Collection) -Lookup Picker in GRIN]]="","",Master[[#This Row],[Geography (Collection) -Lookup Picker in GRIN]])</f>
        <v>United States, Colorado, Routt</v>
      </c>
      <c r="G8" t="str">
        <f t="shared" si="2"/>
        <v>Y</v>
      </c>
      <c r="H8" s="7" t="str">
        <f>IF(Master[[#This Row],[Collecting or Acquisition Source - List]]="","",Master[[#This Row],[Collecting or Acquisition Source - List]])</f>
        <v/>
      </c>
      <c r="I8" t="str">
        <f>IF(Master[[#This Row],[Inventory Type - Lookup Picker]]="","",Master[[#This Row],[Inventory Type - Lookup Picker]])</f>
        <v>SD</v>
      </c>
      <c r="J8" s="4">
        <f>IF(Master[[#This Row],[Number Plants Sampled]]="","",Master[[#This Row],[Number Plants Sampled]])</f>
        <v>3000</v>
      </c>
      <c r="K8" s="4" t="str">
        <f>IF(Master[[#This Row],[Environment Description]]="","",Master[[#This Row],[Environment Description]])</f>
        <v/>
      </c>
      <c r="L8" s="4" t="str">
        <f>IF(Master[[#This Row],[Collector Verbatim Locality]]="","",Master[[#This Row],[Collector Verbatim Locality]])</f>
        <v>BLM Area/ Ridge Trail/ From Steamboat Springs take US-40W/S Lincoln Ave north, turn left/northwest onto 13th St, continue onto CO Rd 33, turn left/south onto CO Rd 45, for .9 miles to Emerald Mountain, park in the lot and walk up the multi-use trail, species is in lot and follows trails.</v>
      </c>
      <c r="M8" s="4">
        <f>IF(Master[[#This Row],[Elevation (meters)]]=0,"",Master[[#This Row],[Elevation (meters)]])</f>
        <v>2082</v>
      </c>
      <c r="N8" s="55">
        <f>IF(Master[[#This Row],[Latitude -decimal degrees]]="","",Master[[#This Row],[Latitude -decimal degrees]])</f>
        <v>40.454599999999999</v>
      </c>
      <c r="O8" s="55">
        <f>IF(Master[[#This Row],[Longitude -decimal degrees]]="","",Master[[#This Row],[Longitude -decimal degrees]])</f>
        <v>-106.91726</v>
      </c>
      <c r="P8" s="5" t="str">
        <f>IF(Master[[#This Row],[Georeference Datum]]="","",Master[[#This Row],[Georeference Datum]])</f>
        <v>WGS84</v>
      </c>
      <c r="Q8" s="5" t="str">
        <f>IF(Master[[#This Row],[Georeference Protocol - Lookup Picker]]="","",Master[[#This Row],[Georeference Protocol - Lookup Picker]])</f>
        <v>Lat/lon determined by GPS</v>
      </c>
      <c r="R8" s="5" t="str">
        <f>IF(Master[[#This Row],[Associated Species]]="","",Master[[#This Row],[Associated Species]])</f>
        <v>Artemisia tridentata:Poa sp.:Quercus sp.:Populus tremuloides:Pinus sp.:Lupinus sp.:Wyethia arizonica:Aster sp.</v>
      </c>
      <c r="S8" t="str">
        <f t="shared" si="3"/>
        <v>Y</v>
      </c>
      <c r="T8" s="5" t="str">
        <f>IF(Master[[#This Row],[Note (Accession Source - Collector)]]="","",Master[[#This Row],[Note (Accession Source - Collector)]])</f>
        <v>Gardner, M., Varone, E.</v>
      </c>
      <c r="U8" s="3"/>
      <c r="W8" s="3"/>
      <c r="Y8" s="3"/>
    </row>
    <row r="9" spans="1:25" x14ac:dyDescent="0.25">
      <c r="A9" s="7"/>
      <c r="B9" t="str">
        <f>Master[[#This Row],[Accession Prefix (NPGS)]]&amp;" "&amp;Master[[#This Row],[Accession Number -Assigned]]</f>
        <v>W6 59595</v>
      </c>
      <c r="C9" t="str">
        <f t="shared" si="0"/>
        <v>Collection source event</v>
      </c>
      <c r="D9" t="str">
        <f t="shared" si="1"/>
        <v>mm/dd/yyyy</v>
      </c>
      <c r="E9" s="77">
        <f>IF(IF(Master[[#This Row],[Date Collected or Developed]]="",Master[[#This Row],[Received Date -received by site]],Master[[#This Row],[Date Collected or Developed]])="","",(IF(Master[[#This Row],[Date Collected or Developed]]="",Master[[#This Row],[Received Date -received by site]],Master[[#This Row],[Date Collected or Developed]])))</f>
        <v>44055</v>
      </c>
      <c r="F9" s="76" t="str">
        <f>IF(Master[[#This Row],[Geography (Collection) -Lookup Picker in GRIN]]="","",Master[[#This Row],[Geography (Collection) -Lookup Picker in GRIN]])</f>
        <v>United States, Colorado, Grand</v>
      </c>
      <c r="G9" t="str">
        <f t="shared" si="2"/>
        <v>Y</v>
      </c>
      <c r="H9" s="7" t="str">
        <f>IF(Master[[#This Row],[Collecting or Acquisition Source - List]]="","",Master[[#This Row],[Collecting or Acquisition Source - List]])</f>
        <v/>
      </c>
      <c r="I9" t="str">
        <f>IF(Master[[#This Row],[Inventory Type - Lookup Picker]]="","",Master[[#This Row],[Inventory Type - Lookup Picker]])</f>
        <v>SD</v>
      </c>
      <c r="J9" s="4">
        <f>IF(Master[[#This Row],[Number Plants Sampled]]="","",Master[[#This Row],[Number Plants Sampled]])</f>
        <v>400</v>
      </c>
      <c r="K9" s="4" t="str">
        <f>IF(Master[[#This Row],[Environment Description]]="","",Master[[#This Row],[Environment Description]])</f>
        <v/>
      </c>
      <c r="L9" s="4" t="str">
        <f>IF(Master[[#This Row],[Collector Verbatim Locality]]="","",Master[[#This Row],[Collector Verbatim Locality]])</f>
        <v>BLM Area/ / From US-40E continue onto CO-134W, turn right/southwest onto COHWY19, continue on CO Rd185, turn right/northwest onto COHWY19/Forest Rd 100, turn right/north onto Forest Rd 101 and follow for about 3.8 miles to bottom of reservoir, park, walk across dirt road to trail, follow for 1.3 miles to GPS point.</v>
      </c>
      <c r="M9" s="4">
        <f>IF(Master[[#This Row],[Elevation (meters)]]=0,"",Master[[#This Row],[Elevation (meters)]])</f>
        <v>2807</v>
      </c>
      <c r="N9" s="55">
        <f>IF(Master[[#This Row],[Latitude -decimal degrees]]="","",Master[[#This Row],[Latitude -decimal degrees]])</f>
        <v>40.195659999999997</v>
      </c>
      <c r="O9" s="55">
        <f>IF(Master[[#This Row],[Longitude -decimal degrees]]="","",Master[[#This Row],[Longitude -decimal degrees]])</f>
        <v>-106.57347</v>
      </c>
      <c r="P9" s="5" t="str">
        <f>IF(Master[[#This Row],[Georeference Datum]]="","",Master[[#This Row],[Georeference Datum]])</f>
        <v>WGS84</v>
      </c>
      <c r="Q9" s="5" t="str">
        <f>IF(Master[[#This Row],[Georeference Protocol - Lookup Picker]]="","",Master[[#This Row],[Georeference Protocol - Lookup Picker]])</f>
        <v>Lat/lon determined by GPS</v>
      </c>
      <c r="R9" s="5" t="str">
        <f>IF(Master[[#This Row],[Associated Species]]="","",Master[[#This Row],[Associated Species]])</f>
        <v>Populus tremuloides:Erigeron speciosus:Daucus sp.:Achillea millefolium:Aster sp.:Poa sp.:Tragopogon sp.</v>
      </c>
      <c r="S9" t="str">
        <f t="shared" si="3"/>
        <v>Y</v>
      </c>
      <c r="T9" s="5" t="str">
        <f>IF(Master[[#This Row],[Note (Accession Source - Collector)]]="","",Master[[#This Row],[Note (Accession Source - Collector)]])</f>
        <v>Gardner, M., Varone, E.</v>
      </c>
      <c r="U9" s="3"/>
      <c r="W9" s="3"/>
      <c r="Y9" s="3"/>
    </row>
    <row r="10" spans="1:25" x14ac:dyDescent="0.25">
      <c r="A10" s="7"/>
      <c r="B10" t="str">
        <f>Master[[#This Row],[Accession Prefix (NPGS)]]&amp;" "&amp;Master[[#This Row],[Accession Number -Assigned]]</f>
        <v>W6 59596</v>
      </c>
      <c r="C10" t="str">
        <f t="shared" si="0"/>
        <v>Collection source event</v>
      </c>
      <c r="D10" t="str">
        <f t="shared" si="1"/>
        <v>mm/dd/yyyy</v>
      </c>
      <c r="E10" s="77">
        <f>IF(IF(Master[[#This Row],[Date Collected or Developed]]="",Master[[#This Row],[Received Date -received by site]],Master[[#This Row],[Date Collected or Developed]])="","",(IF(Master[[#This Row],[Date Collected or Developed]]="",Master[[#This Row],[Received Date -received by site]],Master[[#This Row],[Date Collected or Developed]])))</f>
        <v>44056</v>
      </c>
      <c r="F10" s="76" t="str">
        <f>IF(Master[[#This Row],[Geography (Collection) -Lookup Picker in GRIN]]="","",Master[[#This Row],[Geography (Collection) -Lookup Picker in GRIN]])</f>
        <v>United States, Colorado, Jackson</v>
      </c>
      <c r="G10" t="str">
        <f t="shared" si="2"/>
        <v>Y</v>
      </c>
      <c r="H10" s="7" t="str">
        <f>IF(Master[[#This Row],[Collecting or Acquisition Source - List]]="","",Master[[#This Row],[Collecting or Acquisition Source - List]])</f>
        <v/>
      </c>
      <c r="I10" t="str">
        <f>IF(Master[[#This Row],[Inventory Type - Lookup Picker]]="","",Master[[#This Row],[Inventory Type - Lookup Picker]])</f>
        <v>SD</v>
      </c>
      <c r="J10" s="4">
        <f>IF(Master[[#This Row],[Number Plants Sampled]]="","",Master[[#This Row],[Number Plants Sampled]])</f>
        <v>2500</v>
      </c>
      <c r="K10" s="4" t="str">
        <f>IF(Master[[#This Row],[Environment Description]]="","",Master[[#This Row],[Environment Description]])</f>
        <v/>
      </c>
      <c r="L10" s="4" t="str">
        <f>IF(Master[[#This Row],[Collector Verbatim Locality]]="","",Master[[#This Row],[Collector Verbatim Locality]])</f>
        <v>BLM Area/ / From Walden take CO125N about 10 miles up to JCR6W, take a right/east and follow road to North Sand Hills Park info stop, take a right/southeast and follow for about 1 miles, stay right and pass under powerlines .2 miles, take a left/north follow .2 miles to aspen stand</v>
      </c>
      <c r="M10" s="4">
        <f>IF(Master[[#This Row],[Elevation (meters)]]=0,"",Master[[#This Row],[Elevation (meters)]])</f>
        <v>2594</v>
      </c>
      <c r="N10" s="55">
        <f>IF(Master[[#This Row],[Latitude -decimal degrees]]="","",Master[[#This Row],[Latitude -decimal degrees]])</f>
        <v>40.870980000000003</v>
      </c>
      <c r="O10" s="55">
        <f>IF(Master[[#This Row],[Longitude -decimal degrees]]="","",Master[[#This Row],[Longitude -decimal degrees]])</f>
        <v>-106.2063</v>
      </c>
      <c r="P10" s="5" t="str">
        <f>IF(Master[[#This Row],[Georeference Datum]]="","",Master[[#This Row],[Georeference Datum]])</f>
        <v>WGS84</v>
      </c>
      <c r="Q10" s="5" t="str">
        <f>IF(Master[[#This Row],[Georeference Protocol - Lookup Picker]]="","",Master[[#This Row],[Georeference Protocol - Lookup Picker]])</f>
        <v>Lat/lon determined by GPS</v>
      </c>
      <c r="R10" s="5" t="str">
        <f>IF(Master[[#This Row],[Associated Species]]="","",Master[[#This Row],[Associated Species]])</f>
        <v>Populus tremuloides:Crepis acuminata:Senecio spartioides:Ericameria nauseosa:Packera multilobata:Artemisia tridentata</v>
      </c>
      <c r="S10" t="str">
        <f t="shared" si="3"/>
        <v>Y</v>
      </c>
      <c r="T10" s="5" t="str">
        <f>IF(Master[[#This Row],[Note (Accession Source - Collector)]]="","",Master[[#This Row],[Note (Accession Source - Collector)]])</f>
        <v>Gardner, M., Varone, E.</v>
      </c>
      <c r="U10" s="3"/>
      <c r="W10" s="3"/>
      <c r="Y10" s="3"/>
    </row>
    <row r="11" spans="1:25" x14ac:dyDescent="0.25">
      <c r="A11" s="7"/>
      <c r="B11" t="str">
        <f>Master[[#This Row],[Accession Prefix (NPGS)]]&amp;" "&amp;Master[[#This Row],[Accession Number -Assigned]]</f>
        <v>W6 59597</v>
      </c>
      <c r="C11" t="str">
        <f t="shared" si="0"/>
        <v>Collection source event</v>
      </c>
      <c r="D11" t="str">
        <f t="shared" si="1"/>
        <v>mm/dd/yyyy</v>
      </c>
      <c r="E11" s="77">
        <f>IF(IF(Master[[#This Row],[Date Collected or Developed]]="",Master[[#This Row],[Received Date -received by site]],Master[[#This Row],[Date Collected or Developed]])="","",(IF(Master[[#This Row],[Date Collected or Developed]]="",Master[[#This Row],[Received Date -received by site]],Master[[#This Row],[Date Collected or Developed]])))</f>
        <v>44061</v>
      </c>
      <c r="F11" s="76" t="str">
        <f>IF(Master[[#This Row],[Geography (Collection) -Lookup Picker in GRIN]]="","",Master[[#This Row],[Geography (Collection) -Lookup Picker in GRIN]])</f>
        <v>United States, Colorado, Jackson</v>
      </c>
      <c r="G11" t="str">
        <f t="shared" si="2"/>
        <v>Y</v>
      </c>
      <c r="H11" s="7" t="str">
        <f>IF(Master[[#This Row],[Collecting or Acquisition Source - List]]="","",Master[[#This Row],[Collecting or Acquisition Source - List]])</f>
        <v/>
      </c>
      <c r="I11" t="str">
        <f>IF(Master[[#This Row],[Inventory Type - Lookup Picker]]="","",Master[[#This Row],[Inventory Type - Lookup Picker]])</f>
        <v>SD</v>
      </c>
      <c r="J11" s="4">
        <f>IF(Master[[#This Row],[Number Plants Sampled]]="","",Master[[#This Row],[Number Plants Sampled]])</f>
        <v>500</v>
      </c>
      <c r="K11" s="4" t="str">
        <f>IF(Master[[#This Row],[Environment Description]]="","",Master[[#This Row],[Environment Description]])</f>
        <v/>
      </c>
      <c r="L11" s="4" t="str">
        <f>IF(Master[[#This Row],[Collector Verbatim Locality]]="","",Master[[#This Row],[Collector Verbatim Locality]])</f>
        <v>BLM Area/ / From Walden head north on CO125N/CO14E for 10.6 miles, turn left/west on JCRD6W in Cowdrey, follow for 15.2 miles until GPS point. Park and stay to the right, species is along the ditch into the aspens about .3 miles</v>
      </c>
      <c r="M11" s="4">
        <f>IF(Master[[#This Row],[Elevation (meters)]]=0,"",Master[[#This Row],[Elevation (meters)]])</f>
        <v>2607</v>
      </c>
      <c r="N11" s="55">
        <f>IF(Master[[#This Row],[Latitude -decimal degrees]]="","",Master[[#This Row],[Latitude -decimal degrees]])</f>
        <v>40.950040000000001</v>
      </c>
      <c r="O11" s="55">
        <f>IF(Master[[#This Row],[Longitude -decimal degrees]]="","",Master[[#This Row],[Longitude -decimal degrees]])</f>
        <v>-106.51927999999999</v>
      </c>
      <c r="P11" s="5" t="str">
        <f>IF(Master[[#This Row],[Georeference Datum]]="","",Master[[#This Row],[Georeference Datum]])</f>
        <v>WGS84</v>
      </c>
      <c r="Q11" s="5" t="str">
        <f>IF(Master[[#This Row],[Georeference Protocol - Lookup Picker]]="","",Master[[#This Row],[Georeference Protocol - Lookup Picker]])</f>
        <v>Lat/lon determined by GPS</v>
      </c>
      <c r="R11" s="5" t="str">
        <f>IF(Master[[#This Row],[Associated Species]]="","",Master[[#This Row],[Associated Species]])</f>
        <v>Artemisia tridentata:Eriogonum umbellatum:Purshia tridentata:Populus tremuloides:Ipomopsis aggregata:Achillea millefolium</v>
      </c>
      <c r="S11" t="str">
        <f t="shared" si="3"/>
        <v>Y</v>
      </c>
      <c r="T11" s="5" t="str">
        <f>IF(Master[[#This Row],[Note (Accession Source - Collector)]]="","",Master[[#This Row],[Note (Accession Source - Collector)]])</f>
        <v>Gardner, M., Varone, E.</v>
      </c>
      <c r="U11" s="3"/>
      <c r="W11" s="3"/>
      <c r="Y11" s="3"/>
    </row>
    <row r="12" spans="1:25" x14ac:dyDescent="0.25">
      <c r="A12" s="7"/>
      <c r="B12" t="str">
        <f>Master[[#This Row],[Accession Prefix (NPGS)]]&amp;" "&amp;Master[[#This Row],[Accession Number -Assigned]]</f>
        <v>W6 59598</v>
      </c>
      <c r="C12" t="str">
        <f t="shared" si="0"/>
        <v>Collection source event</v>
      </c>
      <c r="D12" t="str">
        <f t="shared" si="1"/>
        <v>mm/dd/yyyy</v>
      </c>
      <c r="E12" s="77">
        <f>IF(IF(Master[[#This Row],[Date Collected or Developed]]="",Master[[#This Row],[Received Date -received by site]],Master[[#This Row],[Date Collected or Developed]])="","",(IF(Master[[#This Row],[Date Collected or Developed]]="",Master[[#This Row],[Received Date -received by site]],Master[[#This Row],[Date Collected or Developed]])))</f>
        <v>44061</v>
      </c>
      <c r="F12" s="76" t="str">
        <f>IF(Master[[#This Row],[Geography (Collection) -Lookup Picker in GRIN]]="","",Master[[#This Row],[Geography (Collection) -Lookup Picker in GRIN]])</f>
        <v>United States, Colorado, Jackson</v>
      </c>
      <c r="G12" t="str">
        <f t="shared" si="2"/>
        <v>Y</v>
      </c>
      <c r="H12" s="7" t="str">
        <f>IF(Master[[#This Row],[Collecting or Acquisition Source - List]]="","",Master[[#This Row],[Collecting or Acquisition Source - List]])</f>
        <v/>
      </c>
      <c r="I12" t="str">
        <f>IF(Master[[#This Row],[Inventory Type - Lookup Picker]]="","",Master[[#This Row],[Inventory Type - Lookup Picker]])</f>
        <v>SD</v>
      </c>
      <c r="J12" s="4">
        <f>IF(Master[[#This Row],[Number Plants Sampled]]="","",Master[[#This Row],[Number Plants Sampled]])</f>
        <v>2500</v>
      </c>
      <c r="K12" s="4" t="str">
        <f>IF(Master[[#This Row],[Environment Description]]="","",Master[[#This Row],[Environment Description]])</f>
        <v/>
      </c>
      <c r="L12" s="4" t="str">
        <f>IF(Master[[#This Row],[Collector Verbatim Locality]]="","",Master[[#This Row],[Collector Verbatim Locality]])</f>
        <v>BLM area/ Reservoir/ Going north on CO-125, turn west on County Rd 12 W. Turn north on Co Rd 15 to Walden Reservoir, follow for 1.1 miles and turn west on dirt road toward reservoir. Population is on on both sides of road and floodplain of reservoir.</v>
      </c>
      <c r="M12" s="4">
        <f>IF(Master[[#This Row],[Elevation (meters)]]=0,"",Master[[#This Row],[Elevation (meters)]])</f>
        <v>2459</v>
      </c>
      <c r="N12" s="55">
        <f>IF(Master[[#This Row],[Latitude -decimal degrees]]="","",Master[[#This Row],[Latitude -decimal degrees]])</f>
        <v>40.735590000000002</v>
      </c>
      <c r="O12" s="55">
        <f>IF(Master[[#This Row],[Longitude -decimal degrees]]="","",Master[[#This Row],[Longitude -decimal degrees]])</f>
        <v>-106.31082000000001</v>
      </c>
      <c r="P12" s="5" t="str">
        <f>IF(Master[[#This Row],[Georeference Datum]]="","",Master[[#This Row],[Georeference Datum]])</f>
        <v>WGS84</v>
      </c>
      <c r="Q12" s="5" t="str">
        <f>IF(Master[[#This Row],[Georeference Protocol - Lookup Picker]]="","",Master[[#This Row],[Georeference Protocol - Lookup Picker]])</f>
        <v>Lat/lon determined by GPS</v>
      </c>
      <c r="R12" s="5" t="str">
        <f>IF(Master[[#This Row],[Associated Species]]="","",Master[[#This Row],[Associated Species]])</f>
        <v>Artemisia tridentata:Chrysothamnus viscidiflorus:Chrysothamnus viscidiflorus:Ranunculus sp.:Carex sp.:Juncus sp.:Poa sp.</v>
      </c>
      <c r="S12" t="str">
        <f t="shared" si="3"/>
        <v>Y</v>
      </c>
      <c r="T12" s="5" t="str">
        <f>IF(Master[[#This Row],[Note (Accession Source - Collector)]]="","",Master[[#This Row],[Note (Accession Source - Collector)]])</f>
        <v>Gardner, M., Varone, E.</v>
      </c>
      <c r="U12" s="3"/>
      <c r="W12" s="3"/>
      <c r="Y12" s="3"/>
    </row>
    <row r="13" spans="1:25" x14ac:dyDescent="0.25">
      <c r="A13" s="7"/>
      <c r="B13" t="str">
        <f>Master[[#This Row],[Accession Prefix (NPGS)]]&amp;" "&amp;Master[[#This Row],[Accession Number -Assigned]]</f>
        <v>W6 59599</v>
      </c>
      <c r="C13" t="str">
        <f t="shared" si="0"/>
        <v>Collection source event</v>
      </c>
      <c r="D13" t="str">
        <f t="shared" si="1"/>
        <v>mm/dd/yyyy</v>
      </c>
      <c r="E13" s="77">
        <f>IF(IF(Master[[#This Row],[Date Collected or Developed]]="",Master[[#This Row],[Received Date -received by site]],Master[[#This Row],[Date Collected or Developed]])="","",(IF(Master[[#This Row],[Date Collected or Developed]]="",Master[[#This Row],[Received Date -received by site]],Master[[#This Row],[Date Collected or Developed]])))</f>
        <v>44062</v>
      </c>
      <c r="F13" s="76" t="str">
        <f>IF(Master[[#This Row],[Geography (Collection) -Lookup Picker in GRIN]]="","",Master[[#This Row],[Geography (Collection) -Lookup Picker in GRIN]])</f>
        <v>United States, Colorado, Grand</v>
      </c>
      <c r="G13" t="str">
        <f t="shared" si="2"/>
        <v>Y</v>
      </c>
      <c r="H13" s="7" t="str">
        <f>IF(Master[[#This Row],[Collecting or Acquisition Source - List]]="","",Master[[#This Row],[Collecting or Acquisition Source - List]])</f>
        <v/>
      </c>
      <c r="I13" t="str">
        <f>IF(Master[[#This Row],[Inventory Type - Lookup Picker]]="","",Master[[#This Row],[Inventory Type - Lookup Picker]])</f>
        <v>SD</v>
      </c>
      <c r="J13" s="4">
        <f>IF(Master[[#This Row],[Number Plants Sampled]]="","",Master[[#This Row],[Number Plants Sampled]])</f>
        <v>500</v>
      </c>
      <c r="K13" s="4" t="str">
        <f>IF(Master[[#This Row],[Environment Description]]="","",Master[[#This Row],[Environment Description]])</f>
        <v>Trampled</v>
      </c>
      <c r="L13" s="4" t="str">
        <f>IF(Master[[#This Row],[Collector Verbatim Locality]]="","",Master[[#This Row],[Collector Verbatim Locality]])</f>
        <v>BLM area/ / Going south on US-40, turn east onto Co HWY 27/Forest Rd 103 to Chimney Rock. Follow for 8.6 miles. Pull off in the turn out to the west. Follow Lindsey Creek south west through National Forest on game trails for about 2 miles. Population is on south facing hillside on north side of creek.</v>
      </c>
      <c r="M13" s="4">
        <f>IF(Master[[#This Row],[Elevation (meters)]]=0,"",Master[[#This Row],[Elevation (meters)]])</f>
        <v>2671</v>
      </c>
      <c r="N13" s="55">
        <f>IF(Master[[#This Row],[Latitude -decimal degrees]]="","",Master[[#This Row],[Latitude -decimal degrees]])</f>
        <v>40.324449999999999</v>
      </c>
      <c r="O13" s="55">
        <f>IF(Master[[#This Row],[Longitude -decimal degrees]]="","",Master[[#This Row],[Longitude -decimal degrees]])</f>
        <v>-106.44546</v>
      </c>
      <c r="P13" s="5" t="str">
        <f>IF(Master[[#This Row],[Georeference Datum]]="","",Master[[#This Row],[Georeference Datum]])</f>
        <v>WGS84</v>
      </c>
      <c r="Q13" s="5" t="str">
        <f>IF(Master[[#This Row],[Georeference Protocol - Lookup Picker]]="","",Master[[#This Row],[Georeference Protocol - Lookup Picker]])</f>
        <v>Lat/lon determined by GPS</v>
      </c>
      <c r="R13" s="5" t="str">
        <f>IF(Master[[#This Row],[Associated Species]]="","",Master[[#This Row],[Associated Species]])</f>
        <v>Populus tremuloides:Heliomeris multiflora:Achillea millefolium:Tragopogon dubius:Poa sp.</v>
      </c>
      <c r="S13" t="str">
        <f t="shared" si="3"/>
        <v>Y</v>
      </c>
      <c r="T13" s="5" t="str">
        <f>IF(Master[[#This Row],[Note (Accession Source - Collector)]]="","",Master[[#This Row],[Note (Accession Source - Collector)]])</f>
        <v>Gardner, M., Varone, E.</v>
      </c>
      <c r="U13" s="3"/>
      <c r="W13" s="3"/>
      <c r="Y13" s="3"/>
    </row>
    <row r="14" spans="1:25" x14ac:dyDescent="0.25">
      <c r="A14" s="7"/>
      <c r="B14" t="str">
        <f>Master[[#This Row],[Accession Prefix (NPGS)]]&amp;" "&amp;Master[[#This Row],[Accession Number -Assigned]]</f>
        <v>W6 59600</v>
      </c>
      <c r="C14" t="str">
        <f t="shared" ref="C14:C21" si="4">"Collection source event"</f>
        <v>Collection source event</v>
      </c>
      <c r="D14" t="str">
        <f t="shared" ref="D14:D21" si="5">"mm/dd/yyyy"</f>
        <v>mm/dd/yyyy</v>
      </c>
      <c r="E14" s="77">
        <f>IF(IF(Master[[#This Row],[Date Collected or Developed]]="",Master[[#This Row],[Received Date -received by site]],Master[[#This Row],[Date Collected or Developed]])="","",(IF(Master[[#This Row],[Date Collected or Developed]]="",Master[[#This Row],[Received Date -received by site]],Master[[#This Row],[Date Collected or Developed]])))</f>
        <v>44063</v>
      </c>
      <c r="F14" s="76" t="str">
        <f>IF(Master[[#This Row],[Geography (Collection) -Lookup Picker in GRIN]]="","",Master[[#This Row],[Geography (Collection) -Lookup Picker in GRIN]])</f>
        <v>United States, Colorado, Grand</v>
      </c>
      <c r="G14" t="str">
        <f t="shared" ref="G14:G21" si="6">"Y"</f>
        <v>Y</v>
      </c>
      <c r="H14" s="7" t="str">
        <f>IF(Master[[#This Row],[Collecting or Acquisition Source - List]]="","",Master[[#This Row],[Collecting or Acquisition Source - List]])</f>
        <v/>
      </c>
      <c r="I14" t="str">
        <f>IF(Master[[#This Row],[Inventory Type - Lookup Picker]]="","",Master[[#This Row],[Inventory Type - Lookup Picker]])</f>
        <v>SD</v>
      </c>
      <c r="J14" s="4">
        <f>IF(Master[[#This Row],[Number Plants Sampled]]="","",Master[[#This Row],[Number Plants Sampled]])</f>
        <v>100</v>
      </c>
      <c r="K14" s="4" t="str">
        <f>IF(Master[[#This Row],[Environment Description]]="","",Master[[#This Row],[Environment Description]])</f>
        <v>Grazed:Trampled</v>
      </c>
      <c r="L14" s="4" t="str">
        <f>IF(Master[[#This Row],[Collector Verbatim Locality]]="","",Master[[#This Row],[Collector Verbatim Locality]])</f>
        <v>BLM area/ Trail/ From Wolford Reservoir Overlook, take US-40 south to CO-134. Turn west onto CO-134, follow for 2 miles. Turn west onto County Highway 19, follow for 3.8 miles where the road become Forest Road 100. Continue on 100. Turn northeast onto Forest Road 101 to Red Dirt Reservoir, follow 101 for 3.1 miles and take the first east turn toward the reservoir. Park at gate that leads out east over dam. Walk over dam and follow trail north around reservoir about 1.5 miles. Population is west of trail in aspen grove and sagebrush north and east of trees.</v>
      </c>
      <c r="M14" s="4">
        <f>IF(Master[[#This Row],[Elevation (meters)]]=0,"",Master[[#This Row],[Elevation (meters)]])</f>
        <v>2807</v>
      </c>
      <c r="N14" s="55">
        <f>IF(Master[[#This Row],[Latitude -decimal degrees]]="","",Master[[#This Row],[Latitude -decimal degrees]])</f>
        <v>40.195639999999997</v>
      </c>
      <c r="O14" s="55">
        <f>IF(Master[[#This Row],[Longitude -decimal degrees]]="","",Master[[#This Row],[Longitude -decimal degrees]])</f>
        <v>-106.57347</v>
      </c>
      <c r="P14" s="5" t="str">
        <f>IF(Master[[#This Row],[Georeference Datum]]="","",Master[[#This Row],[Georeference Datum]])</f>
        <v>WGS84</v>
      </c>
      <c r="Q14" s="5" t="str">
        <f>IF(Master[[#This Row],[Georeference Protocol - Lookup Picker]]="","",Master[[#This Row],[Georeference Protocol - Lookup Picker]])</f>
        <v>Lat/lon determined by GPS</v>
      </c>
      <c r="R14" s="5" t="str">
        <f>IF(Master[[#This Row],[Associated Species]]="","",Master[[#This Row],[Associated Species]])</f>
        <v>Populus tremuloides:Erigeron speciosus:Achillea millefolium:Poa sp.:Daucus sp.</v>
      </c>
      <c r="S14" t="str">
        <f t="shared" ref="S14:S21" si="7">"Y"</f>
        <v>Y</v>
      </c>
      <c r="T14" s="5" t="str">
        <f>IF(Master[[#This Row],[Note (Accession Source - Collector)]]="","",Master[[#This Row],[Note (Accession Source - Collector)]])</f>
        <v>Gardner, M., Varone, E.</v>
      </c>
      <c r="U14" s="3"/>
      <c r="W14" s="3"/>
      <c r="Y14" s="3"/>
    </row>
    <row r="15" spans="1:25" x14ac:dyDescent="0.25">
      <c r="A15" s="7"/>
      <c r="B15" t="str">
        <f>Master[[#This Row],[Accession Prefix (NPGS)]]&amp;" "&amp;Master[[#This Row],[Accession Number -Assigned]]</f>
        <v>W6 59601</v>
      </c>
      <c r="C15" t="str">
        <f t="shared" si="4"/>
        <v>Collection source event</v>
      </c>
      <c r="D15" t="str">
        <f t="shared" si="5"/>
        <v>mm/dd/yyyy</v>
      </c>
      <c r="E15" s="77">
        <f>IF(IF(Master[[#This Row],[Date Collected or Developed]]="",Master[[#This Row],[Received Date -received by site]],Master[[#This Row],[Date Collected or Developed]])="","",(IF(Master[[#This Row],[Date Collected or Developed]]="",Master[[#This Row],[Received Date -received by site]],Master[[#This Row],[Date Collected or Developed]])))</f>
        <v>44069</v>
      </c>
      <c r="F15" s="76" t="str">
        <f>IF(Master[[#This Row],[Geography (Collection) -Lookup Picker in GRIN]]="","",Master[[#This Row],[Geography (Collection) -Lookup Picker in GRIN]])</f>
        <v>United States, Colorado, Jackson</v>
      </c>
      <c r="G15" t="str">
        <f t="shared" si="6"/>
        <v>Y</v>
      </c>
      <c r="H15" s="7" t="str">
        <f>IF(Master[[#This Row],[Collecting or Acquisition Source - List]]="","",Master[[#This Row],[Collecting or Acquisition Source - List]])</f>
        <v/>
      </c>
      <c r="I15" t="str">
        <f>IF(Master[[#This Row],[Inventory Type - Lookup Picker]]="","",Master[[#This Row],[Inventory Type - Lookup Picker]])</f>
        <v>SD</v>
      </c>
      <c r="J15" s="4">
        <f>IF(Master[[#This Row],[Number Plants Sampled]]="","",Master[[#This Row],[Number Plants Sampled]])</f>
        <v>1000</v>
      </c>
      <c r="K15" s="4" t="str">
        <f>IF(Master[[#This Row],[Environment Description]]="","",Master[[#This Row],[Environment Description]])</f>
        <v/>
      </c>
      <c r="L15" s="4" t="str">
        <f>IF(Master[[#This Row],[Collector Verbatim Locality]]="","",Master[[#This Row],[Collector Verbatim Locality]])</f>
        <v>BLM Area/ Dirt trail/ Take CO-14 E off Us-40 E, follow road about .5 miles, there are small pull-offs on either side of road, park car and go under fenced gate, follow game trails south up the hill about another .5 miles to GPS point</v>
      </c>
      <c r="M15" s="4">
        <f>IF(Master[[#This Row],[Elevation (meters)]]=0,"",Master[[#This Row],[Elevation (meters)]])</f>
        <v>2647</v>
      </c>
      <c r="N15" s="55">
        <f>IF(Master[[#This Row],[Latitude -decimal degrees]]="","",Master[[#This Row],[Latitude -decimal degrees]])</f>
        <v>40.384689999999999</v>
      </c>
      <c r="O15" s="55">
        <f>IF(Master[[#This Row],[Longitude -decimal degrees]]="","",Master[[#This Row],[Longitude -decimal degrees]])</f>
        <v>-106.57035999999999</v>
      </c>
      <c r="P15" s="5" t="str">
        <f>IF(Master[[#This Row],[Georeference Datum]]="","",Master[[#This Row],[Georeference Datum]])</f>
        <v>WGS84</v>
      </c>
      <c r="Q15" s="5" t="str">
        <f>IF(Master[[#This Row],[Georeference Protocol - Lookup Picker]]="","",Master[[#This Row],[Georeference Protocol - Lookup Picker]])</f>
        <v>Lat/lon determined by GPS</v>
      </c>
      <c r="R15" s="5" t="str">
        <f>IF(Master[[#This Row],[Associated Species]]="","",Master[[#This Row],[Associated Species]])</f>
        <v>Populus tremuloides:Poa sp.:Wyethia amplexicaulis:Erigeron speciosus:Eriogonum umbellatum:Artemisia tridentata:Lupinus sp.</v>
      </c>
      <c r="S15" t="str">
        <f t="shared" si="7"/>
        <v>Y</v>
      </c>
      <c r="T15" s="5" t="str">
        <f>IF(Master[[#This Row],[Note (Accession Source - Collector)]]="","",Master[[#This Row],[Note (Accession Source - Collector)]])</f>
        <v>Gardner, M., Varone, E.</v>
      </c>
      <c r="U15" s="3"/>
      <c r="W15" s="3"/>
      <c r="Y15" s="3"/>
    </row>
    <row r="16" spans="1:25" x14ac:dyDescent="0.25">
      <c r="A16" s="7"/>
      <c r="B16" t="str">
        <f>Master[[#This Row],[Accession Prefix (NPGS)]]&amp;" "&amp;Master[[#This Row],[Accession Number -Assigned]]</f>
        <v>W6 59602</v>
      </c>
      <c r="C16" t="str">
        <f t="shared" si="4"/>
        <v>Collection source event</v>
      </c>
      <c r="D16" t="str">
        <f t="shared" si="5"/>
        <v>mm/dd/yyyy</v>
      </c>
      <c r="E16" s="77">
        <f>IF(IF(Master[[#This Row],[Date Collected or Developed]]="",Master[[#This Row],[Received Date -received by site]],Master[[#This Row],[Date Collected or Developed]])="","",(IF(Master[[#This Row],[Date Collected or Developed]]="",Master[[#This Row],[Received Date -received by site]],Master[[#This Row],[Date Collected or Developed]])))</f>
        <v>44070</v>
      </c>
      <c r="F16" s="76" t="str">
        <f>IF(Master[[#This Row],[Geography (Collection) -Lookup Picker in GRIN]]="","",Master[[#This Row],[Geography (Collection) -Lookup Picker in GRIN]])</f>
        <v>United States, Colorado, Grand</v>
      </c>
      <c r="G16" t="str">
        <f t="shared" si="6"/>
        <v>Y</v>
      </c>
      <c r="H16" s="7" t="str">
        <f>IF(Master[[#This Row],[Collecting or Acquisition Source - List]]="","",Master[[#This Row],[Collecting or Acquisition Source - List]])</f>
        <v/>
      </c>
      <c r="I16" t="str">
        <f>IF(Master[[#This Row],[Inventory Type - Lookup Picker]]="","",Master[[#This Row],[Inventory Type - Lookup Picker]])</f>
        <v>SD</v>
      </c>
      <c r="J16" s="4">
        <f>IF(Master[[#This Row],[Number Plants Sampled]]="","",Master[[#This Row],[Number Plants Sampled]])</f>
        <v>400</v>
      </c>
      <c r="K16" s="4" t="str">
        <f>IF(Master[[#This Row],[Environment Description]]="","",Master[[#This Row],[Environment Description]])</f>
        <v/>
      </c>
      <c r="L16" s="4" t="str">
        <f>IF(Master[[#This Row],[Collector Verbatim Locality]]="","",Master[[#This Row],[Collector Verbatim Locality]])</f>
        <v>BLM Area/ Dirt road, trail/ From Tabernash, head south on US-40E, turn left/east onto CO HWY 83, turn left/north onto CO Rd 84/FS 129, turn left/north onto Strawberry Rd, continue onto US Forest Service Road 2751 for about 2.4 miles to GPS point</v>
      </c>
      <c r="M16" s="4">
        <f>IF(Master[[#This Row],[Elevation (meters)]]=0,"",Master[[#This Row],[Elevation (meters)]])</f>
        <v>2793</v>
      </c>
      <c r="N16" s="55">
        <f>IF(Master[[#This Row],[Latitude -decimal degrees]]="","",Master[[#This Row],[Latitude -decimal degrees]])</f>
        <v>40.023269999999997</v>
      </c>
      <c r="O16" s="55">
        <f>IF(Master[[#This Row],[Longitude -decimal degrees]]="","",Master[[#This Row],[Longitude -decimal degrees]])</f>
        <v>-106.84023000000001</v>
      </c>
      <c r="P16" s="5" t="str">
        <f>IF(Master[[#This Row],[Georeference Datum]]="","",Master[[#This Row],[Georeference Datum]])</f>
        <v>WGS84</v>
      </c>
      <c r="Q16" s="5" t="str">
        <f>IF(Master[[#This Row],[Georeference Protocol - Lookup Picker]]="","",Master[[#This Row],[Georeference Protocol - Lookup Picker]])</f>
        <v>Lat/lon determined by GPS</v>
      </c>
      <c r="R16" s="5" t="str">
        <f>IF(Master[[#This Row],[Associated Species]]="","",Master[[#This Row],[Associated Species]])</f>
        <v>Pinus sp.:Populus tremuloides:Poa sp.:Achillea millefolium:Purshia tridentata:Cirsium sp.:Elymus elymoides:Aster sp.</v>
      </c>
      <c r="S16" t="str">
        <f t="shared" si="7"/>
        <v>Y</v>
      </c>
      <c r="T16" s="5" t="str">
        <f>IF(Master[[#This Row],[Note (Accession Source - Collector)]]="","",Master[[#This Row],[Note (Accession Source - Collector)]])</f>
        <v>Gardner, M., Varone, E.</v>
      </c>
      <c r="U16" s="3"/>
      <c r="W16" s="3"/>
      <c r="Y16" s="3"/>
    </row>
    <row r="17" spans="1:25" x14ac:dyDescent="0.25">
      <c r="A17" s="7"/>
      <c r="B17" t="str">
        <f>Master[[#This Row],[Accession Prefix (NPGS)]]&amp;" "&amp;Master[[#This Row],[Accession Number -Assigned]]</f>
        <v>W6 59603</v>
      </c>
      <c r="C17" t="str">
        <f t="shared" si="4"/>
        <v>Collection source event</v>
      </c>
      <c r="D17" t="str">
        <f t="shared" si="5"/>
        <v>mm/dd/yyyy</v>
      </c>
      <c r="E17" s="77">
        <f>IF(IF(Master[[#This Row],[Date Collected or Developed]]="",Master[[#This Row],[Received Date -received by site]],Master[[#This Row],[Date Collected or Developed]])="","",(IF(Master[[#This Row],[Date Collected or Developed]]="",Master[[#This Row],[Received Date -received by site]],Master[[#This Row],[Date Collected or Developed]])))</f>
        <v>44076</v>
      </c>
      <c r="F17" s="76" t="str">
        <f>IF(Master[[#This Row],[Geography (Collection) -Lookup Picker in GRIN]]="","",Master[[#This Row],[Geography (Collection) -Lookup Picker in GRIN]])</f>
        <v>United States, Colorado, Routt</v>
      </c>
      <c r="G17" t="str">
        <f t="shared" si="6"/>
        <v>Y</v>
      </c>
      <c r="H17" s="7" t="str">
        <f>IF(Master[[#This Row],[Collecting or Acquisition Source - List]]="","",Master[[#This Row],[Collecting or Acquisition Source - List]])</f>
        <v/>
      </c>
      <c r="I17" t="str">
        <f>IF(Master[[#This Row],[Inventory Type - Lookup Picker]]="","",Master[[#This Row],[Inventory Type - Lookup Picker]])</f>
        <v>SD</v>
      </c>
      <c r="J17" s="4">
        <f>IF(Master[[#This Row],[Number Plants Sampled]]="","",Master[[#This Row],[Number Plants Sampled]])</f>
        <v>500</v>
      </c>
      <c r="K17" s="4" t="str">
        <f>IF(Master[[#This Row],[Environment Description]]="","",Master[[#This Row],[Environment Description]])</f>
        <v/>
      </c>
      <c r="L17" s="4" t="str">
        <f>IF(Master[[#This Row],[Collector Verbatim Locality]]="","",Master[[#This Row],[Collector Verbatim Locality]])</f>
        <v>BLM area/ Dirt road/trail/ From Toponas going south CO-131, 2.4 miles after passing CO-134 turn off, turn into King Mountain Trailhead parking lot. Park and walk southwest up old dirt road about 0.55 miles where footpath head northwest off dirt road toward aspen grove. Population is about 0.2 miles down trail, on both sides of trail in sagebrush.</v>
      </c>
      <c r="M17" s="4">
        <f>IF(Master[[#This Row],[Elevation (meters)]]=0,"",Master[[#This Row],[Elevation (meters)]])</f>
        <v>2551</v>
      </c>
      <c r="N17" s="55">
        <f>IF(Master[[#This Row],[Latitude -decimal degrees]]="","",Master[[#This Row],[Latitude -decimal degrees]])</f>
        <v>40.027670000000001</v>
      </c>
      <c r="O17" s="55">
        <f>IF(Master[[#This Row],[Longitude -decimal degrees]]="","",Master[[#This Row],[Longitude -decimal degrees]])</f>
        <v>-106.79264999999999</v>
      </c>
      <c r="P17" s="5" t="str">
        <f>IF(Master[[#This Row],[Georeference Datum]]="","",Master[[#This Row],[Georeference Datum]])</f>
        <v>WGS84</v>
      </c>
      <c r="Q17" s="5" t="str">
        <f>IF(Master[[#This Row],[Georeference Protocol - Lookup Picker]]="","",Master[[#This Row],[Georeference Protocol - Lookup Picker]])</f>
        <v>Lat/lon determined by GPS</v>
      </c>
      <c r="R17" s="5" t="str">
        <f>IF(Master[[#This Row],[Associated Species]]="","",Master[[#This Row],[Associated Species]])</f>
        <v>Artemisia tridentata:Ericameria parryi:Populus tremuloides:Poa sp.:Artemisia sp.</v>
      </c>
      <c r="S17" t="str">
        <f t="shared" si="7"/>
        <v>Y</v>
      </c>
      <c r="T17" s="5" t="str">
        <f>IF(Master[[#This Row],[Note (Accession Source - Collector)]]="","",Master[[#This Row],[Note (Accession Source - Collector)]])</f>
        <v>Gardner, M., Varone, E.</v>
      </c>
      <c r="U17" s="3"/>
      <c r="W17" s="3"/>
      <c r="Y17" s="3"/>
    </row>
    <row r="18" spans="1:25" x14ac:dyDescent="0.25">
      <c r="A18" s="7"/>
      <c r="B18" t="str">
        <f>Master[[#This Row],[Accession Prefix (NPGS)]]&amp;" "&amp;Master[[#This Row],[Accession Number -Assigned]]</f>
        <v>W6 59604</v>
      </c>
      <c r="C18" t="str">
        <f t="shared" si="4"/>
        <v>Collection source event</v>
      </c>
      <c r="D18" t="str">
        <f t="shared" si="5"/>
        <v>mm/dd/yyyy</v>
      </c>
      <c r="E18" s="77">
        <f>IF(IF(Master[[#This Row],[Date Collected or Developed]]="",Master[[#This Row],[Received Date -received by site]],Master[[#This Row],[Date Collected or Developed]])="","",(IF(Master[[#This Row],[Date Collected or Developed]]="",Master[[#This Row],[Received Date -received by site]],Master[[#This Row],[Date Collected or Developed]])))</f>
        <v>44077</v>
      </c>
      <c r="F18" s="76" t="str">
        <f>IF(Master[[#This Row],[Geography (Collection) -Lookup Picker in GRIN]]="","",Master[[#This Row],[Geography (Collection) -Lookup Picker in GRIN]])</f>
        <v>United States, Colorado, Grand</v>
      </c>
      <c r="G18" t="str">
        <f t="shared" si="6"/>
        <v>Y</v>
      </c>
      <c r="H18" s="7" t="str">
        <f>IF(Master[[#This Row],[Collecting or Acquisition Source - List]]="","",Master[[#This Row],[Collecting or Acquisition Source - List]])</f>
        <v/>
      </c>
      <c r="I18" t="str">
        <f>IF(Master[[#This Row],[Inventory Type - Lookup Picker]]="","",Master[[#This Row],[Inventory Type - Lookup Picker]])</f>
        <v>SD</v>
      </c>
      <c r="J18" s="4">
        <f>IF(Master[[#This Row],[Number Plants Sampled]]="","",Master[[#This Row],[Number Plants Sampled]])</f>
        <v>500</v>
      </c>
      <c r="K18" s="4" t="str">
        <f>IF(Master[[#This Row],[Environment Description]]="","",Master[[#This Row],[Environment Description]])</f>
        <v/>
      </c>
      <c r="L18" s="4" t="str">
        <f>IF(Master[[#This Row],[Collector Verbatim Locality]]="","",Master[[#This Row],[Collector Verbatim Locality]])</f>
        <v>BLM area/ Dirt road/trail/ From Tabernash going south on US-40, go east onto Co HWY 83. At the split go north on USFS 129/County Rd 84. Follow 84 for 0.8 miles and go west onto Strawberry Rd. Follow Strawberry Rd/USFS 2751 for 2.8 miles. Pull into camp spot on southwest side of road. Population is in field at campsite, along USFS 2751, and along trail that goes from campsite on east side of road. Trail runs parallel to 2751 and comes out at pull off to the east 0.6 miles from campsite.</v>
      </c>
      <c r="M18" s="4">
        <f>IF(Master[[#This Row],[Elevation (meters)]]=0,"",Master[[#This Row],[Elevation (meters)]])</f>
        <v>2783</v>
      </c>
      <c r="N18" s="55">
        <f>IF(Master[[#This Row],[Latitude -decimal degrees]]="","",Master[[#This Row],[Latitude -decimal degrees]])</f>
        <v>40.019669999999998</v>
      </c>
      <c r="O18" s="55">
        <f>IF(Master[[#This Row],[Longitude -decimal degrees]]="","",Master[[#This Row],[Longitude -decimal degrees]])</f>
        <v>-106.84244</v>
      </c>
      <c r="P18" s="5" t="str">
        <f>IF(Master[[#This Row],[Georeference Datum]]="","",Master[[#This Row],[Georeference Datum]])</f>
        <v>WGS84</v>
      </c>
      <c r="Q18" s="5" t="str">
        <f>IF(Master[[#This Row],[Georeference Protocol - Lookup Picker]]="","",Master[[#This Row],[Georeference Protocol - Lookup Picker]])</f>
        <v>Lat/lon determined by GPS</v>
      </c>
      <c r="R18" s="5" t="str">
        <f>IF(Master[[#This Row],[Associated Species]]="","",Master[[#This Row],[Associated Species]])</f>
        <v>Populus tremuloides:Erigeron speciosus:Pascopyrum smithii:Ericameria parryi:Juniperus scopulorum:Pinus sp.:Poa sp.</v>
      </c>
      <c r="S18" t="str">
        <f t="shared" si="7"/>
        <v>Y</v>
      </c>
      <c r="T18" s="5" t="str">
        <f>IF(Master[[#This Row],[Note (Accession Source - Collector)]]="","",Master[[#This Row],[Note (Accession Source - Collector)]])</f>
        <v>Gardner, M., Varone, E.</v>
      </c>
      <c r="U18" s="3"/>
      <c r="W18" s="3"/>
      <c r="Y18" s="3"/>
    </row>
    <row r="19" spans="1:25" x14ac:dyDescent="0.25">
      <c r="A19" s="7"/>
      <c r="B19" t="str">
        <f>Master[[#This Row],[Accession Prefix (NPGS)]]&amp;" "&amp;Master[[#This Row],[Accession Number -Assigned]]</f>
        <v>W6 59605</v>
      </c>
      <c r="C19" t="str">
        <f t="shared" si="4"/>
        <v>Collection source event</v>
      </c>
      <c r="D19" t="str">
        <f t="shared" si="5"/>
        <v>mm/dd/yyyy</v>
      </c>
      <c r="E19" s="77">
        <f>IF(IF(Master[[#This Row],[Date Collected or Developed]]="",Master[[#This Row],[Received Date -received by site]],Master[[#This Row],[Date Collected or Developed]])="","",(IF(Master[[#This Row],[Date Collected or Developed]]="",Master[[#This Row],[Received Date -received by site]],Master[[#This Row],[Date Collected or Developed]])))</f>
        <v>44084</v>
      </c>
      <c r="F19" s="76" t="str">
        <f>IF(Master[[#This Row],[Geography (Collection) -Lookup Picker in GRIN]]="","",Master[[#This Row],[Geography (Collection) -Lookup Picker in GRIN]])</f>
        <v>United States, Colorado, Eagle</v>
      </c>
      <c r="G19" t="str">
        <f t="shared" si="6"/>
        <v>Y</v>
      </c>
      <c r="H19" s="7" t="str">
        <f>IF(Master[[#This Row],[Collecting or Acquisition Source - List]]="","",Master[[#This Row],[Collecting or Acquisition Source - List]])</f>
        <v/>
      </c>
      <c r="I19" t="str">
        <f>IF(Master[[#This Row],[Inventory Type - Lookup Picker]]="","",Master[[#This Row],[Inventory Type - Lookup Picker]])</f>
        <v>SD</v>
      </c>
      <c r="J19" s="4">
        <f>IF(Master[[#This Row],[Number Plants Sampled]]="","",Master[[#This Row],[Number Plants Sampled]])</f>
        <v>50</v>
      </c>
      <c r="K19" s="4" t="str">
        <f>IF(Master[[#This Row],[Environment Description]]="","",Master[[#This Row],[Environment Description]])</f>
        <v/>
      </c>
      <c r="L19" s="4" t="str">
        <f>IF(Master[[#This Row],[Collector Verbatim Locality]]="","",Master[[#This Row],[Collector Verbatim Locality]])</f>
        <v>BLM area/ Dirt road/ Take CO-131 south from Toponas, turn south west on Colorado River Rd headed southwest toward Bond. Follow Colorado River Rd for 1 mile. Population is on northwest side of road on berm.</v>
      </c>
      <c r="M19" s="4">
        <f>IF(Master[[#This Row],[Elevation (meters)]]=0,"",Master[[#This Row],[Elevation (meters)]])</f>
        <v>2050</v>
      </c>
      <c r="N19" s="55">
        <f>IF(Master[[#This Row],[Latitude -decimal degrees]]="","",Master[[#This Row],[Latitude -decimal degrees]])</f>
        <v>39.911209999999997</v>
      </c>
      <c r="O19" s="55">
        <f>IF(Master[[#This Row],[Longitude -decimal degrees]]="","",Master[[#This Row],[Longitude -decimal degrees]])</f>
        <v>-106.74414</v>
      </c>
      <c r="P19" s="5" t="str">
        <f>IF(Master[[#This Row],[Georeference Datum]]="","",Master[[#This Row],[Georeference Datum]])</f>
        <v>WGS84</v>
      </c>
      <c r="Q19" s="5" t="str">
        <f>IF(Master[[#This Row],[Georeference Protocol - Lookup Picker]]="","",Master[[#This Row],[Georeference Protocol - Lookup Picker]])</f>
        <v>Lat/lon determined by GPS</v>
      </c>
      <c r="R19" s="5" t="str">
        <f>IF(Master[[#This Row],[Associated Species]]="","",Master[[#This Row],[Associated Species]])</f>
        <v>Artemisia tridentata:Juniperus scopulorum:Senecio spartioides:Pinus edulis:Ericameria nauseosa:Opuntia sp.</v>
      </c>
      <c r="S19" t="str">
        <f t="shared" si="7"/>
        <v>Y</v>
      </c>
      <c r="T19" s="5" t="str">
        <f>IF(Master[[#This Row],[Note (Accession Source - Collector)]]="","",Master[[#This Row],[Note (Accession Source - Collector)]])</f>
        <v>Gardner, M., Varone, E.</v>
      </c>
      <c r="U19" s="3"/>
      <c r="W19" s="3"/>
      <c r="Y19" s="3"/>
    </row>
    <row r="20" spans="1:25" x14ac:dyDescent="0.25">
      <c r="A20" s="7"/>
      <c r="B20" t="str">
        <f>Master[[#This Row],[Accession Prefix (NPGS)]]&amp;" "&amp;Master[[#This Row],[Accession Number -Assigned]]</f>
        <v>W6 59606</v>
      </c>
      <c r="C20" t="str">
        <f t="shared" si="4"/>
        <v>Collection source event</v>
      </c>
      <c r="D20" t="str">
        <f t="shared" si="5"/>
        <v>mm/dd/yyyy</v>
      </c>
      <c r="E20" s="77">
        <f>IF(IF(Master[[#This Row],[Date Collected or Developed]]="",Master[[#This Row],[Received Date -received by site]],Master[[#This Row],[Date Collected or Developed]])="","",(IF(Master[[#This Row],[Date Collected or Developed]]="",Master[[#This Row],[Received Date -received by site]],Master[[#This Row],[Date Collected or Developed]])))</f>
        <v>44089</v>
      </c>
      <c r="F20" s="76" t="str">
        <f>IF(Master[[#This Row],[Geography (Collection) -Lookup Picker in GRIN]]="","",Master[[#This Row],[Geography (Collection) -Lookup Picker in GRIN]])</f>
        <v>United States, Colorado, Jackson</v>
      </c>
      <c r="G20" t="str">
        <f t="shared" si="6"/>
        <v>Y</v>
      </c>
      <c r="H20" s="7" t="str">
        <f>IF(Master[[#This Row],[Collecting or Acquisition Source - List]]="","",Master[[#This Row],[Collecting or Acquisition Source - List]])</f>
        <v/>
      </c>
      <c r="I20" t="str">
        <f>IF(Master[[#This Row],[Inventory Type - Lookup Picker]]="","",Master[[#This Row],[Inventory Type - Lookup Picker]])</f>
        <v>SD</v>
      </c>
      <c r="J20" s="4">
        <f>IF(Master[[#This Row],[Number Plants Sampled]]="","",Master[[#This Row],[Number Plants Sampled]])</f>
        <v>1000</v>
      </c>
      <c r="K20" s="4" t="str">
        <f>IF(Master[[#This Row],[Environment Description]]="","",Master[[#This Row],[Environment Description]])</f>
        <v/>
      </c>
      <c r="L20" s="4" t="str">
        <f>IF(Master[[#This Row],[Collector Verbatim Locality]]="","",Master[[#This Row],[Collector Verbatim Locality]])</f>
        <v>BLM area/ OHV area/ From Cowdrey go north on 125, turn east onto 6E, follow 6E for 3.4 miles and turn southeast toward North Sand Hills. Continue southeast for 2.3 miles driving past the information center. Turn northeast up hill toward dunefield 0.8 miles past info center. Travel northeast up sandy road 0.24 miles until arriving at aspen grove camp site. Population is northeast and southeast of camp site/aspen grove in sagebrush shrubland.</v>
      </c>
      <c r="M20" s="4">
        <f>IF(Master[[#This Row],[Elevation (meters)]]=0,"",Master[[#This Row],[Elevation (meters)]])</f>
        <v>2590</v>
      </c>
      <c r="N20" s="55">
        <f>IF(Master[[#This Row],[Latitude -decimal degrees]]="","",Master[[#This Row],[Latitude -decimal degrees]])</f>
        <v>40.870539999999998</v>
      </c>
      <c r="O20" s="55">
        <f>IF(Master[[#This Row],[Longitude -decimal degrees]]="","",Master[[#This Row],[Longitude -decimal degrees]])</f>
        <v>-106.2068</v>
      </c>
      <c r="P20" s="5" t="str">
        <f>IF(Master[[#This Row],[Georeference Datum]]="","",Master[[#This Row],[Georeference Datum]])</f>
        <v>WGS84</v>
      </c>
      <c r="Q20" s="5" t="str">
        <f>IF(Master[[#This Row],[Georeference Protocol - Lookup Picker]]="","",Master[[#This Row],[Georeference Protocol - Lookup Picker]])</f>
        <v>Lat/lon determined by GPS</v>
      </c>
      <c r="R20" s="5" t="str">
        <f>IF(Master[[#This Row],[Associated Species]]="","",Master[[#This Row],[Associated Species]])</f>
        <v>Artemisia tridentata:Agoseris glauca:Eriogonum umbellatum:Chrysothamnus viscidiflorus:Achnatherum hymenoides:Crepis acuminata</v>
      </c>
      <c r="S20" t="str">
        <f t="shared" si="7"/>
        <v>Y</v>
      </c>
      <c r="T20" s="5" t="str">
        <f>IF(Master[[#This Row],[Note (Accession Source - Collector)]]="","",Master[[#This Row],[Note (Accession Source - Collector)]])</f>
        <v>Gardner, M., Varone, E.</v>
      </c>
      <c r="U20" s="3"/>
      <c r="W20" s="3"/>
      <c r="Y20" s="3"/>
    </row>
    <row r="21" spans="1:25" x14ac:dyDescent="0.25">
      <c r="A21" s="7"/>
      <c r="B21" t="str">
        <f>Master[[#This Row],[Accession Prefix (NPGS)]]&amp;" "&amp;Master[[#This Row],[Accession Number -Assigned]]</f>
        <v>W6 59607</v>
      </c>
      <c r="C21" t="str">
        <f t="shared" si="4"/>
        <v>Collection source event</v>
      </c>
      <c r="D21" t="str">
        <f t="shared" si="5"/>
        <v>mm/dd/yyyy</v>
      </c>
      <c r="E21" s="77">
        <f>IF(IF(Master[[#This Row],[Date Collected or Developed]]="",Master[[#This Row],[Received Date -received by site]],Master[[#This Row],[Date Collected or Developed]])="","",(IF(Master[[#This Row],[Date Collected or Developed]]="",Master[[#This Row],[Received Date -received by site]],Master[[#This Row],[Date Collected or Developed]])))</f>
        <v>44089</v>
      </c>
      <c r="F21" s="76" t="str">
        <f>IF(Master[[#This Row],[Geography (Collection) -Lookup Picker in GRIN]]="","",Master[[#This Row],[Geography (Collection) -Lookup Picker in GRIN]])</f>
        <v>United States, Colorado, Jackson</v>
      </c>
      <c r="G21" t="str">
        <f t="shared" si="6"/>
        <v>Y</v>
      </c>
      <c r="H21" s="7" t="str">
        <f>IF(Master[[#This Row],[Collecting or Acquisition Source - List]]="","",Master[[#This Row],[Collecting or Acquisition Source - List]])</f>
        <v/>
      </c>
      <c r="I21" t="str">
        <f>IF(Master[[#This Row],[Inventory Type - Lookup Picker]]="","",Master[[#This Row],[Inventory Type - Lookup Picker]])</f>
        <v>SD</v>
      </c>
      <c r="J21" s="4">
        <f>IF(Master[[#This Row],[Number Plants Sampled]]="","",Master[[#This Row],[Number Plants Sampled]])</f>
        <v>1015</v>
      </c>
      <c r="K21" s="4" t="str">
        <f>IF(Master[[#This Row],[Environment Description]]="","",Master[[#This Row],[Environment Description]])</f>
        <v/>
      </c>
      <c r="L21" s="4" t="str">
        <f>IF(Master[[#This Row],[Collector Verbatim Locality]]="","",Master[[#This Row],[Collector Verbatim Locality]])</f>
        <v>BLM Area/ / From US-40E/CO-14E intersection take CO-14E for 17.4 miles, turn right/east onto CO Rd 34, follow for about 3 miles, take a slight right/southeast and follow dirt road to GPS point. Population is in grassy fields</v>
      </c>
      <c r="M21" s="4">
        <f>IF(Master[[#This Row],[Elevation (meters)]]=0,"",Master[[#This Row],[Elevation (meters)]])</f>
        <v>2493</v>
      </c>
      <c r="N21" s="55">
        <f>IF(Master[[#This Row],[Latitude -decimal degrees]]="","",Master[[#This Row],[Latitude -decimal degrees]])</f>
        <v>40.564219999999999</v>
      </c>
      <c r="O21" s="55">
        <f>IF(Master[[#This Row],[Longitude -decimal degrees]]="","",Master[[#This Row],[Longitude -decimal degrees]])</f>
        <v>-106.34797</v>
      </c>
      <c r="P21" s="5" t="str">
        <f>IF(Master[[#This Row],[Georeference Datum]]="","",Master[[#This Row],[Georeference Datum]])</f>
        <v>WGS84</v>
      </c>
      <c r="Q21" s="5" t="str">
        <f>IF(Master[[#This Row],[Georeference Protocol - Lookup Picker]]="","",Master[[#This Row],[Georeference Protocol - Lookup Picker]])</f>
        <v>Lat/lon determined by GPS</v>
      </c>
      <c r="R21" s="5" t="str">
        <f>IF(Master[[#This Row],[Associated Species]]="","",Master[[#This Row],[Associated Species]])</f>
        <v>Artemisia tridentata:Aster sp.:Juncus sp.:Carex sp.:Poa sp.:Salix sp.:Sarcobatus sp.:Populus tremuloides</v>
      </c>
      <c r="S21" t="str">
        <f t="shared" si="7"/>
        <v>Y</v>
      </c>
      <c r="T21" s="5" t="str">
        <f>IF(Master[[#This Row],[Note (Accession Source - Collector)]]="","",Master[[#This Row],[Note (Accession Source - Collector)]])</f>
        <v>Gardner, M., Varone, E.</v>
      </c>
      <c r="U21" s="3"/>
      <c r="W21" s="3"/>
      <c r="Y21" s="3"/>
    </row>
    <row r="22" spans="1:25" x14ac:dyDescent="0.25">
      <c r="B22" t="str">
        <f>Master[[#This Row],[Accession Prefix (NPGS)]]&amp;" "&amp;Master[[#This Row],[Accession Number -Assigned]]</f>
        <v>W6 59608</v>
      </c>
      <c r="C22" t="str">
        <f t="shared" ref="C22:C53" si="8">"Collection source event"</f>
        <v>Collection source event</v>
      </c>
      <c r="D22" t="str">
        <f t="shared" ref="D22:D53" si="9">"mm/dd/yyyy"</f>
        <v>mm/dd/yyyy</v>
      </c>
      <c r="E22" s="77">
        <f>IF(IF(Master[[#This Row],[Date Collected or Developed]]="",Master[[#This Row],[Received Date -received by site]],Master[[#This Row],[Date Collected or Developed]])="","",(IF(Master[[#This Row],[Date Collected or Developed]]="",Master[[#This Row],[Received Date -received by site]],Master[[#This Row],[Date Collected or Developed]])))</f>
        <v>44090</v>
      </c>
      <c r="F22" s="76" t="str">
        <f>IF(Master[[#This Row],[Geography (Collection) -Lookup Picker in GRIN]]="","",Master[[#This Row],[Geography (Collection) -Lookup Picker in GRIN]])</f>
        <v>United States, Colorado, Eagle</v>
      </c>
      <c r="G22" t="str">
        <f t="shared" ref="G22:G53" si="10">"Y"</f>
        <v>Y</v>
      </c>
      <c r="H22" s="45" t="str">
        <f>IF(Master[[#This Row],[Collecting or Acquisition Source - List]]="","",Master[[#This Row],[Collecting or Acquisition Source - List]])</f>
        <v/>
      </c>
      <c r="I22" t="str">
        <f>IF(Master[[#This Row],[Inventory Type - Lookup Picker]]="","",Master[[#This Row],[Inventory Type - Lookup Picker]])</f>
        <v>SD</v>
      </c>
      <c r="J22" s="4">
        <f>IF(Master[[#This Row],[Number Plants Sampled]]="","",Master[[#This Row],[Number Plants Sampled]])</f>
        <v>100</v>
      </c>
      <c r="K22" s="4" t="str">
        <f>IF(Master[[#This Row],[Environment Description]]="","",Master[[#This Row],[Environment Description]])</f>
        <v/>
      </c>
      <c r="L22" s="4" t="str">
        <f>IF(Master[[#This Row],[Collector Verbatim Locality]]="","",Master[[#This Row],[Collector Verbatim Locality]])</f>
        <v>BLM Area/ CO-131/ From Wolcott, follow CO-131 north to GPS point, about .4 miles. Collection is along ditch .4 miles up/west the road</v>
      </c>
      <c r="M22" s="4">
        <f>IF(Master[[#This Row],[Elevation (meters)]]=0,"",Master[[#This Row],[Elevation (meters)]])</f>
        <v>2163</v>
      </c>
      <c r="N22" s="55">
        <f>IF(Master[[#This Row],[Latitude -decimal degrees]]="","",Master[[#This Row],[Latitude -decimal degrees]])</f>
        <v>39.704500000000003</v>
      </c>
      <c r="O22" s="55">
        <f>IF(Master[[#This Row],[Longitude -decimal degrees]]="","",Master[[#This Row],[Longitude -decimal degrees]])</f>
        <v>-106.68017</v>
      </c>
      <c r="P22" s="5" t="str">
        <f>IF(Master[[#This Row],[Georeference Datum]]="","",Master[[#This Row],[Georeference Datum]])</f>
        <v>WGS84</v>
      </c>
      <c r="Q22" s="5" t="str">
        <f>IF(Master[[#This Row],[Georeference Protocol - Lookup Picker]]="","",Master[[#This Row],[Georeference Protocol - Lookup Picker]])</f>
        <v>Lat/lon determined by GPS</v>
      </c>
      <c r="R22" s="5" t="str">
        <f>IF(Master[[#This Row],[Associated Species]]="","",Master[[#This Row],[Associated Species]])</f>
        <v>Artemisia tridentata:Bromus sp.:Poa sp.:Rumex sp.</v>
      </c>
      <c r="S22" t="str">
        <f t="shared" ref="S22:S53" si="11">"Y"</f>
        <v>Y</v>
      </c>
      <c r="T22" s="5" t="str">
        <f>IF(Master[[#This Row],[Note (Accession Source - Collector)]]="","",Master[[#This Row],[Note (Accession Source - Collector)]])</f>
        <v>Gardner, M., Varone, E.</v>
      </c>
      <c r="U22" s="3"/>
      <c r="W22" s="3"/>
      <c r="Y22" s="3"/>
    </row>
    <row r="23" spans="1:25" x14ac:dyDescent="0.25">
      <c r="B23" t="str">
        <f>Master[[#This Row],[Accession Prefix (NPGS)]]&amp;" "&amp;Master[[#This Row],[Accession Number -Assigned]]</f>
        <v>W6 59609</v>
      </c>
      <c r="C23" t="str">
        <f t="shared" si="8"/>
        <v>Collection source event</v>
      </c>
      <c r="D23" t="str">
        <f t="shared" si="9"/>
        <v>mm/dd/yyyy</v>
      </c>
      <c r="E23" s="77">
        <f>IF(IF(Master[[#This Row],[Date Collected or Developed]]="",Master[[#This Row],[Received Date -received by site]],Master[[#This Row],[Date Collected or Developed]])="","",(IF(Master[[#This Row],[Date Collected or Developed]]="",Master[[#This Row],[Received Date -received by site]],Master[[#This Row],[Date Collected or Developed]])))</f>
        <v>44090</v>
      </c>
      <c r="F23" s="76" t="str">
        <f>IF(Master[[#This Row],[Geography (Collection) -Lookup Picker in GRIN]]="","",Master[[#This Row],[Geography (Collection) -Lookup Picker in GRIN]])</f>
        <v>United States, Colorado, Grand</v>
      </c>
      <c r="G23" t="str">
        <f t="shared" si="10"/>
        <v>Y</v>
      </c>
      <c r="H23" s="45" t="str">
        <f>IF(Master[[#This Row],[Collecting or Acquisition Source - List]]="","",Master[[#This Row],[Collecting or Acquisition Source - List]])</f>
        <v/>
      </c>
      <c r="I23" t="str">
        <f>IF(Master[[#This Row],[Inventory Type - Lookup Picker]]="","",Master[[#This Row],[Inventory Type - Lookup Picker]])</f>
        <v>SD</v>
      </c>
      <c r="J23" s="4">
        <f>IF(Master[[#This Row],[Number Plants Sampled]]="","",Master[[#This Row],[Number Plants Sampled]])</f>
        <v>1000</v>
      </c>
      <c r="K23" s="4" t="str">
        <f>IF(Master[[#This Row],[Environment Description]]="","",Master[[#This Row],[Environment Description]])</f>
        <v/>
      </c>
      <c r="L23" s="4" t="str">
        <f>IF(Master[[#This Row],[Collector Verbatim Locality]]="","",Master[[#This Row],[Collector Verbatim Locality]])</f>
        <v>BLM Area/ Dirt road/ From Parshall take CO HWY 20 from US-40 E, follow for about 3.7 miles, park and walk to GPS point</v>
      </c>
      <c r="M23" s="4">
        <f>IF(Master[[#This Row],[Elevation (meters)]]=0,"",Master[[#This Row],[Elevation (meters)]])</f>
        <v>2553</v>
      </c>
      <c r="N23" s="55">
        <f>IF(Master[[#This Row],[Latitude -decimal degrees]]="","",Master[[#This Row],[Latitude -decimal degrees]])</f>
        <v>40.065899999999999</v>
      </c>
      <c r="O23" s="55">
        <f>IF(Master[[#This Row],[Longitude -decimal degrees]]="","",Master[[#This Row],[Longitude -decimal degrees]])</f>
        <v>-106.13357999999999</v>
      </c>
      <c r="P23" s="5" t="str">
        <f>IF(Master[[#This Row],[Georeference Datum]]="","",Master[[#This Row],[Georeference Datum]])</f>
        <v>WGS84</v>
      </c>
      <c r="Q23" s="5" t="str">
        <f>IF(Master[[#This Row],[Georeference Protocol - Lookup Picker]]="","",Master[[#This Row],[Georeference Protocol - Lookup Picker]])</f>
        <v>Lat/lon determined by GPS</v>
      </c>
      <c r="R23" s="5" t="str">
        <f>IF(Master[[#This Row],[Associated Species]]="","",Master[[#This Row],[Associated Species]])</f>
        <v>Artemisia tridentata:Eriogonum umbellatum:Penstemon sp.:Poa sp.:Achillea millefolium:Ericameria parryi:Aster sp.</v>
      </c>
      <c r="S23" t="str">
        <f t="shared" si="11"/>
        <v>Y</v>
      </c>
      <c r="T23" s="5" t="str">
        <f>IF(Master[[#This Row],[Note (Accession Source - Collector)]]="","",Master[[#This Row],[Note (Accession Source - Collector)]])</f>
        <v>Gardner, M., Varone, E.</v>
      </c>
      <c r="U23" s="3"/>
      <c r="W23" s="3"/>
      <c r="Y23" s="3"/>
    </row>
    <row r="24" spans="1:25" x14ac:dyDescent="0.25">
      <c r="B24" t="str">
        <f>Master[[#This Row],[Accession Prefix (NPGS)]]&amp;" "&amp;Master[[#This Row],[Accession Number -Assigned]]</f>
        <v>W6 59610</v>
      </c>
      <c r="C24" t="str">
        <f t="shared" si="8"/>
        <v>Collection source event</v>
      </c>
      <c r="D24" t="str">
        <f t="shared" si="9"/>
        <v>mm/dd/yyyy</v>
      </c>
      <c r="E24" s="77">
        <f>IF(IF(Master[[#This Row],[Date Collected or Developed]]="",Master[[#This Row],[Received Date -received by site]],Master[[#This Row],[Date Collected or Developed]])="","",(IF(Master[[#This Row],[Date Collected or Developed]]="",Master[[#This Row],[Received Date -received by site]],Master[[#This Row],[Date Collected or Developed]])))</f>
        <v>44091</v>
      </c>
      <c r="F24" s="76" t="str">
        <f>IF(Master[[#This Row],[Geography (Collection) -Lookup Picker in GRIN]]="","",Master[[#This Row],[Geography (Collection) -Lookup Picker in GRIN]])</f>
        <v>United States, Colorado, Jackson</v>
      </c>
      <c r="G24" t="str">
        <f t="shared" si="10"/>
        <v>Y</v>
      </c>
      <c r="H24" s="45" t="str">
        <f>IF(Master[[#This Row],[Collecting or Acquisition Source - List]]="","",Master[[#This Row],[Collecting or Acquisition Source - List]])</f>
        <v/>
      </c>
      <c r="I24" t="str">
        <f>IF(Master[[#This Row],[Inventory Type - Lookup Picker]]="","",Master[[#This Row],[Inventory Type - Lookup Picker]])</f>
        <v>SD</v>
      </c>
      <c r="J24" s="4">
        <f>IF(Master[[#This Row],[Number Plants Sampled]]="","",Master[[#This Row],[Number Plants Sampled]])</f>
        <v>1500</v>
      </c>
      <c r="K24" s="4" t="str">
        <f>IF(Master[[#This Row],[Environment Description]]="","",Master[[#This Row],[Environment Description]])</f>
        <v/>
      </c>
      <c r="L24" s="4" t="str">
        <f>IF(Master[[#This Row],[Collector Verbatim Locality]]="","",Master[[#This Row],[Collector Verbatim Locality]])</f>
        <v>BLM area/ Dirt road/ From Coalmont on 26, take CO-14 southwest for 9 miles. Turn west onto dirt road with mailbox at the end running parallel to Lawrence Number 1 Ditch. Follow for 0.2 miles and veer south at split in road. Population is 0.15 miles down road, both northwest and southeast sides of road.</v>
      </c>
      <c r="M24" s="4">
        <f>IF(Master[[#This Row],[Elevation (meters)]]=0,"",Master[[#This Row],[Elevation (meters)]])</f>
        <v>2566</v>
      </c>
      <c r="N24" s="55">
        <f>IF(Master[[#This Row],[Latitude -decimal degrees]]="","",Master[[#This Row],[Latitude -decimal degrees]])</f>
        <v>40.444310000000002</v>
      </c>
      <c r="O24" s="55">
        <f>IF(Master[[#This Row],[Longitude -decimal degrees]]="","",Master[[#This Row],[Longitude -decimal degrees]])</f>
        <v>-106.45126</v>
      </c>
      <c r="P24" s="5" t="str">
        <f>IF(Master[[#This Row],[Georeference Datum]]="","",Master[[#This Row],[Georeference Datum]])</f>
        <v>WGS84</v>
      </c>
      <c r="Q24" s="5" t="str">
        <f>IF(Master[[#This Row],[Georeference Protocol - Lookup Picker]]="","",Master[[#This Row],[Georeference Protocol - Lookup Picker]])</f>
        <v>Lat/lon determined by GPS</v>
      </c>
      <c r="R24" s="5" t="str">
        <f>IF(Master[[#This Row],[Associated Species]]="","",Master[[#This Row],[Associated Species]])</f>
        <v>Artemisia tridentata:Lupinus argenteus:Eriogonum umbellatum:Symphoricarpos rotundifolius:Chrysothamnus viscidiflorus</v>
      </c>
      <c r="S24" t="str">
        <f t="shared" si="11"/>
        <v>Y</v>
      </c>
      <c r="T24" s="5" t="str">
        <f>IF(Master[[#This Row],[Note (Accession Source - Collector)]]="","",Master[[#This Row],[Note (Accession Source - Collector)]])</f>
        <v>Gardner, M., Varone, E.</v>
      </c>
      <c r="U24" s="3"/>
      <c r="W24" s="3"/>
      <c r="Y24" s="3"/>
    </row>
    <row r="25" spans="1:25" x14ac:dyDescent="0.25">
      <c r="B25" t="str">
        <f>Master[[#This Row],[Accession Prefix (NPGS)]]&amp;" "&amp;Master[[#This Row],[Accession Number -Assigned]]</f>
        <v>W6 59611</v>
      </c>
      <c r="C25" t="str">
        <f t="shared" si="8"/>
        <v>Collection source event</v>
      </c>
      <c r="D25" t="str">
        <f t="shared" si="9"/>
        <v>mm/dd/yyyy</v>
      </c>
      <c r="E25" s="77">
        <f>IF(IF(Master[[#This Row],[Date Collected or Developed]]="",Master[[#This Row],[Received Date -received by site]],Master[[#This Row],[Date Collected or Developed]])="","",(IF(Master[[#This Row],[Date Collected or Developed]]="",Master[[#This Row],[Received Date -received by site]],Master[[#This Row],[Date Collected or Developed]])))</f>
        <v>44098</v>
      </c>
      <c r="F25" s="76" t="str">
        <f>IF(Master[[#This Row],[Geography (Collection) -Lookup Picker in GRIN]]="","",Master[[#This Row],[Geography (Collection) -Lookup Picker in GRIN]])</f>
        <v>United States, Colorado, Grand</v>
      </c>
      <c r="G25" t="str">
        <f t="shared" si="10"/>
        <v>Y</v>
      </c>
      <c r="H25" s="45" t="str">
        <f>IF(Master[[#This Row],[Collecting or Acquisition Source - List]]="","",Master[[#This Row],[Collecting or Acquisition Source - List]])</f>
        <v/>
      </c>
      <c r="I25" t="str">
        <f>IF(Master[[#This Row],[Inventory Type - Lookup Picker]]="","",Master[[#This Row],[Inventory Type - Lookup Picker]])</f>
        <v>SD</v>
      </c>
      <c r="J25" s="4">
        <f>IF(Master[[#This Row],[Number Plants Sampled]]="","",Master[[#This Row],[Number Plants Sampled]])</f>
        <v>1000</v>
      </c>
      <c r="K25" s="4" t="str">
        <f>IF(Master[[#This Row],[Environment Description]]="","",Master[[#This Row],[Environment Description]])</f>
        <v/>
      </c>
      <c r="L25" s="4" t="str">
        <f>IF(Master[[#This Row],[Collector Verbatim Locality]]="","",Master[[#This Row],[Collector Verbatim Locality]])</f>
        <v>BLM Area/ / Highway 9 to Williams Peak Rd/FS200, go through gate, follow dirt road about 1.5 miles to GPS point. Collected on right/south side continuing uphill</v>
      </c>
      <c r="M25" s="4">
        <f>IF(Master[[#This Row],[Elevation (meters)]]=0,"",Master[[#This Row],[Elevation (meters)]])</f>
        <v>2526</v>
      </c>
      <c r="N25" s="55">
        <f>IF(Master[[#This Row],[Latitude -decimal degrees]]="","",Master[[#This Row],[Latitude -decimal degrees]])</f>
        <v>34.914870000000001</v>
      </c>
      <c r="O25" s="55">
        <f>IF(Master[[#This Row],[Longitude -decimal degrees]]="","",Master[[#This Row],[Longitude -decimal degrees]])</f>
        <v>-106.30195999999999</v>
      </c>
      <c r="P25" s="5" t="str">
        <f>IF(Master[[#This Row],[Georeference Datum]]="","",Master[[#This Row],[Georeference Datum]])</f>
        <v>WGS84</v>
      </c>
      <c r="Q25" s="5" t="str">
        <f>IF(Master[[#This Row],[Georeference Protocol - Lookup Picker]]="","",Master[[#This Row],[Georeference Protocol - Lookup Picker]])</f>
        <v>Lat/lon determined by GPS</v>
      </c>
      <c r="R25" s="5" t="str">
        <f>IF(Master[[#This Row],[Associated Species]]="","",Master[[#This Row],[Associated Species]])</f>
        <v>Artemisia tridentata:Amelanchier alnifolia:Poa sp.:Ericameria nauseosa:Balsamorhiza sagittata:Aster sp.</v>
      </c>
      <c r="S25" t="str">
        <f t="shared" si="11"/>
        <v>Y</v>
      </c>
      <c r="T25" s="5" t="str">
        <f>IF(Master[[#This Row],[Note (Accession Source - Collector)]]="","",Master[[#This Row],[Note (Accession Source - Collector)]])</f>
        <v>Gardner, M., Varone, E.</v>
      </c>
      <c r="U25" s="3"/>
      <c r="W25" s="3"/>
      <c r="Y25" s="3"/>
    </row>
    <row r="26" spans="1:25" x14ac:dyDescent="0.25">
      <c r="B26" t="str">
        <f>Master[[#This Row],[Accession Prefix (NPGS)]]&amp;" "&amp;Master[[#This Row],[Accession Number -Assigned]]</f>
        <v>W6 59612</v>
      </c>
      <c r="C26" t="str">
        <f t="shared" si="8"/>
        <v>Collection source event</v>
      </c>
      <c r="D26" t="str">
        <f t="shared" si="9"/>
        <v>mm/dd/yyyy</v>
      </c>
      <c r="E26" s="77">
        <f>IF(IF(Master[[#This Row],[Date Collected or Developed]]="",Master[[#This Row],[Received Date -received by site]],Master[[#This Row],[Date Collected or Developed]])="","",(IF(Master[[#This Row],[Date Collected or Developed]]="",Master[[#This Row],[Received Date -received by site]],Master[[#This Row],[Date Collected or Developed]])))</f>
        <v>44098</v>
      </c>
      <c r="F26" s="76" t="str">
        <f>IF(Master[[#This Row],[Geography (Collection) -Lookup Picker in GRIN]]="","",Master[[#This Row],[Geography (Collection) -Lookup Picker in GRIN]])</f>
        <v>United States, Colorado, Grand</v>
      </c>
      <c r="G26" t="str">
        <f t="shared" si="10"/>
        <v>Y</v>
      </c>
      <c r="H26" s="45" t="str">
        <f>IF(Master[[#This Row],[Collecting or Acquisition Source - List]]="","",Master[[#This Row],[Collecting or Acquisition Source - List]])</f>
        <v/>
      </c>
      <c r="I26" t="str">
        <f>IF(Master[[#This Row],[Inventory Type - Lookup Picker]]="","",Master[[#This Row],[Inventory Type - Lookup Picker]])</f>
        <v>SD</v>
      </c>
      <c r="J26" s="4">
        <f>IF(Master[[#This Row],[Number Plants Sampled]]="","",Master[[#This Row],[Number Plants Sampled]])</f>
        <v>1000</v>
      </c>
      <c r="K26" s="4" t="str">
        <f>IF(Master[[#This Row],[Environment Description]]="","",Master[[#This Row],[Environment Description]])</f>
        <v/>
      </c>
      <c r="L26" s="4" t="str">
        <f>IF(Master[[#This Row],[Collector Verbatim Locality]]="","",Master[[#This Row],[Collector Verbatim Locality]])</f>
        <v>BLM Area/ / From Kremmling head east on Park Ave/US-40, turn left/north onto 22nd St, continue onto CO HWY 22 for about 8.3 miles, turn left/north onto County Rd 2, follow for about 5.3 miles to GPS point</v>
      </c>
      <c r="M26" s="4">
        <f>IF(Master[[#This Row],[Elevation (meters)]]=0,"",Master[[#This Row],[Elevation (meters)]])</f>
        <v>2528</v>
      </c>
      <c r="N26" s="55">
        <f>IF(Master[[#This Row],[Latitude -decimal degrees]]="","",Master[[#This Row],[Latitude -decimal degrees]])</f>
        <v>40.201250000000002</v>
      </c>
      <c r="O26" s="55">
        <f>IF(Master[[#This Row],[Longitude -decimal degrees]]="","",Master[[#This Row],[Longitude -decimal degrees]])</f>
        <v>-106.33041</v>
      </c>
      <c r="P26" s="5" t="str">
        <f>IF(Master[[#This Row],[Georeference Datum]]="","",Master[[#This Row],[Georeference Datum]])</f>
        <v>WGS84</v>
      </c>
      <c r="Q26" s="5" t="str">
        <f>IF(Master[[#This Row],[Georeference Protocol - Lookup Picker]]="","",Master[[#This Row],[Georeference Protocol - Lookup Picker]])</f>
        <v>Lat/lon determined by GPS</v>
      </c>
      <c r="R26" s="5" t="str">
        <f>IF(Master[[#This Row],[Associated Species]]="","",Master[[#This Row],[Associated Species]])</f>
        <v>Artemisia tridentata:Symphoricarpos rotundifolius:Amelanchier alnifolia:Eriogonum umbellatum:Ericameria parryi:Chrysothamnus viscidiflorus:Achillea millefolium:Populus tremuloides:Poa sp.</v>
      </c>
      <c r="S26" t="str">
        <f t="shared" si="11"/>
        <v>Y</v>
      </c>
      <c r="T26" s="5" t="str">
        <f>IF(Master[[#This Row],[Note (Accession Source - Collector)]]="","",Master[[#This Row],[Note (Accession Source - Collector)]])</f>
        <v>Gardner, M., Varone, E.</v>
      </c>
      <c r="U26" s="3"/>
      <c r="W26" s="3"/>
      <c r="Y26" s="3"/>
    </row>
    <row r="27" spans="1:25" x14ac:dyDescent="0.25">
      <c r="B27" t="str">
        <f>Master[[#This Row],[Accession Prefix (NPGS)]]&amp;" "&amp;Master[[#This Row],[Accession Number -Assigned]]</f>
        <v>W6 59613</v>
      </c>
      <c r="C27" t="str">
        <f t="shared" si="8"/>
        <v>Collection source event</v>
      </c>
      <c r="D27" t="str">
        <f t="shared" si="9"/>
        <v>mm/dd/yyyy</v>
      </c>
      <c r="E27" s="77">
        <f>IF(IF(Master[[#This Row],[Date Collected or Developed]]="",Master[[#This Row],[Received Date -received by site]],Master[[#This Row],[Date Collected or Developed]])="","",(IF(Master[[#This Row],[Date Collected or Developed]]="",Master[[#This Row],[Received Date -received by site]],Master[[#This Row],[Date Collected or Developed]])))</f>
        <v>44104</v>
      </c>
      <c r="F27" s="76" t="str">
        <f>IF(Master[[#This Row],[Geography (Collection) -Lookup Picker in GRIN]]="","",Master[[#This Row],[Geography (Collection) -Lookup Picker in GRIN]])</f>
        <v>United States, Colorado, Eagle</v>
      </c>
      <c r="G27" t="str">
        <f t="shared" si="10"/>
        <v>Y</v>
      </c>
      <c r="H27" s="45" t="str">
        <f>IF(Master[[#This Row],[Collecting or Acquisition Source - List]]="","",Master[[#This Row],[Collecting or Acquisition Source - List]])</f>
        <v/>
      </c>
      <c r="I27" t="str">
        <f>IF(Master[[#This Row],[Inventory Type - Lookup Picker]]="","",Master[[#This Row],[Inventory Type - Lookup Picker]])</f>
        <v>SD</v>
      </c>
      <c r="J27" s="4">
        <f>IF(Master[[#This Row],[Number Plants Sampled]]="","",Master[[#This Row],[Number Plants Sampled]])</f>
        <v>1000</v>
      </c>
      <c r="K27" s="4" t="str">
        <f>IF(Master[[#This Row],[Environment Description]]="","",Master[[#This Row],[Environment Description]])</f>
        <v/>
      </c>
      <c r="L27" s="4" t="str">
        <f>IF(Master[[#This Row],[Collector Verbatim Locality]]="","",Master[[#This Row],[Collector Verbatim Locality]])</f>
        <v>BLM area/ Dirt road/ Take CO-131 south from Toponas, turn south west on Colorado River Rd, follow for 1.4 miles and turn north 8600. Follow 8600 for 0.4 miles taking the two-track northwest. Stop at Y. Population is about 0.1 miles on both west and east sides of ditch spreading up the hillsides.</v>
      </c>
      <c r="M27" s="4">
        <f>IF(Master[[#This Row],[Elevation (meters)]]=0,"",Master[[#This Row],[Elevation (meters)]])</f>
        <v>2045</v>
      </c>
      <c r="N27" s="55">
        <f>IF(Master[[#This Row],[Latitude -decimal degrees]]="","",Master[[#This Row],[Latitude -decimal degrees]])</f>
        <v>39.910409999999999</v>
      </c>
      <c r="O27" s="55">
        <f>IF(Master[[#This Row],[Longitude -decimal degrees]]="","",Master[[#This Row],[Longitude -decimal degrees]])</f>
        <v>-106.75167</v>
      </c>
      <c r="P27" s="5" t="str">
        <f>IF(Master[[#This Row],[Georeference Datum]]="","",Master[[#This Row],[Georeference Datum]])</f>
        <v>WGS84</v>
      </c>
      <c r="Q27" s="5" t="str">
        <f>IF(Master[[#This Row],[Georeference Protocol - Lookup Picker]]="","",Master[[#This Row],[Georeference Protocol - Lookup Picker]])</f>
        <v>Lat/lon determined by GPS</v>
      </c>
      <c r="R27" s="5" t="str">
        <f>IF(Master[[#This Row],[Associated Species]]="","",Master[[#This Row],[Associated Species]])</f>
        <v>Artemisia tridentata:Artemisia nova:Juniperus scopulorum:Senecio spartioides:Pinus edulis:Ericameria nauseosa:Astragalus pardalinus:Opuntia sp.</v>
      </c>
      <c r="S27" t="str">
        <f t="shared" si="11"/>
        <v>Y</v>
      </c>
      <c r="T27" s="5" t="str">
        <f>IF(Master[[#This Row],[Note (Accession Source - Collector)]]="","",Master[[#This Row],[Note (Accession Source - Collector)]])</f>
        <v>Gardner, M., Varone, E.</v>
      </c>
      <c r="U27" s="3"/>
      <c r="W27" s="3"/>
      <c r="Y27" s="3"/>
    </row>
    <row r="28" spans="1:25" x14ac:dyDescent="0.25">
      <c r="B28" t="str">
        <f>Master[[#This Row],[Accession Prefix (NPGS)]]&amp;" "&amp;Master[[#This Row],[Accession Number -Assigned]]</f>
        <v>W6 59614</v>
      </c>
      <c r="C28" t="str">
        <f t="shared" si="8"/>
        <v>Collection source event</v>
      </c>
      <c r="D28" t="str">
        <f t="shared" si="9"/>
        <v>mm/dd/yyyy</v>
      </c>
      <c r="E28" s="77">
        <f>IF(IF(Master[[#This Row],[Date Collected or Developed]]="",Master[[#This Row],[Received Date -received by site]],Master[[#This Row],[Date Collected or Developed]])="","",(IF(Master[[#This Row],[Date Collected or Developed]]="",Master[[#This Row],[Received Date -received by site]],Master[[#This Row],[Date Collected or Developed]])))</f>
        <v>44104</v>
      </c>
      <c r="F28" s="76" t="str">
        <f>IF(Master[[#This Row],[Geography (Collection) -Lookup Picker in GRIN]]="","",Master[[#This Row],[Geography (Collection) -Lookup Picker in GRIN]])</f>
        <v>United States, Colorado, Eagle</v>
      </c>
      <c r="G28" t="str">
        <f t="shared" si="10"/>
        <v>Y</v>
      </c>
      <c r="H28" s="45" t="str">
        <f>IF(Master[[#This Row],[Collecting or Acquisition Source - List]]="","",Master[[#This Row],[Collecting or Acquisition Source - List]])</f>
        <v/>
      </c>
      <c r="I28" t="str">
        <f>IF(Master[[#This Row],[Inventory Type - Lookup Picker]]="","",Master[[#This Row],[Inventory Type - Lookup Picker]])</f>
        <v>SD</v>
      </c>
      <c r="J28" s="4">
        <f>IF(Master[[#This Row],[Number Plants Sampled]]="","",Master[[#This Row],[Number Plants Sampled]])</f>
        <v>2000</v>
      </c>
      <c r="K28" s="4" t="str">
        <f>IF(Master[[#This Row],[Environment Description]]="","",Master[[#This Row],[Environment Description]])</f>
        <v/>
      </c>
      <c r="L28" s="4" t="str">
        <f>IF(Master[[#This Row],[Collector Verbatim Locality]]="","",Master[[#This Row],[Collector Verbatim Locality]])</f>
        <v>BLM Area/ / From Toponas, head south on CO-131 S, after about 2 miles take a right/west onto Colorado River Rd, follow for about 1.5 miles then take a right/north onto 8600, follow for about .4 miles, park and walk out to GPS point</v>
      </c>
      <c r="M28" s="4">
        <f>IF(Master[[#This Row],[Elevation (meters)]]=0,"",Master[[#This Row],[Elevation (meters)]])</f>
        <v>2045</v>
      </c>
      <c r="N28" s="55">
        <f>IF(Master[[#This Row],[Latitude -decimal degrees]]="","",Master[[#This Row],[Latitude -decimal degrees]])</f>
        <v>39.910420000000002</v>
      </c>
      <c r="O28" s="55">
        <f>IF(Master[[#This Row],[Longitude -decimal degrees]]="","",Master[[#This Row],[Longitude -decimal degrees]])</f>
        <v>-106.75167999999999</v>
      </c>
      <c r="P28" s="5" t="str">
        <f>IF(Master[[#This Row],[Georeference Datum]]="","",Master[[#This Row],[Georeference Datum]])</f>
        <v>WGS84</v>
      </c>
      <c r="Q28" s="5" t="str">
        <f>IF(Master[[#This Row],[Georeference Protocol - Lookup Picker]]="","",Master[[#This Row],[Georeference Protocol - Lookup Picker]])</f>
        <v>Lat/lon determined by GPS</v>
      </c>
      <c r="R28" s="5" t="str">
        <f>IF(Master[[#This Row],[Associated Species]]="","",Master[[#This Row],[Associated Species]])</f>
        <v>Artemisia tridentata:Chrysothamnus viscidiflorus:Senecio spartioides:Juniperus sp.:Pinus sp.:Aster sp.:Poa sp.:Opuntia sp.:Astragalus sp.</v>
      </c>
      <c r="S28" t="str">
        <f t="shared" si="11"/>
        <v>Y</v>
      </c>
      <c r="T28" s="5" t="str">
        <f>IF(Master[[#This Row],[Note (Accession Source - Collector)]]="","",Master[[#This Row],[Note (Accession Source - Collector)]])</f>
        <v>Gardner, M., Varone, E.</v>
      </c>
      <c r="U28" s="3"/>
      <c r="W28" s="3"/>
      <c r="Y28" s="3"/>
    </row>
    <row r="29" spans="1:25" x14ac:dyDescent="0.25">
      <c r="B29" t="str">
        <f>Master[[#This Row],[Accession Prefix (NPGS)]]&amp;" "&amp;Master[[#This Row],[Accession Number -Assigned]]</f>
        <v>W6 59615</v>
      </c>
      <c r="C29" t="str">
        <f t="shared" si="8"/>
        <v>Collection source event</v>
      </c>
      <c r="D29" t="str">
        <f t="shared" si="9"/>
        <v>mm/dd/yyyy</v>
      </c>
      <c r="E29" s="77">
        <f>IF(IF(Master[[#This Row],[Date Collected or Developed]]="",Master[[#This Row],[Received Date -received by site]],Master[[#This Row],[Date Collected or Developed]])="","",(IF(Master[[#This Row],[Date Collected or Developed]]="",Master[[#This Row],[Received Date -received by site]],Master[[#This Row],[Date Collected or Developed]])))</f>
        <v>44112</v>
      </c>
      <c r="F29" s="76" t="str">
        <f>IF(Master[[#This Row],[Geography (Collection) -Lookup Picker in GRIN]]="","",Master[[#This Row],[Geography (Collection) -Lookup Picker in GRIN]])</f>
        <v>United States, Colorado, Grand</v>
      </c>
      <c r="G29" t="str">
        <f t="shared" si="10"/>
        <v>Y</v>
      </c>
      <c r="H29" s="45" t="str">
        <f>IF(Master[[#This Row],[Collecting or Acquisition Source - List]]="","",Master[[#This Row],[Collecting or Acquisition Source - List]])</f>
        <v/>
      </c>
      <c r="I29" t="str">
        <f>IF(Master[[#This Row],[Inventory Type - Lookup Picker]]="","",Master[[#This Row],[Inventory Type - Lookup Picker]])</f>
        <v>SD</v>
      </c>
      <c r="J29" s="4">
        <f>IF(Master[[#This Row],[Number Plants Sampled]]="","",Master[[#This Row],[Number Plants Sampled]])</f>
        <v>2000</v>
      </c>
      <c r="K29" s="4" t="str">
        <f>IF(Master[[#This Row],[Environment Description]]="","",Master[[#This Row],[Environment Description]])</f>
        <v/>
      </c>
      <c r="L29" s="4" t="str">
        <f>IF(Master[[#This Row],[Collector Verbatim Locality]]="","",Master[[#This Row],[Collector Verbatim Locality]])</f>
        <v>BLM Area/ / From Kremmling head south on CO-9S/6th St for about 2 miles, turn left/east onto CO HWY 33, follow for 6 miles to pull off on left/north, park and walk over to GPS point</v>
      </c>
      <c r="M29" s="4">
        <f>IF(Master[[#This Row],[Elevation (meters)]]=0,"",Master[[#This Row],[Elevation (meters)]])</f>
        <v>2306</v>
      </c>
      <c r="N29" s="55">
        <f>IF(Master[[#This Row],[Latitude -decimal degrees]]="","",Master[[#This Row],[Latitude -decimal degrees]])</f>
        <v>40.460680000000004</v>
      </c>
      <c r="O29" s="55">
        <f>IF(Master[[#This Row],[Longitude -decimal degrees]]="","",Master[[#This Row],[Longitude -decimal degrees]])</f>
        <v>-106.26926</v>
      </c>
      <c r="P29" s="5" t="str">
        <f>IF(Master[[#This Row],[Georeference Datum]]="","",Master[[#This Row],[Georeference Datum]])</f>
        <v>WGS84</v>
      </c>
      <c r="Q29" s="5" t="str">
        <f>IF(Master[[#This Row],[Georeference Protocol - Lookup Picker]]="","",Master[[#This Row],[Georeference Protocol - Lookup Picker]])</f>
        <v>Lat/lon determined by GPS</v>
      </c>
      <c r="R29" s="5" t="str">
        <f>IF(Master[[#This Row],[Associated Species]]="","",Master[[#This Row],[Associated Species]])</f>
        <v>Artemisia tridentata:Populus tremuloides:Chrysothamnus viscidiflorus:Salix sp.:Carex sp.:Juncus sp.:Juniperus sp.:Bromus sp.:Poa sp.</v>
      </c>
      <c r="S29" t="str">
        <f t="shared" si="11"/>
        <v>Y</v>
      </c>
      <c r="T29" s="5" t="str">
        <f>IF(Master[[#This Row],[Note (Accession Source - Collector)]]="","",Master[[#This Row],[Note (Accession Source - Collector)]])</f>
        <v>Gardner, M., Varone, E.</v>
      </c>
      <c r="U29" s="3"/>
      <c r="W29" s="3"/>
      <c r="Y29" s="3"/>
    </row>
    <row r="30" spans="1:25" x14ac:dyDescent="0.25">
      <c r="B30" t="str">
        <f>Master[[#This Row],[Accession Prefix (NPGS)]]&amp;" "&amp;Master[[#This Row],[Accession Number -Assigned]]</f>
        <v>W6 59616</v>
      </c>
      <c r="C30" t="str">
        <f t="shared" si="8"/>
        <v>Collection source event</v>
      </c>
      <c r="D30" t="str">
        <f t="shared" si="9"/>
        <v>mm/dd/yyyy</v>
      </c>
      <c r="E30" s="77">
        <f>IF(IF(Master[[#This Row],[Date Collected or Developed]]="",Master[[#This Row],[Received Date -received by site]],Master[[#This Row],[Date Collected or Developed]])="","",(IF(Master[[#This Row],[Date Collected or Developed]]="",Master[[#This Row],[Received Date -received by site]],Master[[#This Row],[Date Collected or Developed]])))</f>
        <v>44126</v>
      </c>
      <c r="F30" s="76" t="str">
        <f>IF(Master[[#This Row],[Geography (Collection) -Lookup Picker in GRIN]]="","",Master[[#This Row],[Geography (Collection) -Lookup Picker in GRIN]])</f>
        <v>United States, Colorado, Routt</v>
      </c>
      <c r="G30" t="str">
        <f t="shared" si="10"/>
        <v>Y</v>
      </c>
      <c r="H30" s="45" t="str">
        <f>IF(Master[[#This Row],[Collecting or Acquisition Source - List]]="","",Master[[#This Row],[Collecting or Acquisition Source - List]])</f>
        <v/>
      </c>
      <c r="I30" t="str">
        <f>IF(Master[[#This Row],[Inventory Type - Lookup Picker]]="","",Master[[#This Row],[Inventory Type - Lookup Picker]])</f>
        <v>SD</v>
      </c>
      <c r="J30" s="4">
        <f>IF(Master[[#This Row],[Number Plants Sampled]]="","",Master[[#This Row],[Number Plants Sampled]])</f>
        <v>1000</v>
      </c>
      <c r="K30" s="4" t="str">
        <f>IF(Master[[#This Row],[Environment Description]]="","",Master[[#This Row],[Environment Description]])</f>
        <v/>
      </c>
      <c r="L30" s="4" t="str">
        <f>IF(Master[[#This Row],[Collector Verbatim Locality]]="","",Master[[#This Row],[Collector Verbatim Locality]])</f>
        <v>BLM Area/ Ridge Trail/ From Steamboat Springs take US-40W/S Lincoln Ave north, turn left/northwest onto 13th St, continue onto CO Rd 33, turn left/south onto CO Rd 45, for .9 miles to Emerald Mountain, park in the lot and walk up the multi-use trail, species is in lot and follows trails</v>
      </c>
      <c r="M30" s="4">
        <f>IF(Master[[#This Row],[Elevation (meters)]]=0,"",Master[[#This Row],[Elevation (meters)]])</f>
        <v>2085</v>
      </c>
      <c r="N30" s="55">
        <f>IF(Master[[#This Row],[Latitude -decimal degrees]]="","",Master[[#This Row],[Latitude -decimal degrees]])</f>
        <v>40.454320000000003</v>
      </c>
      <c r="O30" s="55">
        <f>IF(Master[[#This Row],[Longitude -decimal degrees]]="","",Master[[#This Row],[Longitude -decimal degrees]])</f>
        <v>-106.91705</v>
      </c>
      <c r="P30" s="5" t="str">
        <f>IF(Master[[#This Row],[Georeference Datum]]="","",Master[[#This Row],[Georeference Datum]])</f>
        <v>WGS84</v>
      </c>
      <c r="Q30" s="5" t="str">
        <f>IF(Master[[#This Row],[Georeference Protocol - Lookup Picker]]="","",Master[[#This Row],[Georeference Protocol - Lookup Picker]])</f>
        <v>Lat/lon determined by GPS</v>
      </c>
      <c r="R30" s="5" t="str">
        <f>IF(Master[[#This Row],[Associated Species]]="","",Master[[#This Row],[Associated Species]])</f>
        <v>Wyethia arizonica:Aster sp.:Quercus sp.:Populus tremuloides:Pinus sp.:Lupinus sp.:Poa sp.:Pascopyrum smithii</v>
      </c>
      <c r="S30" t="str">
        <f t="shared" si="11"/>
        <v>Y</v>
      </c>
      <c r="T30" s="5" t="str">
        <f>IF(Master[[#This Row],[Note (Accession Source - Collector)]]="","",Master[[#This Row],[Note (Accession Source - Collector)]])</f>
        <v>Gardner, M., Varone, E.</v>
      </c>
      <c r="U30" s="3"/>
      <c r="W30" s="3"/>
      <c r="Y30" s="3"/>
    </row>
    <row r="31" spans="1:25" x14ac:dyDescent="0.25">
      <c r="B31" t="str">
        <f>Master[[#This Row],[Accession Prefix (NPGS)]]&amp;" "&amp;Master[[#This Row],[Accession Number -Assigned]]</f>
        <v>W6 59617</v>
      </c>
      <c r="C31" t="str">
        <f t="shared" si="8"/>
        <v>Collection source event</v>
      </c>
      <c r="D31" t="str">
        <f t="shared" si="9"/>
        <v>mm/dd/yyyy</v>
      </c>
      <c r="E31" s="77">
        <f>IF(IF(Master[[#This Row],[Date Collected or Developed]]="",Master[[#This Row],[Received Date -received by site]],Master[[#This Row],[Date Collected or Developed]])="","",(IF(Master[[#This Row],[Date Collected or Developed]]="",Master[[#This Row],[Received Date -received by site]],Master[[#This Row],[Date Collected or Developed]])))</f>
        <v>44068</v>
      </c>
      <c r="F31" s="76" t="str">
        <f>IF(Master[[#This Row],[Geography (Collection) -Lookup Picker in GRIN]]="","",Master[[#This Row],[Geography (Collection) -Lookup Picker in GRIN]])</f>
        <v>United States, California, Mono</v>
      </c>
      <c r="G31" t="str">
        <f t="shared" si="10"/>
        <v>Y</v>
      </c>
      <c r="H31" s="45" t="str">
        <f>IF(Master[[#This Row],[Collecting or Acquisition Source - List]]="","",Master[[#This Row],[Collecting or Acquisition Source - List]])</f>
        <v/>
      </c>
      <c r="I31" t="str">
        <f>IF(Master[[#This Row],[Inventory Type - Lookup Picker]]="","",Master[[#This Row],[Inventory Type - Lookup Picker]])</f>
        <v>SD</v>
      </c>
      <c r="J31" s="4">
        <f>IF(Master[[#This Row],[Number Plants Sampled]]="","",Master[[#This Row],[Number Plants Sampled]])</f>
        <v>200</v>
      </c>
      <c r="K31" s="4" t="str">
        <f>IF(Master[[#This Row],[Environment Description]]="","",Master[[#This Row],[Environment Description]])</f>
        <v/>
      </c>
      <c r="L31" s="4" t="str">
        <f>IF(Master[[#This Row],[Collector Verbatim Locality]]="","",Master[[#This Row],[Collector Verbatim Locality]])</f>
        <v>Inyo National Forest/ Mono Lake/ Grassy area near lakeshore. North of large rabbitbrush patch.</v>
      </c>
      <c r="M31" s="4">
        <f>IF(Master[[#This Row],[Elevation (meters)]]=0,"",Master[[#This Row],[Elevation (meters)]])</f>
        <v>1947.672</v>
      </c>
      <c r="N31" s="55">
        <f>IF(Master[[#This Row],[Latitude -decimal degrees]]="","",Master[[#This Row],[Latitude -decimal degrees]])</f>
        <v>38.052909999999997</v>
      </c>
      <c r="O31" s="55">
        <f>IF(Master[[#This Row],[Longitude -decimal degrees]]="","",Master[[#This Row],[Longitude -decimal degrees]])</f>
        <v>-119.07544</v>
      </c>
      <c r="P31" s="5" t="str">
        <f>IF(Master[[#This Row],[Georeference Datum]]="","",Master[[#This Row],[Georeference Datum]])</f>
        <v>Google Map</v>
      </c>
      <c r="Q31" s="5" t="str">
        <f>IF(Master[[#This Row],[Georeference Protocol - Lookup Picker]]="","",Master[[#This Row],[Georeference Protocol - Lookup Picker]])</f>
        <v>Lat/Lon determined via Map location</v>
      </c>
      <c r="R31" s="5" t="str">
        <f>IF(Master[[#This Row],[Associated Species]]="","",Master[[#This Row],[Associated Species]])</f>
        <v>Distichlis sp.:Hordeum jubatum:Sarcobatus vermiculatus:Sarcobatus sp.</v>
      </c>
      <c r="S31" t="str">
        <f t="shared" si="11"/>
        <v>Y</v>
      </c>
      <c r="T31" s="5" t="str">
        <f>IF(Master[[#This Row],[Note (Accession Source - Collector)]]="","",Master[[#This Row],[Note (Accession Source - Collector)]])</f>
        <v>McCreary, M., Mahlmeister, K.</v>
      </c>
      <c r="U31" s="3"/>
      <c r="W31" s="3"/>
      <c r="Y31" s="3"/>
    </row>
    <row r="32" spans="1:25" x14ac:dyDescent="0.25">
      <c r="B32" t="str">
        <f>Master[[#This Row],[Accession Prefix (NPGS)]]&amp;" "&amp;Master[[#This Row],[Accession Number -Assigned]]</f>
        <v>W6 59618</v>
      </c>
      <c r="C32" t="str">
        <f t="shared" si="8"/>
        <v>Collection source event</v>
      </c>
      <c r="D32" t="str">
        <f t="shared" si="9"/>
        <v>mm/dd/yyyy</v>
      </c>
      <c r="E32" s="77">
        <f>IF(IF(Master[[#This Row],[Date Collected or Developed]]="",Master[[#This Row],[Received Date -received by site]],Master[[#This Row],[Date Collected or Developed]])="","",(IF(Master[[#This Row],[Date Collected or Developed]]="",Master[[#This Row],[Received Date -received by site]],Master[[#This Row],[Date Collected or Developed]])))</f>
        <v>44076</v>
      </c>
      <c r="F32" s="76" t="str">
        <f>IF(Master[[#This Row],[Geography (Collection) -Lookup Picker in GRIN]]="","",Master[[#This Row],[Geography (Collection) -Lookup Picker in GRIN]])</f>
        <v>United States, California, Mono</v>
      </c>
      <c r="G32" t="str">
        <f t="shared" si="10"/>
        <v>Y</v>
      </c>
      <c r="H32" s="45" t="str">
        <f>IF(Master[[#This Row],[Collecting or Acquisition Source - List]]="","",Master[[#This Row],[Collecting or Acquisition Source - List]])</f>
        <v/>
      </c>
      <c r="I32" t="str">
        <f>IF(Master[[#This Row],[Inventory Type - Lookup Picker]]="","",Master[[#This Row],[Inventory Type - Lookup Picker]])</f>
        <v>SD</v>
      </c>
      <c r="J32" s="4">
        <f>IF(Master[[#This Row],[Number Plants Sampled]]="","",Master[[#This Row],[Number Plants Sampled]])</f>
        <v>5000</v>
      </c>
      <c r="K32" s="4" t="str">
        <f>IF(Master[[#This Row],[Environment Description]]="","",Master[[#This Row],[Environment Description]])</f>
        <v/>
      </c>
      <c r="L32" s="4" t="str">
        <f>IF(Master[[#This Row],[Collector Verbatim Locality]]="","",Master[[#This Row],[Collector Verbatim Locality]])</f>
        <v>Inyo National Forest/ Grant Lake/ End of service road. West of 158, drive to turnaround point, hike East towards Grant Lake Marina, between road and first "shelf"/plateau</v>
      </c>
      <c r="M32" s="4">
        <f>IF(Master[[#This Row],[Elevation (meters)]]=0,"",Master[[#This Row],[Elevation (meters)]])</f>
        <v>2301.2400000000002</v>
      </c>
      <c r="N32" s="55">
        <f>IF(Master[[#This Row],[Latitude -decimal degrees]]="","",Master[[#This Row],[Latitude -decimal degrees]])</f>
        <v>37.834879999999998</v>
      </c>
      <c r="O32" s="55">
        <f>IF(Master[[#This Row],[Longitude -decimal degrees]]="","",Master[[#This Row],[Longitude -decimal degrees]])</f>
        <v>-119.12738</v>
      </c>
      <c r="P32" s="5" t="str">
        <f>IF(Master[[#This Row],[Georeference Datum]]="","",Master[[#This Row],[Georeference Datum]])</f>
        <v>Google Map</v>
      </c>
      <c r="Q32" s="5" t="str">
        <f>IF(Master[[#This Row],[Georeference Protocol - Lookup Picker]]="","",Master[[#This Row],[Georeference Protocol - Lookup Picker]])</f>
        <v>Lat/Lon determined via Map location</v>
      </c>
      <c r="R32" s="5" t="str">
        <f>IF(Master[[#This Row],[Associated Species]]="","",Master[[#This Row],[Associated Species]])</f>
        <v>Purshia tridentata:Artemisia tridentata:Ribes cereum</v>
      </c>
      <c r="S32" t="str">
        <f t="shared" si="11"/>
        <v>Y</v>
      </c>
      <c r="T32" s="5" t="str">
        <f>IF(Master[[#This Row],[Note (Accession Source - Collector)]]="","",Master[[#This Row],[Note (Accession Source - Collector)]])</f>
        <v>McCreary, M., Mahlmeister, K.</v>
      </c>
      <c r="U32" s="3"/>
      <c r="W32" s="3"/>
      <c r="Y32" s="3"/>
    </row>
    <row r="33" spans="2:25" x14ac:dyDescent="0.25">
      <c r="B33" t="str">
        <f>Master[[#This Row],[Accession Prefix (NPGS)]]&amp;" "&amp;Master[[#This Row],[Accession Number -Assigned]]</f>
        <v>W6 59619</v>
      </c>
      <c r="C33" t="str">
        <f t="shared" si="8"/>
        <v>Collection source event</v>
      </c>
      <c r="D33" t="str">
        <f t="shared" si="9"/>
        <v>mm/dd/yyyy</v>
      </c>
      <c r="E33" s="77">
        <f>IF(IF(Master[[#This Row],[Date Collected or Developed]]="",Master[[#This Row],[Received Date -received by site]],Master[[#This Row],[Date Collected or Developed]])="","",(IF(Master[[#This Row],[Date Collected or Developed]]="",Master[[#This Row],[Received Date -received by site]],Master[[#This Row],[Date Collected or Developed]])))</f>
        <v>44077</v>
      </c>
      <c r="F33" s="76" t="str">
        <f>IF(Master[[#This Row],[Geography (Collection) -Lookup Picker in GRIN]]="","",Master[[#This Row],[Geography (Collection) -Lookup Picker in GRIN]])</f>
        <v>United States, California, Mono</v>
      </c>
      <c r="G33" t="str">
        <f t="shared" si="10"/>
        <v>Y</v>
      </c>
      <c r="H33" s="45" t="str">
        <f>IF(Master[[#This Row],[Collecting or Acquisition Source - List]]="","",Master[[#This Row],[Collecting or Acquisition Source - List]])</f>
        <v/>
      </c>
      <c r="I33" t="str">
        <f>IF(Master[[#This Row],[Inventory Type - Lookup Picker]]="","",Master[[#This Row],[Inventory Type - Lookup Picker]])</f>
        <v>SD</v>
      </c>
      <c r="J33" s="4">
        <f>IF(Master[[#This Row],[Number Plants Sampled]]="","",Master[[#This Row],[Number Plants Sampled]])</f>
        <v>500</v>
      </c>
      <c r="K33" s="4" t="str">
        <f>IF(Master[[#This Row],[Environment Description]]="","",Master[[#This Row],[Environment Description]])</f>
        <v/>
      </c>
      <c r="L33" s="4" t="str">
        <f>IF(Master[[#This Row],[Collector Verbatim Locality]]="","",Master[[#This Row],[Collector Verbatim Locality]])</f>
        <v>Inyo National Forest/ Mono Craters/ From 395 S, turn east onto HWY 120. Follow 120 for approx. 3 miles. Then turn left onto Mono Craters road. Follow dirt road for approx. 0.3 miles, keeping left at fork. Road ends in parking area. Follow hiking path around the mountain and up through the valley for approx. 1.5 miles, Plants are on either side of trail up and down slope.</v>
      </c>
      <c r="M33" s="4">
        <f>IF(Master[[#This Row],[Elevation (meters)]]=0,"",Master[[#This Row],[Elevation (meters)]])</f>
        <v>2208.5808000000002</v>
      </c>
      <c r="N33" s="55">
        <f>IF(Master[[#This Row],[Latitude -decimal degrees]]="","",Master[[#This Row],[Latitude -decimal degrees]])</f>
        <v>37.850439999999999</v>
      </c>
      <c r="O33" s="55">
        <f>IF(Master[[#This Row],[Longitude -decimal degrees]]="","",Master[[#This Row],[Longitude -decimal degrees]])</f>
        <v>-119.08277</v>
      </c>
      <c r="P33" s="5" t="str">
        <f>IF(Master[[#This Row],[Georeference Datum]]="","",Master[[#This Row],[Georeference Datum]])</f>
        <v>Google Map</v>
      </c>
      <c r="Q33" s="5" t="str">
        <f>IF(Master[[#This Row],[Georeference Protocol - Lookup Picker]]="","",Master[[#This Row],[Georeference Protocol - Lookup Picker]])</f>
        <v>Lat/Lon determined via Map location</v>
      </c>
      <c r="R33" s="5" t="str">
        <f>IF(Master[[#This Row],[Associated Species]]="","",Master[[#This Row],[Associated Species]])</f>
        <v>Purshia tridentata:Chrysothamnus viscidiflorus:Artemisia tridentata ssp. vaseyana:Pinus jeffreyi:Achnatherum hymenoides:Eriogonum umbellatum</v>
      </c>
      <c r="S33" t="str">
        <f t="shared" si="11"/>
        <v>Y</v>
      </c>
      <c r="T33" s="5" t="str">
        <f>IF(Master[[#This Row],[Note (Accession Source - Collector)]]="","",Master[[#This Row],[Note (Accession Source - Collector)]])</f>
        <v>McCreary, M., Mahlmeister, K., Tonenna, D.</v>
      </c>
      <c r="U33" s="3"/>
      <c r="W33" s="3"/>
      <c r="Y33" s="3"/>
    </row>
    <row r="34" spans="2:25" x14ac:dyDescent="0.25">
      <c r="B34" t="str">
        <f>Master[[#This Row],[Accession Prefix (NPGS)]]&amp;" "&amp;Master[[#This Row],[Accession Number -Assigned]]</f>
        <v>W6 59620</v>
      </c>
      <c r="C34" t="str">
        <f t="shared" si="8"/>
        <v>Collection source event</v>
      </c>
      <c r="D34" t="str">
        <f t="shared" si="9"/>
        <v>mm/dd/yyyy</v>
      </c>
      <c r="E34" s="77">
        <f>IF(IF(Master[[#This Row],[Date Collected or Developed]]="",Master[[#This Row],[Received Date -received by site]],Master[[#This Row],[Date Collected or Developed]])="","",(IF(Master[[#This Row],[Date Collected or Developed]]="",Master[[#This Row],[Received Date -received by site]],Master[[#This Row],[Date Collected or Developed]])))</f>
        <v>44084</v>
      </c>
      <c r="F34" s="76" t="str">
        <f>IF(Master[[#This Row],[Geography (Collection) -Lookup Picker in GRIN]]="","",Master[[#This Row],[Geography (Collection) -Lookup Picker in GRIN]])</f>
        <v>United States, Nevada, Washoe</v>
      </c>
      <c r="G34" t="str">
        <f t="shared" si="10"/>
        <v>Y</v>
      </c>
      <c r="H34" s="45" t="str">
        <f>IF(Master[[#This Row],[Collecting or Acquisition Source - List]]="","",Master[[#This Row],[Collecting or Acquisition Source - List]])</f>
        <v/>
      </c>
      <c r="I34" t="str">
        <f>IF(Master[[#This Row],[Inventory Type - Lookup Picker]]="","",Master[[#This Row],[Inventory Type - Lookup Picker]])</f>
        <v>SD</v>
      </c>
      <c r="J34" s="4">
        <f>IF(Master[[#This Row],[Number Plants Sampled]]="","",Master[[#This Row],[Number Plants Sampled]])</f>
        <v>75</v>
      </c>
      <c r="K34" s="4" t="str">
        <f>IF(Master[[#This Row],[Environment Description]]="","",Master[[#This Row],[Environment Description]])</f>
        <v>Grazed:Human foot traffic</v>
      </c>
      <c r="L34" s="4" t="str">
        <f>IF(Master[[#This Row],[Collector Verbatim Locality]]="","",Master[[#This Row],[Collector Verbatim Locality]])</f>
        <v>Washoe Lake State Park/ Miner's Mayhem parking lot/ West of Eastlake Blvd., off of County road 222. Around parking lot with mine maze and between this parking lot and the group area parking lot.</v>
      </c>
      <c r="M34" s="4">
        <f>IF(Master[[#This Row],[Elevation (meters)]]=0,"",Master[[#This Row],[Elevation (meters)]])</f>
        <v>1534.0584000000001</v>
      </c>
      <c r="N34" s="55">
        <f>IF(Master[[#This Row],[Latitude -decimal degrees]]="","",Master[[#This Row],[Latitude -decimal degrees]])</f>
        <v>39.239249999999998</v>
      </c>
      <c r="O34" s="55">
        <f>IF(Master[[#This Row],[Longitude -decimal degrees]]="","",Master[[#This Row],[Longitude -decimal degrees]])</f>
        <v>-119.76730000000001</v>
      </c>
      <c r="P34" s="5" t="str">
        <f>IF(Master[[#This Row],[Georeference Datum]]="","",Master[[#This Row],[Georeference Datum]])</f>
        <v/>
      </c>
      <c r="Q34" s="5" t="str">
        <f>IF(Master[[#This Row],[Georeference Protocol - Lookup Picker]]="","",Master[[#This Row],[Georeference Protocol - Lookup Picker]])</f>
        <v>Lat/Lon determined via Map location</v>
      </c>
      <c r="R34" s="5" t="str">
        <f>IF(Master[[#This Row],[Associated Species]]="","",Master[[#This Row],[Associated Species]])</f>
        <v>Artemisia tridentata:Ericameria nauseosa:Tetradymia canescens</v>
      </c>
      <c r="S34" t="str">
        <f t="shared" si="11"/>
        <v>Y</v>
      </c>
      <c r="T34" s="5" t="str">
        <f>IF(Master[[#This Row],[Note (Accession Source - Collector)]]="","",Master[[#This Row],[Note (Accession Source - Collector)]])</f>
        <v>McCreary, M., Mahlmeister, K., Tonenna, D.</v>
      </c>
      <c r="U34" s="3"/>
      <c r="W34" s="3"/>
      <c r="Y34" s="3"/>
    </row>
    <row r="35" spans="2:25" x14ac:dyDescent="0.25">
      <c r="B35" t="str">
        <f>Master[[#This Row],[Accession Prefix (NPGS)]]&amp;" "&amp;Master[[#This Row],[Accession Number -Assigned]]</f>
        <v>W6 59621</v>
      </c>
      <c r="C35" t="str">
        <f t="shared" si="8"/>
        <v>Collection source event</v>
      </c>
      <c r="D35" t="str">
        <f t="shared" si="9"/>
        <v>mm/dd/yyyy</v>
      </c>
      <c r="E35" s="77">
        <f>IF(IF(Master[[#This Row],[Date Collected or Developed]]="",Master[[#This Row],[Received Date -received by site]],Master[[#This Row],[Date Collected or Developed]])="","",(IF(Master[[#This Row],[Date Collected or Developed]]="",Master[[#This Row],[Received Date -received by site]],Master[[#This Row],[Date Collected or Developed]])))</f>
        <v>44096</v>
      </c>
      <c r="F35" s="76" t="str">
        <f>IF(Master[[#This Row],[Geography (Collection) -Lookup Picker in GRIN]]="","",Master[[#This Row],[Geography (Collection) -Lookup Picker in GRIN]])</f>
        <v>United States, Nevada, Lyon</v>
      </c>
      <c r="G35" t="str">
        <f t="shared" si="10"/>
        <v>Y</v>
      </c>
      <c r="H35" s="45" t="str">
        <f>IF(Master[[#This Row],[Collecting or Acquisition Source - List]]="","",Master[[#This Row],[Collecting or Acquisition Source - List]])</f>
        <v/>
      </c>
      <c r="I35" t="str">
        <f>IF(Master[[#This Row],[Inventory Type - Lookup Picker]]="","",Master[[#This Row],[Inventory Type - Lookup Picker]])</f>
        <v>SD</v>
      </c>
      <c r="J35" s="4">
        <f>IF(Master[[#This Row],[Number Plants Sampled]]="","",Master[[#This Row],[Number Plants Sampled]])</f>
        <v>50</v>
      </c>
      <c r="K35" s="4" t="str">
        <f>IF(Master[[#This Row],[Environment Description]]="","",Master[[#This Row],[Environment Description]])</f>
        <v>Mowed:Grazed</v>
      </c>
      <c r="L35" s="4" t="str">
        <f>IF(Master[[#This Row],[Collector Verbatim Locality]]="","",Master[[#This Row],[Collector Verbatim Locality]])</f>
        <v>/ / 136 E Walker Rd., Yerington, NV Farthest north pasture, road runs between properties, follow for 1/8 mile until secondary road on right; will see Showy under willow.</v>
      </c>
      <c r="M35" s="4">
        <f>IF(Master[[#This Row],[Elevation (meters)]]=0,"",Master[[#This Row],[Elevation (meters)]])</f>
        <v>1408.7856000000002</v>
      </c>
      <c r="N35" s="55">
        <f>IF(Master[[#This Row],[Latitude -decimal degrees]]="","",Master[[#This Row],[Latitude -decimal degrees]])</f>
        <v>38.782940000000004</v>
      </c>
      <c r="O35" s="55">
        <f>IF(Master[[#This Row],[Longitude -decimal degrees]]="","",Master[[#This Row],[Longitude -decimal degrees]])</f>
        <v>-119.0333</v>
      </c>
      <c r="P35" s="5" t="str">
        <f>IF(Master[[#This Row],[Georeference Datum]]="","",Master[[#This Row],[Georeference Datum]])</f>
        <v>Google map</v>
      </c>
      <c r="Q35" s="5" t="str">
        <f>IF(Master[[#This Row],[Georeference Protocol - Lookup Picker]]="","",Master[[#This Row],[Georeference Protocol - Lookup Picker]])</f>
        <v>Lat/Lon determined via Map location</v>
      </c>
      <c r="R35" s="5" t="str">
        <f>IF(Master[[#This Row],[Associated Species]]="","",Master[[#This Row],[Associated Species]])</f>
        <v>Artemisia tridentata:Purshia tridentata:Grindelia squarrosa:Salix sp.</v>
      </c>
      <c r="S35" t="str">
        <f t="shared" si="11"/>
        <v>Y</v>
      </c>
      <c r="T35" s="5" t="str">
        <f>IF(Master[[#This Row],[Note (Accession Source - Collector)]]="","",Master[[#This Row],[Note (Accession Source - Collector)]])</f>
        <v>McCreary, M., Mahlmeister, K.</v>
      </c>
      <c r="U35" s="3"/>
      <c r="W35" s="3"/>
      <c r="Y35" s="3"/>
    </row>
    <row r="36" spans="2:25" x14ac:dyDescent="0.25">
      <c r="B36" t="str">
        <f>Master[[#This Row],[Accession Prefix (NPGS)]]&amp;" "&amp;Master[[#This Row],[Accession Number -Assigned]]</f>
        <v>W6 59622</v>
      </c>
      <c r="C36" t="str">
        <f t="shared" si="8"/>
        <v>Collection source event</v>
      </c>
      <c r="D36" t="str">
        <f t="shared" si="9"/>
        <v>mm/dd/yyyy</v>
      </c>
      <c r="E36" s="77">
        <f>IF(IF(Master[[#This Row],[Date Collected or Developed]]="",Master[[#This Row],[Received Date -received by site]],Master[[#This Row],[Date Collected or Developed]])="","",(IF(Master[[#This Row],[Date Collected or Developed]]="",Master[[#This Row],[Received Date -received by site]],Master[[#This Row],[Date Collected or Developed]])))</f>
        <v>44096</v>
      </c>
      <c r="F36" s="76" t="str">
        <f>IF(Master[[#This Row],[Geography (Collection) -Lookup Picker in GRIN]]="","",Master[[#This Row],[Geography (Collection) -Lookup Picker in GRIN]])</f>
        <v>United States, Nevada, Lyon</v>
      </c>
      <c r="G36" t="str">
        <f t="shared" si="10"/>
        <v>Y</v>
      </c>
      <c r="H36" s="45" t="str">
        <f>IF(Master[[#This Row],[Collecting or Acquisition Source - List]]="","",Master[[#This Row],[Collecting or Acquisition Source - List]])</f>
        <v/>
      </c>
      <c r="I36" t="str">
        <f>IF(Master[[#This Row],[Inventory Type - Lookup Picker]]="","",Master[[#This Row],[Inventory Type - Lookup Picker]])</f>
        <v>SD</v>
      </c>
      <c r="J36" s="4">
        <f>IF(Master[[#This Row],[Number Plants Sampled]]="","",Master[[#This Row],[Number Plants Sampled]])</f>
        <v>75</v>
      </c>
      <c r="K36" s="4" t="str">
        <f>IF(Master[[#This Row],[Environment Description]]="","",Master[[#This Row],[Environment Description]])</f>
        <v>Grazed</v>
      </c>
      <c r="L36" s="4" t="str">
        <f>IF(Master[[#This Row],[Collector Verbatim Locality]]="","",Master[[#This Row],[Collector Verbatim Locality]])</f>
        <v>Santa Margarita Ranch/ West pasture/ 136 E Walker Rd., Yerington, NV</v>
      </c>
      <c r="M36" s="4">
        <f>IF(Master[[#This Row],[Elevation (meters)]]=0,"",Master[[#This Row],[Elevation (meters)]])</f>
        <v>1423.4160000000002</v>
      </c>
      <c r="N36" s="55">
        <f>IF(Master[[#This Row],[Latitude -decimal degrees]]="","",Master[[#This Row],[Latitude -decimal degrees]])</f>
        <v>38.765189999999997</v>
      </c>
      <c r="O36" s="55">
        <f>IF(Master[[#This Row],[Longitude -decimal degrees]]="","",Master[[#This Row],[Longitude -decimal degrees]])</f>
        <v>-119.01963000000001</v>
      </c>
      <c r="P36" s="5" t="str">
        <f>IF(Master[[#This Row],[Georeference Datum]]="","",Master[[#This Row],[Georeference Datum]])</f>
        <v/>
      </c>
      <c r="Q36" s="5" t="str">
        <f>IF(Master[[#This Row],[Georeference Protocol - Lookup Picker]]="","",Master[[#This Row],[Georeference Protocol - Lookup Picker]])</f>
        <v>Lat/lon determined by GPS</v>
      </c>
      <c r="R36" s="5" t="str">
        <f>IF(Master[[#This Row],[Associated Species]]="","",Master[[#This Row],[Associated Species]])</f>
        <v>Chrysothamnus viscidiflorus ssp. axillaris:Salix sp.:Artemisia tridentata:Atriplex canescens:Populus tremuloides</v>
      </c>
      <c r="S36" t="str">
        <f t="shared" si="11"/>
        <v>Y</v>
      </c>
      <c r="T36" s="5" t="str">
        <f>IF(Master[[#This Row],[Note (Accession Source - Collector)]]="","",Master[[#This Row],[Note (Accession Source - Collector)]])</f>
        <v>McCreary, M., Mahlmeister, K., McNeil, K., Siller, S.</v>
      </c>
      <c r="U36" s="3"/>
      <c r="W36" s="3"/>
      <c r="Y36" s="3"/>
    </row>
    <row r="37" spans="2:25" x14ac:dyDescent="0.25">
      <c r="B37" t="str">
        <f>Master[[#This Row],[Accession Prefix (NPGS)]]&amp;" "&amp;Master[[#This Row],[Accession Number -Assigned]]</f>
        <v>W6 59623</v>
      </c>
      <c r="C37" t="str">
        <f t="shared" si="8"/>
        <v>Collection source event</v>
      </c>
      <c r="D37" t="str">
        <f t="shared" si="9"/>
        <v>mm/dd/yyyy</v>
      </c>
      <c r="E37" s="77">
        <f>IF(IF(Master[[#This Row],[Date Collected or Developed]]="",Master[[#This Row],[Received Date -received by site]],Master[[#This Row],[Date Collected or Developed]])="","",(IF(Master[[#This Row],[Date Collected or Developed]]="",Master[[#This Row],[Received Date -received by site]],Master[[#This Row],[Date Collected or Developed]])))</f>
        <v>44114</v>
      </c>
      <c r="F37" s="76" t="str">
        <f>IF(Master[[#This Row],[Geography (Collection) -Lookup Picker in GRIN]]="","",Master[[#This Row],[Geography (Collection) -Lookup Picker in GRIN]])</f>
        <v>United States, Nevada, Washoe</v>
      </c>
      <c r="G37" t="str">
        <f t="shared" si="10"/>
        <v>Y</v>
      </c>
      <c r="H37" s="45" t="str">
        <f>IF(Master[[#This Row],[Collecting or Acquisition Source - List]]="","",Master[[#This Row],[Collecting or Acquisition Source - List]])</f>
        <v/>
      </c>
      <c r="I37" t="str">
        <f>IF(Master[[#This Row],[Inventory Type - Lookup Picker]]="","",Master[[#This Row],[Inventory Type - Lookup Picker]])</f>
        <v>SD</v>
      </c>
      <c r="J37" s="4">
        <f>IF(Master[[#This Row],[Number Plants Sampled]]="","",Master[[#This Row],[Number Plants Sampled]])</f>
        <v>50</v>
      </c>
      <c r="K37" s="4" t="str">
        <f>IF(Master[[#This Row],[Environment Description]]="","",Master[[#This Row],[Environment Description]])</f>
        <v>Grazed</v>
      </c>
      <c r="L37" s="4" t="str">
        <f>IF(Master[[#This Row],[Collector Verbatim Locality]]="","",Master[[#This Row],[Collector Verbatim Locality]])</f>
        <v>Washoe Lake State Park/ Sand dunes and playa lake area/ Park at Miner Mayhem play area, hike northwest towards sand dunes (~0.5 miles), species along both sand dunes</v>
      </c>
      <c r="M37" s="4">
        <f>IF(Master[[#This Row],[Elevation (meters)]]=0,"",Master[[#This Row],[Elevation (meters)]])</f>
        <v>1534.0584000000001</v>
      </c>
      <c r="N37" s="55">
        <f>IF(Master[[#This Row],[Latitude -decimal degrees]]="","",Master[[#This Row],[Latitude -decimal degrees]])</f>
        <v>39.243250000000003</v>
      </c>
      <c r="O37" s="55">
        <f>IF(Master[[#This Row],[Longitude -decimal degrees]]="","",Master[[#This Row],[Longitude -decimal degrees]])</f>
        <v>-119.76819</v>
      </c>
      <c r="P37" s="5" t="str">
        <f>IF(Master[[#This Row],[Georeference Datum]]="","",Master[[#This Row],[Georeference Datum]])</f>
        <v>Google Map</v>
      </c>
      <c r="Q37" s="5" t="str">
        <f>IF(Master[[#This Row],[Georeference Protocol - Lookup Picker]]="","",Master[[#This Row],[Georeference Protocol - Lookup Picker]])</f>
        <v>Lat/Lon determined via Map location</v>
      </c>
      <c r="R37" s="5" t="str">
        <f>IF(Master[[#This Row],[Associated Species]]="","",Master[[#This Row],[Associated Species]])</f>
        <v>Artemisia tridentata:Achnatherum hymenoides:Purshia tridentata</v>
      </c>
      <c r="S37" t="str">
        <f t="shared" si="11"/>
        <v>Y</v>
      </c>
      <c r="T37" s="5" t="str">
        <f>IF(Master[[#This Row],[Note (Accession Source - Collector)]]="","",Master[[#This Row],[Note (Accession Source - Collector)]])</f>
        <v>McCreary, M., Mahlmeister, K., Siller, S., McNeil, K.</v>
      </c>
      <c r="U37" s="3"/>
      <c r="W37" s="3"/>
      <c r="Y37" s="3"/>
    </row>
    <row r="38" spans="2:25" x14ac:dyDescent="0.25">
      <c r="B38" t="str">
        <f>Master[[#This Row],[Accession Prefix (NPGS)]]&amp;" "&amp;Master[[#This Row],[Accession Number -Assigned]]</f>
        <v>W6 59624</v>
      </c>
      <c r="C38" t="str">
        <f t="shared" si="8"/>
        <v>Collection source event</v>
      </c>
      <c r="D38" t="str">
        <f t="shared" si="9"/>
        <v>mm/dd/yyyy</v>
      </c>
      <c r="E38" s="77">
        <f>IF(IF(Master[[#This Row],[Date Collected or Developed]]="",Master[[#This Row],[Received Date -received by site]],Master[[#This Row],[Date Collected or Developed]])="","",(IF(Master[[#This Row],[Date Collected or Developed]]="",Master[[#This Row],[Received Date -received by site]],Master[[#This Row],[Date Collected or Developed]])))</f>
        <v>44114</v>
      </c>
      <c r="F38" s="76" t="str">
        <f>IF(Master[[#This Row],[Geography (Collection) -Lookup Picker in GRIN]]="","",Master[[#This Row],[Geography (Collection) -Lookup Picker in GRIN]])</f>
        <v>United States, Nevada, Washoe</v>
      </c>
      <c r="G38" t="str">
        <f t="shared" si="10"/>
        <v>Y</v>
      </c>
      <c r="H38" s="45" t="str">
        <f>IF(Master[[#This Row],[Collecting or Acquisition Source - List]]="","",Master[[#This Row],[Collecting or Acquisition Source - List]])</f>
        <v/>
      </c>
      <c r="I38" t="str">
        <f>IF(Master[[#This Row],[Inventory Type - Lookup Picker]]="","",Master[[#This Row],[Inventory Type - Lookup Picker]])</f>
        <v>SD</v>
      </c>
      <c r="J38" s="4">
        <f>IF(Master[[#This Row],[Number Plants Sampled]]="","",Master[[#This Row],[Number Plants Sampled]])</f>
        <v>200</v>
      </c>
      <c r="K38" s="4" t="str">
        <f>IF(Master[[#This Row],[Environment Description]]="","",Master[[#This Row],[Environment Description]])</f>
        <v>Grazed</v>
      </c>
      <c r="L38" s="4" t="str">
        <f>IF(Master[[#This Row],[Collector Verbatim Locality]]="","",Master[[#This Row],[Collector Verbatim Locality]])</f>
        <v>Washoe Lake State Park/ Miner's Mayhem, sand dunes, playa lakes, Deadman's trail/ Park at Miner's Mayhem play area, hike northwest towards sand dunes, species is abundant</v>
      </c>
      <c r="M38" s="4">
        <f>IF(Master[[#This Row],[Elevation (meters)]]=0,"",Master[[#This Row],[Elevation (meters)]])</f>
        <v>1534.0584000000001</v>
      </c>
      <c r="N38" s="55">
        <f>IF(Master[[#This Row],[Latitude -decimal degrees]]="","",Master[[#This Row],[Latitude -decimal degrees]])</f>
        <v>39.241500000000002</v>
      </c>
      <c r="O38" s="55">
        <f>IF(Master[[#This Row],[Longitude -decimal degrees]]="","",Master[[#This Row],[Longitude -decimal degrees]])</f>
        <v>-119.76672000000001</v>
      </c>
      <c r="P38" s="5" t="str">
        <f>IF(Master[[#This Row],[Georeference Datum]]="","",Master[[#This Row],[Georeference Datum]])</f>
        <v>Google Map</v>
      </c>
      <c r="Q38" s="5" t="str">
        <f>IF(Master[[#This Row],[Georeference Protocol - Lookup Picker]]="","",Master[[#This Row],[Georeference Protocol - Lookup Picker]])</f>
        <v>Lat/Lon determined via Map location</v>
      </c>
      <c r="R38" s="5" t="str">
        <f>IF(Master[[#This Row],[Associated Species]]="","",Master[[#This Row],[Associated Species]])</f>
        <v>Artemisia tridentata:Achnatherum hymenoides:Purshia tridentata</v>
      </c>
      <c r="S38" t="str">
        <f t="shared" si="11"/>
        <v>Y</v>
      </c>
      <c r="T38" s="5" t="str">
        <f>IF(Master[[#This Row],[Note (Accession Source - Collector)]]="","",Master[[#This Row],[Note (Accession Source - Collector)]])</f>
        <v>Mahlmeister, K., Siller, S., McNeil, K., McCreary, M.</v>
      </c>
      <c r="U38" s="3"/>
      <c r="W38" s="3"/>
      <c r="Y38" s="3"/>
    </row>
    <row r="39" spans="2:25" x14ac:dyDescent="0.25">
      <c r="B39" t="str">
        <f>Master[[#This Row],[Accession Prefix (NPGS)]]&amp;" "&amp;Master[[#This Row],[Accession Number -Assigned]]</f>
        <v>W6 59625</v>
      </c>
      <c r="C39" t="str">
        <f t="shared" si="8"/>
        <v>Collection source event</v>
      </c>
      <c r="D39" t="str">
        <f t="shared" si="9"/>
        <v>mm/dd/yyyy</v>
      </c>
      <c r="E39" s="77">
        <f>IF(IF(Master[[#This Row],[Date Collected or Developed]]="",Master[[#This Row],[Received Date -received by site]],Master[[#This Row],[Date Collected or Developed]])="","",(IF(Master[[#This Row],[Date Collected or Developed]]="",Master[[#This Row],[Received Date -received by site]],Master[[#This Row],[Date Collected or Developed]])))</f>
        <v>44114</v>
      </c>
      <c r="F39" s="76" t="str">
        <f>IF(Master[[#This Row],[Geography (Collection) -Lookup Picker in GRIN]]="","",Master[[#This Row],[Geography (Collection) -Lookup Picker in GRIN]])</f>
        <v>United States, Nevada, Washoe</v>
      </c>
      <c r="G39" t="str">
        <f t="shared" si="10"/>
        <v>Y</v>
      </c>
      <c r="H39" s="45" t="str">
        <f>IF(Master[[#This Row],[Collecting or Acquisition Source - List]]="","",Master[[#This Row],[Collecting or Acquisition Source - List]])</f>
        <v/>
      </c>
      <c r="I39" t="str">
        <f>IF(Master[[#This Row],[Inventory Type - Lookup Picker]]="","",Master[[#This Row],[Inventory Type - Lookup Picker]])</f>
        <v>SD</v>
      </c>
      <c r="J39" s="4">
        <f>IF(Master[[#This Row],[Number Plants Sampled]]="","",Master[[#This Row],[Number Plants Sampled]])</f>
        <v>100</v>
      </c>
      <c r="K39" s="4" t="str">
        <f>IF(Master[[#This Row],[Environment Description]]="","",Master[[#This Row],[Environment Description]])</f>
        <v>Grazed</v>
      </c>
      <c r="L39" s="4" t="str">
        <f>IF(Master[[#This Row],[Collector Verbatim Locality]]="","",Master[[#This Row],[Collector Verbatim Locality]])</f>
        <v>Washoe Lake State Park/ Deadman's trail, Western shoreline/ Hike east on Deadman's trail about 100 yards until trail forks, cross stream on foot bridge on right, species southeast of foot bridge</v>
      </c>
      <c r="M39" s="4">
        <f>IF(Master[[#This Row],[Elevation (meters)]]=0,"",Master[[#This Row],[Elevation (meters)]])</f>
        <v>1706.88</v>
      </c>
      <c r="N39" s="55">
        <f>IF(Master[[#This Row],[Latitude -decimal degrees]]="","",Master[[#This Row],[Latitude -decimal degrees]])</f>
        <v>39.237769999999998</v>
      </c>
      <c r="O39" s="55">
        <f>IF(Master[[#This Row],[Longitude -decimal degrees]]="","",Master[[#This Row],[Longitude -decimal degrees]])</f>
        <v>-119.76366</v>
      </c>
      <c r="P39" s="5" t="str">
        <f>IF(Master[[#This Row],[Georeference Datum]]="","",Master[[#This Row],[Georeference Datum]])</f>
        <v>Google Map</v>
      </c>
      <c r="Q39" s="5" t="str">
        <f>IF(Master[[#This Row],[Georeference Protocol - Lookup Picker]]="","",Master[[#This Row],[Georeference Protocol - Lookup Picker]])</f>
        <v>Lat/Lon determined via Map location</v>
      </c>
      <c r="R39" s="5" t="str">
        <f>IF(Master[[#This Row],[Associated Species]]="","",Master[[#This Row],[Associated Species]])</f>
        <v>Artemisia tridentata:Achnatherum hymenoides:Purshia tridentata</v>
      </c>
      <c r="S39" t="str">
        <f t="shared" si="11"/>
        <v>Y</v>
      </c>
      <c r="T39" s="5" t="str">
        <f>IF(Master[[#This Row],[Note (Accession Source - Collector)]]="","",Master[[#This Row],[Note (Accession Source - Collector)]])</f>
        <v>Mahlmeister, K., McCreary, M., Siller, S., McNeil, K.</v>
      </c>
      <c r="U39" s="3"/>
      <c r="W39" s="3"/>
      <c r="Y39" s="3"/>
    </row>
    <row r="40" spans="2:25" x14ac:dyDescent="0.25">
      <c r="B40" t="str">
        <f>Master[[#This Row],[Accession Prefix (NPGS)]]&amp;" "&amp;Master[[#This Row],[Accession Number -Assigned]]</f>
        <v>W6 59626</v>
      </c>
      <c r="C40" t="str">
        <f t="shared" si="8"/>
        <v>Collection source event</v>
      </c>
      <c r="D40" t="str">
        <f t="shared" si="9"/>
        <v>mm/dd/yyyy</v>
      </c>
      <c r="E40" s="77">
        <f>IF(IF(Master[[#This Row],[Date Collected or Developed]]="",Master[[#This Row],[Received Date -received by site]],Master[[#This Row],[Date Collected or Developed]])="","",(IF(Master[[#This Row],[Date Collected or Developed]]="",Master[[#This Row],[Received Date -received by site]],Master[[#This Row],[Date Collected or Developed]])))</f>
        <v>44118</v>
      </c>
      <c r="F40" s="76" t="str">
        <f>IF(Master[[#This Row],[Geography (Collection) -Lookup Picker in GRIN]]="","",Master[[#This Row],[Geography (Collection) -Lookup Picker in GRIN]])</f>
        <v>United States, Nevada, Washoe</v>
      </c>
      <c r="G40" t="str">
        <f t="shared" si="10"/>
        <v>Y</v>
      </c>
      <c r="H40" s="45" t="str">
        <f>IF(Master[[#This Row],[Collecting or Acquisition Source - List]]="","",Master[[#This Row],[Collecting or Acquisition Source - List]])</f>
        <v/>
      </c>
      <c r="I40" t="str">
        <f>IF(Master[[#This Row],[Inventory Type - Lookup Picker]]="","",Master[[#This Row],[Inventory Type - Lookup Picker]])</f>
        <v>SD</v>
      </c>
      <c r="J40" s="4">
        <f>IF(Master[[#This Row],[Number Plants Sampled]]="","",Master[[#This Row],[Number Plants Sampled]])</f>
        <v>50</v>
      </c>
      <c r="K40" s="4" t="str">
        <f>IF(Master[[#This Row],[Environment Description]]="","",Master[[#This Row],[Environment Description]])</f>
        <v>Grazed</v>
      </c>
      <c r="L40" s="4" t="str">
        <f>IF(Master[[#This Row],[Collector Verbatim Locality]]="","",Master[[#This Row],[Collector Verbatim Locality]])</f>
        <v>Washoe Lake State Park/ Deadman's Trail/ Take Deadman's Trail up to fork, go right, just after foot bridge, hike up hill about 200 feet. Sps on left.</v>
      </c>
      <c r="M40" s="4">
        <f>IF(Master[[#This Row],[Elevation (meters)]]=0,"",Master[[#This Row],[Elevation (meters)]])</f>
        <v>1569.72</v>
      </c>
      <c r="N40" s="55">
        <f>IF(Master[[#This Row],[Latitude -decimal degrees]]="","",Master[[#This Row],[Latitude -decimal degrees]])</f>
        <v>39.237499999999997</v>
      </c>
      <c r="O40" s="55">
        <f>IF(Master[[#This Row],[Longitude -decimal degrees]]="","",Master[[#This Row],[Longitude -decimal degrees]])</f>
        <v>-119.76336000000001</v>
      </c>
      <c r="P40" s="5" t="str">
        <f>IF(Master[[#This Row],[Georeference Datum]]="","",Master[[#This Row],[Georeference Datum]])</f>
        <v/>
      </c>
      <c r="Q40" s="5" t="str">
        <f>IF(Master[[#This Row],[Georeference Protocol - Lookup Picker]]="","",Master[[#This Row],[Georeference Protocol - Lookup Picker]])</f>
        <v>Lat/lon determined by unknown method</v>
      </c>
      <c r="R40" s="5" t="str">
        <f>IF(Master[[#This Row],[Associated Species]]="","",Master[[#This Row],[Associated Species]])</f>
        <v>Erythranthe</v>
      </c>
      <c r="S40" t="str">
        <f t="shared" si="11"/>
        <v>Y</v>
      </c>
      <c r="T40" s="5" t="str">
        <f>IF(Master[[#This Row],[Note (Accession Source - Collector)]]="","",Master[[#This Row],[Note (Accession Source - Collector)]])</f>
        <v>M. McCreary, K. Mahlmeister</v>
      </c>
      <c r="U40" s="3"/>
      <c r="W40" s="3"/>
      <c r="Y40" s="3"/>
    </row>
    <row r="41" spans="2:25" x14ac:dyDescent="0.25">
      <c r="B41" t="str">
        <f>Master[[#This Row],[Accession Prefix (NPGS)]]&amp;" "&amp;Master[[#This Row],[Accession Number -Assigned]]</f>
        <v>W6 59627</v>
      </c>
      <c r="C41" t="str">
        <f t="shared" si="8"/>
        <v>Collection source event</v>
      </c>
      <c r="D41" t="str">
        <f t="shared" si="9"/>
        <v>mm/dd/yyyy</v>
      </c>
      <c r="E41" s="77">
        <f>IF(IF(Master[[#This Row],[Date Collected or Developed]]="",Master[[#This Row],[Received Date -received by site]],Master[[#This Row],[Date Collected or Developed]])="","",(IF(Master[[#This Row],[Date Collected or Developed]]="",Master[[#This Row],[Received Date -received by site]],Master[[#This Row],[Date Collected or Developed]])))</f>
        <v>44118</v>
      </c>
      <c r="F41" s="76" t="str">
        <f>IF(Master[[#This Row],[Geography (Collection) -Lookup Picker in GRIN]]="","",Master[[#This Row],[Geography (Collection) -Lookup Picker in GRIN]])</f>
        <v>United States, Nevada, Washoe</v>
      </c>
      <c r="G41" t="str">
        <f t="shared" si="10"/>
        <v>Y</v>
      </c>
      <c r="H41" s="45" t="str">
        <f>IF(Master[[#This Row],[Collecting or Acquisition Source - List]]="","",Master[[#This Row],[Collecting or Acquisition Source - List]])</f>
        <v/>
      </c>
      <c r="I41" t="str">
        <f>IF(Master[[#This Row],[Inventory Type - Lookup Picker]]="","",Master[[#This Row],[Inventory Type - Lookup Picker]])</f>
        <v>SD</v>
      </c>
      <c r="J41" s="4">
        <f>IF(Master[[#This Row],[Number Plants Sampled]]="","",Master[[#This Row],[Number Plants Sampled]])</f>
        <v>50</v>
      </c>
      <c r="K41" s="4" t="str">
        <f>IF(Master[[#This Row],[Environment Description]]="","",Master[[#This Row],[Environment Description]])</f>
        <v>Grazed</v>
      </c>
      <c r="L41" s="4" t="str">
        <f>IF(Master[[#This Row],[Collector Verbatim Locality]]="","",Master[[#This Row],[Collector Verbatim Locality]])</f>
        <v>Washoe Lake State Park/ Deadman's trail/ Take deadman's trail, at fork, go right, hike ~100f up hill</v>
      </c>
      <c r="M41" s="4">
        <f>IF(Master[[#This Row],[Elevation (meters)]]=0,"",Master[[#This Row],[Elevation (meters)]])</f>
        <v>1554.48</v>
      </c>
      <c r="N41" s="55">
        <f>IF(Master[[#This Row],[Latitude -decimal degrees]]="","",Master[[#This Row],[Latitude -decimal degrees]])</f>
        <v>39.237609999999997</v>
      </c>
      <c r="O41" s="55">
        <f>IF(Master[[#This Row],[Longitude -decimal degrees]]="","",Master[[#This Row],[Longitude -decimal degrees]])</f>
        <v>-119.76361</v>
      </c>
      <c r="P41" s="5" t="str">
        <f>IF(Master[[#This Row],[Georeference Datum]]="","",Master[[#This Row],[Georeference Datum]])</f>
        <v>NAD83</v>
      </c>
      <c r="Q41" s="5" t="str">
        <f>IF(Master[[#This Row],[Georeference Protocol - Lookup Picker]]="","",Master[[#This Row],[Georeference Protocol - Lookup Picker]])</f>
        <v>Lat/lon determined by GPS</v>
      </c>
      <c r="R41" s="5" t="str">
        <f>IF(Master[[#This Row],[Associated Species]]="","",Master[[#This Row],[Associated Species]])</f>
        <v>Erythranthe:Symphyotrichum ascendens:Ericameria nauseosa:Tetradymia canescens</v>
      </c>
      <c r="S41" t="str">
        <f t="shared" si="11"/>
        <v>Y</v>
      </c>
      <c r="T41" s="5" t="str">
        <f>IF(Master[[#This Row],[Note (Accession Source - Collector)]]="","",Master[[#This Row],[Note (Accession Source - Collector)]])</f>
        <v>M. McCreary, K. Mahlmeister</v>
      </c>
      <c r="U41" s="3"/>
      <c r="W41" s="3"/>
      <c r="Y41" s="3"/>
    </row>
    <row r="42" spans="2:25" x14ac:dyDescent="0.25">
      <c r="B42" t="str">
        <f>Master[[#This Row],[Accession Prefix (NPGS)]]&amp;" "&amp;Master[[#This Row],[Accession Number -Assigned]]</f>
        <v>W6 59628</v>
      </c>
      <c r="C42" t="str">
        <f t="shared" si="8"/>
        <v>Collection source event</v>
      </c>
      <c r="D42" t="str">
        <f t="shared" si="9"/>
        <v>mm/dd/yyyy</v>
      </c>
      <c r="E42" s="77">
        <f>IF(IF(Master[[#This Row],[Date Collected or Developed]]="",Master[[#This Row],[Received Date -received by site]],Master[[#This Row],[Date Collected or Developed]])="","",(IF(Master[[#This Row],[Date Collected or Developed]]="",Master[[#This Row],[Received Date -received by site]],Master[[#This Row],[Date Collected or Developed]])))</f>
        <v>44118</v>
      </c>
      <c r="F42" s="76" t="str">
        <f>IF(Master[[#This Row],[Geography (Collection) -Lookup Picker in GRIN]]="","",Master[[#This Row],[Geography (Collection) -Lookup Picker in GRIN]])</f>
        <v>United States, Nevada, Washoe</v>
      </c>
      <c r="G42" t="str">
        <f t="shared" si="10"/>
        <v>Y</v>
      </c>
      <c r="H42" s="45" t="str">
        <f>IF(Master[[#This Row],[Collecting or Acquisition Source - List]]="","",Master[[#This Row],[Collecting or Acquisition Source - List]])</f>
        <v/>
      </c>
      <c r="I42" t="str">
        <f>IF(Master[[#This Row],[Inventory Type - Lookup Picker]]="","",Master[[#This Row],[Inventory Type - Lookup Picker]])</f>
        <v>SD</v>
      </c>
      <c r="J42" s="4">
        <f>IF(Master[[#This Row],[Number Plants Sampled]]="","",Master[[#This Row],[Number Plants Sampled]])</f>
        <v>100</v>
      </c>
      <c r="K42" s="4" t="str">
        <f>IF(Master[[#This Row],[Environment Description]]="","",Master[[#This Row],[Environment Description]])</f>
        <v>Grazed</v>
      </c>
      <c r="L42" s="4" t="str">
        <f>IF(Master[[#This Row],[Collector Verbatim Locality]]="","",Master[[#This Row],[Collector Verbatim Locality]])</f>
        <v>Washoe Lake State Park/ Playa lake area/ Park at miner's mayhem, walk toward sand dunes. species found around playa lake</v>
      </c>
      <c r="M42" s="4">
        <f>IF(Master[[#This Row],[Elevation (meters)]]=0,"",Master[[#This Row],[Elevation (meters)]])</f>
        <v>1539.24</v>
      </c>
      <c r="N42" s="55">
        <f>IF(Master[[#This Row],[Latitude -decimal degrees]]="","",Master[[#This Row],[Latitude -decimal degrees]])</f>
        <v>39.242800000000003</v>
      </c>
      <c r="O42" s="55">
        <f>IF(Master[[#This Row],[Longitude -decimal degrees]]="","",Master[[#This Row],[Longitude -decimal degrees]])</f>
        <v>-119.76711</v>
      </c>
      <c r="P42" s="5" t="str">
        <f>IF(Master[[#This Row],[Georeference Datum]]="","",Master[[#This Row],[Georeference Datum]])</f>
        <v/>
      </c>
      <c r="Q42" s="5" t="str">
        <f>IF(Master[[#This Row],[Georeference Protocol - Lookup Picker]]="","",Master[[#This Row],[Georeference Protocol - Lookup Picker]])</f>
        <v>Lat/lon determined by unknown method</v>
      </c>
      <c r="R42" s="5" t="str">
        <f>IF(Master[[#This Row],[Associated Species]]="","",Master[[#This Row],[Associated Species]])</f>
        <v>Ericameria nauseosa:Tetradymia canescens:Artemisia tridentata</v>
      </c>
      <c r="S42" t="str">
        <f t="shared" si="11"/>
        <v>Y</v>
      </c>
      <c r="T42" s="5" t="str">
        <f>IF(Master[[#This Row],[Note (Accession Source - Collector)]]="","",Master[[#This Row],[Note (Accession Source - Collector)]])</f>
        <v>S. Siller, K. Mahlmeister</v>
      </c>
      <c r="U42" s="3"/>
      <c r="W42" s="3"/>
      <c r="Y42" s="3"/>
    </row>
    <row r="43" spans="2:25" x14ac:dyDescent="0.25">
      <c r="B43" t="str">
        <f>Master[[#This Row],[Accession Prefix (NPGS)]]&amp;" "&amp;Master[[#This Row],[Accession Number -Assigned]]</f>
        <v>W6 59629</v>
      </c>
      <c r="C43" t="str">
        <f t="shared" si="8"/>
        <v>Collection source event</v>
      </c>
      <c r="D43" t="str">
        <f t="shared" si="9"/>
        <v>mm/dd/yyyy</v>
      </c>
      <c r="E43" s="77">
        <f>IF(IF(Master[[#This Row],[Date Collected or Developed]]="",Master[[#This Row],[Received Date -received by site]],Master[[#This Row],[Date Collected or Developed]])="","",(IF(Master[[#This Row],[Date Collected or Developed]]="",Master[[#This Row],[Received Date -received by site]],Master[[#This Row],[Date Collected or Developed]])))</f>
        <v>44119</v>
      </c>
      <c r="F43" s="76" t="str">
        <f>IF(Master[[#This Row],[Geography (Collection) -Lookup Picker in GRIN]]="","",Master[[#This Row],[Geography (Collection) -Lookup Picker in GRIN]])</f>
        <v>United States, Nevada, Washoe</v>
      </c>
      <c r="G43" t="str">
        <f t="shared" si="10"/>
        <v>Y</v>
      </c>
      <c r="H43" s="45" t="str">
        <f>IF(Master[[#This Row],[Collecting or Acquisition Source - List]]="","",Master[[#This Row],[Collecting or Acquisition Source - List]])</f>
        <v/>
      </c>
      <c r="I43" t="str">
        <f>IF(Master[[#This Row],[Inventory Type - Lookup Picker]]="","",Master[[#This Row],[Inventory Type - Lookup Picker]])</f>
        <v>SD</v>
      </c>
      <c r="J43" s="4">
        <f>IF(Master[[#This Row],[Number Plants Sampled]]="","",Master[[#This Row],[Number Plants Sampled]])</f>
        <v>100</v>
      </c>
      <c r="K43" s="4" t="str">
        <f>IF(Master[[#This Row],[Environment Description]]="","",Master[[#This Row],[Environment Description]])</f>
        <v>Grazed</v>
      </c>
      <c r="L43" s="4" t="str">
        <f>IF(Master[[#This Row],[Collector Verbatim Locality]]="","",Master[[#This Row],[Collector Verbatim Locality]])</f>
        <v>Washoe Lake State Park/ Playa Lake/ Park at miner mayhem, walk toward sand dunes. Species located between two sand dunes</v>
      </c>
      <c r="M43" s="4">
        <f>IF(Master[[#This Row],[Elevation (meters)]]=0,"",Master[[#This Row],[Elevation (meters)]])</f>
        <v>1539.24</v>
      </c>
      <c r="N43" s="55">
        <f>IF(Master[[#This Row],[Latitude -decimal degrees]]="","",Master[[#This Row],[Latitude -decimal degrees]])</f>
        <v>39.243409999999997</v>
      </c>
      <c r="O43" s="55">
        <f>IF(Master[[#This Row],[Longitude -decimal degrees]]="","",Master[[#This Row],[Longitude -decimal degrees]])</f>
        <v>-119.76766000000001</v>
      </c>
      <c r="P43" s="5" t="str">
        <f>IF(Master[[#This Row],[Georeference Datum]]="","",Master[[#This Row],[Georeference Datum]])</f>
        <v>NAD83</v>
      </c>
      <c r="Q43" s="5" t="str">
        <f>IF(Master[[#This Row],[Georeference Protocol - Lookup Picker]]="","",Master[[#This Row],[Georeference Protocol - Lookup Picker]])</f>
        <v>Lat/Lon determined via Map location</v>
      </c>
      <c r="R43" s="5" t="str">
        <f>IF(Master[[#This Row],[Associated Species]]="","",Master[[#This Row],[Associated Species]])</f>
        <v>Chrysanthemum nauseosa:Tetradymia canescens:Artemisia tridentata</v>
      </c>
      <c r="S43" t="str">
        <f t="shared" si="11"/>
        <v>Y</v>
      </c>
      <c r="T43" s="5" t="str">
        <f>IF(Master[[#This Row],[Note (Accession Source - Collector)]]="","",Master[[#This Row],[Note (Accession Source - Collector)]])</f>
        <v>M. McCreary, K. McNeil, S. Siller</v>
      </c>
      <c r="U43" s="3"/>
      <c r="W43" s="3"/>
      <c r="Y43" s="3"/>
    </row>
    <row r="44" spans="2:25" x14ac:dyDescent="0.25">
      <c r="B44" t="str">
        <f>Master[[#This Row],[Accession Prefix (NPGS)]]&amp;" "&amp;Master[[#This Row],[Accession Number -Assigned]]</f>
        <v>W6 59630</v>
      </c>
      <c r="C44" t="str">
        <f t="shared" si="8"/>
        <v>Collection source event</v>
      </c>
      <c r="D44" t="str">
        <f t="shared" si="9"/>
        <v>mm/dd/yyyy</v>
      </c>
      <c r="E44" s="77">
        <f>IF(IF(Master[[#This Row],[Date Collected or Developed]]="",Master[[#This Row],[Received Date -received by site]],Master[[#This Row],[Date Collected or Developed]])="","",(IF(Master[[#This Row],[Date Collected or Developed]]="",Master[[#This Row],[Received Date -received by site]],Master[[#This Row],[Date Collected or Developed]])))</f>
        <v>44119</v>
      </c>
      <c r="F44" s="76" t="str">
        <f>IF(Master[[#This Row],[Geography (Collection) -Lookup Picker in GRIN]]="","",Master[[#This Row],[Geography (Collection) -Lookup Picker in GRIN]])</f>
        <v>United States, Nevada, Washoe</v>
      </c>
      <c r="G44" t="str">
        <f t="shared" si="10"/>
        <v>Y</v>
      </c>
      <c r="H44" s="45" t="str">
        <f>IF(Master[[#This Row],[Collecting or Acquisition Source - List]]="","",Master[[#This Row],[Collecting or Acquisition Source - List]])</f>
        <v/>
      </c>
      <c r="I44" t="str">
        <f>IF(Master[[#This Row],[Inventory Type - Lookup Picker]]="","",Master[[#This Row],[Inventory Type - Lookup Picker]])</f>
        <v>SD</v>
      </c>
      <c r="J44" s="4">
        <f>IF(Master[[#This Row],[Number Plants Sampled]]="","",Master[[#This Row],[Number Plants Sampled]])</f>
        <v>100</v>
      </c>
      <c r="K44" s="4" t="str">
        <f>IF(Master[[#This Row],[Environment Description]]="","",Master[[#This Row],[Environment Description]])</f>
        <v>Grazed</v>
      </c>
      <c r="L44" s="4" t="str">
        <f>IF(Master[[#This Row],[Collector Verbatim Locality]]="","",Master[[#This Row],[Collector Verbatim Locality]])</f>
        <v>Washoe Lake State Park/ / From the group parking lot and restroom area, hike north along the lake shore for about 2 miles. Salt bush shrubs can be found on east facing slopes about 200 feet from lake shore</v>
      </c>
      <c r="M44" s="4">
        <f>IF(Master[[#This Row],[Elevation (meters)]]=0,"",Master[[#This Row],[Elevation (meters)]])</f>
        <v>1542.288</v>
      </c>
      <c r="N44" s="55">
        <f>IF(Master[[#This Row],[Latitude -decimal degrees]]="","",Master[[#This Row],[Latitude -decimal degrees]])</f>
        <v>39.24841</v>
      </c>
      <c r="O44" s="55">
        <f>IF(Master[[#This Row],[Longitude -decimal degrees]]="","",Master[[#This Row],[Longitude -decimal degrees]])</f>
        <v>-119.76763</v>
      </c>
      <c r="P44" s="5" t="str">
        <f>IF(Master[[#This Row],[Georeference Datum]]="","",Master[[#This Row],[Georeference Datum]])</f>
        <v/>
      </c>
      <c r="Q44" s="5" t="str">
        <f>IF(Master[[#This Row],[Georeference Protocol - Lookup Picker]]="","",Master[[#This Row],[Georeference Protocol - Lookup Picker]])</f>
        <v>Lat/Lon determined via Map location</v>
      </c>
      <c r="R44" s="5" t="str">
        <f>IF(Master[[#This Row],[Associated Species]]="","",Master[[#This Row],[Associated Species]])</f>
        <v>Purshia tridentata:Artemisia tridentata:Oryzopsis hymenoides</v>
      </c>
      <c r="S44" t="str">
        <f t="shared" si="11"/>
        <v>Y</v>
      </c>
      <c r="T44" s="5" t="str">
        <f>IF(Master[[#This Row],[Note (Accession Source - Collector)]]="","",Master[[#This Row],[Note (Accession Source - Collector)]])</f>
        <v>K. McNeil, M. McCreary, S. Siller</v>
      </c>
      <c r="U44" s="3"/>
      <c r="W44" s="3"/>
      <c r="Y44" s="3"/>
    </row>
    <row r="45" spans="2:25" x14ac:dyDescent="0.25">
      <c r="B45" t="str">
        <f>Master[[#This Row],[Accession Prefix (NPGS)]]&amp;" "&amp;Master[[#This Row],[Accession Number -Assigned]]</f>
        <v>W6 59631</v>
      </c>
      <c r="C45" t="str">
        <f t="shared" si="8"/>
        <v>Collection source event</v>
      </c>
      <c r="D45" t="str">
        <f t="shared" si="9"/>
        <v>mm/dd/yyyy</v>
      </c>
      <c r="E45" s="77">
        <f>IF(IF(Master[[#This Row],[Date Collected or Developed]]="",Master[[#This Row],[Received Date -received by site]],Master[[#This Row],[Date Collected or Developed]])="","",(IF(Master[[#This Row],[Date Collected or Developed]]="",Master[[#This Row],[Received Date -received by site]],Master[[#This Row],[Date Collected or Developed]])))</f>
        <v>44124</v>
      </c>
      <c r="F45" s="76" t="str">
        <f>IF(Master[[#This Row],[Geography (Collection) -Lookup Picker in GRIN]]="","",Master[[#This Row],[Geography (Collection) -Lookup Picker in GRIN]])</f>
        <v>United States, Nevada, Churchill</v>
      </c>
      <c r="G45" t="str">
        <f t="shared" si="10"/>
        <v>Y</v>
      </c>
      <c r="H45" s="45" t="str">
        <f>IF(Master[[#This Row],[Collecting or Acquisition Source - List]]="","",Master[[#This Row],[Collecting or Acquisition Source - List]])</f>
        <v/>
      </c>
      <c r="I45" t="str">
        <f>IF(Master[[#This Row],[Inventory Type - Lookup Picker]]="","",Master[[#This Row],[Inventory Type - Lookup Picker]])</f>
        <v>SD</v>
      </c>
      <c r="J45" s="4">
        <f>IF(Master[[#This Row],[Number Plants Sampled]]="","",Master[[#This Row],[Number Plants Sampled]])</f>
        <v>3000</v>
      </c>
      <c r="K45" s="4" t="str">
        <f>IF(Master[[#This Row],[Environment Description]]="","",Master[[#This Row],[Environment Description]])</f>
        <v>Grazed</v>
      </c>
      <c r="L45" s="4" t="str">
        <f>IF(Master[[#This Row],[Collector Verbatim Locality]]="","",Master[[#This Row],[Collector Verbatim Locality]])</f>
        <v>Desatoya Mountains/ Smith Creek Ranch/ Take 722 for approximately 22.2 miles, take a left, drive 7.5 miles, keep left at fork, drive 6.7 miles, to homestead, keep straight for 4.8 miles to site, near wooden outhouse and dilapidated building</v>
      </c>
      <c r="M45" s="4">
        <f>IF(Master[[#This Row],[Elevation (meters)]]=0,"",Master[[#This Row],[Elevation (meters)]])</f>
        <v>2173.2240000000002</v>
      </c>
      <c r="N45" s="55">
        <f>IF(Master[[#This Row],[Latitude -decimal degrees]]="","",Master[[#This Row],[Latitude -decimal degrees]])</f>
        <v>39.349440000000001</v>
      </c>
      <c r="O45" s="55">
        <f>IF(Master[[#This Row],[Longitude -decimal degrees]]="","",Master[[#This Row],[Longitude -decimal degrees]])</f>
        <v>-117.69555</v>
      </c>
      <c r="P45" s="5" t="str">
        <f>IF(Master[[#This Row],[Georeference Datum]]="","",Master[[#This Row],[Georeference Datum]])</f>
        <v/>
      </c>
      <c r="Q45" s="5" t="str">
        <f>IF(Master[[#This Row],[Georeference Protocol - Lookup Picker]]="","",Master[[#This Row],[Georeference Protocol - Lookup Picker]])</f>
        <v>Lat/lon determined by GPS</v>
      </c>
      <c r="R45" s="5" t="str">
        <f>IF(Master[[#This Row],[Associated Species]]="","",Master[[#This Row],[Associated Species]])</f>
        <v>Populus tremuloides:Purshia tridentata:Artemisia tridentata</v>
      </c>
      <c r="S45" t="str">
        <f t="shared" si="11"/>
        <v>Y</v>
      </c>
      <c r="T45" s="5" t="str">
        <f>IF(Master[[#This Row],[Note (Accession Source - Collector)]]="","",Master[[#This Row],[Note (Accession Source - Collector)]])</f>
        <v>K. McNeil, M. McCreary, S. Siller, K. Mahlmeister</v>
      </c>
      <c r="U45" s="3"/>
      <c r="W45" s="3"/>
      <c r="Y45" s="3"/>
    </row>
    <row r="46" spans="2:25" x14ac:dyDescent="0.25">
      <c r="B46" t="str">
        <f>Master[[#This Row],[Accession Prefix (NPGS)]]&amp;" "&amp;Master[[#This Row],[Accession Number -Assigned]]</f>
        <v>W6 59632</v>
      </c>
      <c r="C46" t="str">
        <f t="shared" si="8"/>
        <v>Collection source event</v>
      </c>
      <c r="D46" t="str">
        <f t="shared" si="9"/>
        <v>mm/dd/yyyy</v>
      </c>
      <c r="E46" s="77">
        <f>IF(IF(Master[[#This Row],[Date Collected or Developed]]="",Master[[#This Row],[Received Date -received by site]],Master[[#This Row],[Date Collected or Developed]])="","",(IF(Master[[#This Row],[Date Collected or Developed]]="",Master[[#This Row],[Received Date -received by site]],Master[[#This Row],[Date Collected or Developed]])))</f>
        <v>44131</v>
      </c>
      <c r="F46" s="76" t="str">
        <f>IF(Master[[#This Row],[Geography (Collection) -Lookup Picker in GRIN]]="","",Master[[#This Row],[Geography (Collection) -Lookup Picker in GRIN]])</f>
        <v>United States, Nevada, Lyon</v>
      </c>
      <c r="G46" t="str">
        <f t="shared" si="10"/>
        <v>Y</v>
      </c>
      <c r="H46" s="45" t="str">
        <f>IF(Master[[#This Row],[Collecting or Acquisition Source - List]]="","",Master[[#This Row],[Collecting or Acquisition Source - List]])</f>
        <v/>
      </c>
      <c r="I46" t="str">
        <f>IF(Master[[#This Row],[Inventory Type - Lookup Picker]]="","",Master[[#This Row],[Inventory Type - Lookup Picker]])</f>
        <v>SD</v>
      </c>
      <c r="J46" s="4">
        <f>IF(Master[[#This Row],[Number Plants Sampled]]="","",Master[[#This Row],[Number Plants Sampled]])</f>
        <v>100</v>
      </c>
      <c r="K46" s="4" t="str">
        <f>IF(Master[[#This Row],[Environment Description]]="","",Master[[#This Row],[Environment Description]])</f>
        <v>Grazed</v>
      </c>
      <c r="L46" s="4" t="str">
        <f>IF(Master[[#This Row],[Collector Verbatim Locality]]="","",Master[[#This Row],[Collector Verbatim Locality]])</f>
        <v>Santa margarita ranch/ west pasture/ Park alongside fence, species is visible all over pasture. 136 E Walker Road, Yerington, NV</v>
      </c>
      <c r="M46" s="4">
        <f>IF(Master[[#This Row],[Elevation (meters)]]=0,"",Master[[#This Row],[Elevation (meters)]])</f>
        <v>1423.4160000000002</v>
      </c>
      <c r="N46" s="55">
        <f>IF(Master[[#This Row],[Latitude -decimal degrees]]="","",Master[[#This Row],[Latitude -decimal degrees]])</f>
        <v>38.765270000000001</v>
      </c>
      <c r="O46" s="55">
        <f>IF(Master[[#This Row],[Longitude -decimal degrees]]="","",Master[[#This Row],[Longitude -decimal degrees]])</f>
        <v>-119.01888</v>
      </c>
      <c r="P46" s="5" t="str">
        <f>IF(Master[[#This Row],[Georeference Datum]]="","",Master[[#This Row],[Georeference Datum]])</f>
        <v>apple maps</v>
      </c>
      <c r="Q46" s="5" t="str">
        <f>IF(Master[[#This Row],[Georeference Protocol - Lookup Picker]]="","",Master[[#This Row],[Georeference Protocol - Lookup Picker]])</f>
        <v>Lat/lon determined by GPS</v>
      </c>
      <c r="R46" s="5" t="str">
        <f>IF(Master[[#This Row],[Associated Species]]="","",Master[[#This Row],[Associated Species]])</f>
        <v>Populus tremuloides:Salix exigua:Artemisia tridentata:Grindelia squarrosa</v>
      </c>
      <c r="S46" t="str">
        <f t="shared" si="11"/>
        <v>Y</v>
      </c>
      <c r="T46" s="5" t="str">
        <f>IF(Master[[#This Row],[Note (Accession Source - Collector)]]="","",Master[[#This Row],[Note (Accession Source - Collector)]])</f>
        <v>K. McNeill, M. McCreary, S. Siller, K. Mahlmeister</v>
      </c>
      <c r="U46" s="3"/>
      <c r="W46" s="3"/>
      <c r="Y46" s="3"/>
    </row>
    <row r="47" spans="2:25" x14ac:dyDescent="0.25">
      <c r="B47" t="str">
        <f>Master[[#This Row],[Accession Prefix (NPGS)]]&amp;" "&amp;Master[[#This Row],[Accession Number -Assigned]]</f>
        <v>W6 59633</v>
      </c>
      <c r="C47" t="str">
        <f t="shared" si="8"/>
        <v>Collection source event</v>
      </c>
      <c r="D47" t="str">
        <f t="shared" si="9"/>
        <v>mm/dd/yyyy</v>
      </c>
      <c r="E47" s="77">
        <f>IF(IF(Master[[#This Row],[Date Collected or Developed]]="",Master[[#This Row],[Received Date -received by site]],Master[[#This Row],[Date Collected or Developed]])="","",(IF(Master[[#This Row],[Date Collected or Developed]]="",Master[[#This Row],[Received Date -received by site]],Master[[#This Row],[Date Collected or Developed]])))</f>
        <v>44145</v>
      </c>
      <c r="F47" s="76" t="str">
        <f>IF(Master[[#This Row],[Geography (Collection) -Lookup Picker in GRIN]]="","",Master[[#This Row],[Geography (Collection) -Lookup Picker in GRIN]])</f>
        <v>United States, Nevada, Washoe</v>
      </c>
      <c r="G47" t="str">
        <f t="shared" si="10"/>
        <v>Y</v>
      </c>
      <c r="H47" s="45" t="str">
        <f>IF(Master[[#This Row],[Collecting or Acquisition Source - List]]="","",Master[[#This Row],[Collecting or Acquisition Source - List]])</f>
        <v/>
      </c>
      <c r="I47" t="str">
        <f>IF(Master[[#This Row],[Inventory Type - Lookup Picker]]="","",Master[[#This Row],[Inventory Type - Lookup Picker]])</f>
        <v>SD</v>
      </c>
      <c r="J47" s="4">
        <f>IF(Master[[#This Row],[Number Plants Sampled]]="","",Master[[#This Row],[Number Plants Sampled]])</f>
        <v>200</v>
      </c>
      <c r="K47" s="4" t="str">
        <f>IF(Master[[#This Row],[Environment Description]]="","",Master[[#This Row],[Environment Description]])</f>
        <v>Grazed:Trampled</v>
      </c>
      <c r="L47" s="4" t="str">
        <f>IF(Master[[#This Row],[Collector Verbatim Locality]]="","",Master[[#This Row],[Collector Verbatim Locality]])</f>
        <v>McCarran Ranch Preserve/ 102 Ranch Trailhead/ Park at 102 Ranch Trailhead. Plants are directly behind the fence.</v>
      </c>
      <c r="M47" s="4">
        <f>IF(Master[[#This Row],[Elevation (meters)]]=0,"",Master[[#This Row],[Elevation (meters)]])</f>
        <v>394.10640000000001</v>
      </c>
      <c r="N47" s="55">
        <f>IF(Master[[#This Row],[Latitude -decimal degrees]]="","",Master[[#This Row],[Latitude -decimal degrees]])</f>
        <v>39.565719999999999</v>
      </c>
      <c r="O47" s="55">
        <f>IF(Master[[#This Row],[Longitude -decimal degrees]]="","",Master[[#This Row],[Longitude -decimal degrees]])</f>
        <v>-119.49182999999999</v>
      </c>
      <c r="P47" s="5" t="str">
        <f>IF(Master[[#This Row],[Georeference Datum]]="","",Master[[#This Row],[Georeference Datum]])</f>
        <v>NAD83</v>
      </c>
      <c r="Q47" s="5" t="str">
        <f>IF(Master[[#This Row],[Georeference Protocol - Lookup Picker]]="","",Master[[#This Row],[Georeference Protocol - Lookup Picker]])</f>
        <v>Lat/lon determined by GPS</v>
      </c>
      <c r="R47" s="5" t="str">
        <f>IF(Master[[#This Row],[Associated Species]]="","",Master[[#This Row],[Associated Species]])</f>
        <v>Artemisia tridentata:Atriplex torreyi:Bromus tectorum:Lepidium latifolium</v>
      </c>
      <c r="S47" t="str">
        <f t="shared" si="11"/>
        <v>Y</v>
      </c>
      <c r="T47" s="5" t="str">
        <f>IF(Master[[#This Row],[Note (Accession Source - Collector)]]="","",Master[[#This Row],[Note (Accession Source - Collector)]])</f>
        <v>K. Mcneill, M. Mccreary, S. Siller, K. Mahlmeister</v>
      </c>
      <c r="U47" s="3"/>
      <c r="W47" s="3"/>
      <c r="Y47" s="3"/>
    </row>
    <row r="48" spans="2:25" x14ac:dyDescent="0.25">
      <c r="B48" t="str">
        <f>Master[[#This Row],[Accession Prefix (NPGS)]]&amp;" "&amp;Master[[#This Row],[Accession Number -Assigned]]</f>
        <v>W6 59634</v>
      </c>
      <c r="C48" t="str">
        <f t="shared" si="8"/>
        <v>Collection source event</v>
      </c>
      <c r="D48" t="str">
        <f t="shared" si="9"/>
        <v>mm/dd/yyyy</v>
      </c>
      <c r="E48" s="77">
        <f>IF(IF(Master[[#This Row],[Date Collected or Developed]]="",Master[[#This Row],[Received Date -received by site]],Master[[#This Row],[Date Collected or Developed]])="","",(IF(Master[[#This Row],[Date Collected or Developed]]="",Master[[#This Row],[Received Date -received by site]],Master[[#This Row],[Date Collected or Developed]])))</f>
        <v>44145</v>
      </c>
      <c r="F48" s="76" t="str">
        <f>IF(Master[[#This Row],[Geography (Collection) -Lookup Picker in GRIN]]="","",Master[[#This Row],[Geography (Collection) -Lookup Picker in GRIN]])</f>
        <v>United States, Nevada, Washoe</v>
      </c>
      <c r="G48" t="str">
        <f t="shared" si="10"/>
        <v>Y</v>
      </c>
      <c r="H48" s="45" t="str">
        <f>IF(Master[[#This Row],[Collecting or Acquisition Source - List]]="","",Master[[#This Row],[Collecting or Acquisition Source - List]])</f>
        <v/>
      </c>
      <c r="I48" t="str">
        <f>IF(Master[[#This Row],[Inventory Type - Lookup Picker]]="","",Master[[#This Row],[Inventory Type - Lookup Picker]])</f>
        <v>SD</v>
      </c>
      <c r="J48" s="4">
        <f>IF(Master[[#This Row],[Number Plants Sampled]]="","",Master[[#This Row],[Number Plants Sampled]])</f>
        <v>50</v>
      </c>
      <c r="K48" s="4" t="str">
        <f>IF(Master[[#This Row],[Environment Description]]="","",Master[[#This Row],[Environment Description]])</f>
        <v>Grazed:Trampled</v>
      </c>
      <c r="L48" s="4" t="str">
        <f>IF(Master[[#This Row],[Collector Verbatim Locality]]="","",Master[[#This Row],[Collector Verbatim Locality]])</f>
        <v>McCarran Ranch Preserve/ 102 Ranch Trailhead/ Park at 102 Ranch Trailhead. Plants are directly behind fence.</v>
      </c>
      <c r="M48" s="4">
        <f>IF(Master[[#This Row],[Elevation (meters)]]=0,"",Master[[#This Row],[Elevation (meters)]])</f>
        <v>394.10640000000001</v>
      </c>
      <c r="N48" s="55">
        <f>IF(Master[[#This Row],[Latitude -decimal degrees]]="","",Master[[#This Row],[Latitude -decimal degrees]])</f>
        <v>39.565719999999999</v>
      </c>
      <c r="O48" s="55">
        <f>IF(Master[[#This Row],[Longitude -decimal degrees]]="","",Master[[#This Row],[Longitude -decimal degrees]])</f>
        <v>-119.49182999999999</v>
      </c>
      <c r="P48" s="5" t="str">
        <f>IF(Master[[#This Row],[Georeference Datum]]="","",Master[[#This Row],[Georeference Datum]])</f>
        <v>google</v>
      </c>
      <c r="Q48" s="5" t="str">
        <f>IF(Master[[#This Row],[Georeference Protocol - Lookup Picker]]="","",Master[[#This Row],[Georeference Protocol - Lookup Picker]])</f>
        <v>Lat/lon determined by GPS</v>
      </c>
      <c r="R48" s="5" t="str">
        <f>IF(Master[[#This Row],[Associated Species]]="","",Master[[#This Row],[Associated Species]])</f>
        <v>Atriplex canescens:Artemisia tridentata:Lepidium latifolium</v>
      </c>
      <c r="S48" t="str">
        <f t="shared" si="11"/>
        <v>Y</v>
      </c>
      <c r="T48" s="5" t="str">
        <f>IF(Master[[#This Row],[Note (Accession Source - Collector)]]="","",Master[[#This Row],[Note (Accession Source - Collector)]])</f>
        <v>M. McCreary</v>
      </c>
      <c r="U48" s="3"/>
      <c r="W48" s="3"/>
      <c r="Y48" s="3"/>
    </row>
    <row r="49" spans="2:25" x14ac:dyDescent="0.25">
      <c r="B49" t="str">
        <f>Master[[#This Row],[Accession Prefix (NPGS)]]&amp;" "&amp;Master[[#This Row],[Accession Number -Assigned]]</f>
        <v>W6 59635</v>
      </c>
      <c r="C49" t="str">
        <f t="shared" si="8"/>
        <v>Collection source event</v>
      </c>
      <c r="D49" t="str">
        <f t="shared" si="9"/>
        <v>mm/dd/yyyy</v>
      </c>
      <c r="E49" s="77">
        <f>IF(IF(Master[[#This Row],[Date Collected or Developed]]="",Master[[#This Row],[Received Date -received by site]],Master[[#This Row],[Date Collected or Developed]])="","",(IF(Master[[#This Row],[Date Collected or Developed]]="",Master[[#This Row],[Received Date -received by site]],Master[[#This Row],[Date Collected or Developed]])))</f>
        <v>44154</v>
      </c>
      <c r="F49" s="76" t="str">
        <f>IF(Master[[#This Row],[Geography (Collection) -Lookup Picker in GRIN]]="","",Master[[#This Row],[Geography (Collection) -Lookup Picker in GRIN]])</f>
        <v>United States, Nevada, Lyon</v>
      </c>
      <c r="G49" t="str">
        <f t="shared" si="10"/>
        <v>Y</v>
      </c>
      <c r="H49" s="45" t="str">
        <f>IF(Master[[#This Row],[Collecting or Acquisition Source - List]]="","",Master[[#This Row],[Collecting or Acquisition Source - List]])</f>
        <v/>
      </c>
      <c r="I49" t="str">
        <f>IF(Master[[#This Row],[Inventory Type - Lookup Picker]]="","",Master[[#This Row],[Inventory Type - Lookup Picker]])</f>
        <v>SD</v>
      </c>
      <c r="J49" s="4">
        <f>IF(Master[[#This Row],[Number Plants Sampled]]="","",Master[[#This Row],[Number Plants Sampled]])</f>
        <v>300</v>
      </c>
      <c r="K49" s="4" t="str">
        <f>IF(Master[[#This Row],[Environment Description]]="","",Master[[#This Row],[Environment Description]])</f>
        <v>Trampled</v>
      </c>
      <c r="L49" s="4" t="str">
        <f>IF(Master[[#This Row],[Collector Verbatim Locality]]="","",Master[[#This Row],[Collector Verbatim Locality]])</f>
        <v>Fort Churchill St Park/ Off-Road Recreation Area/ Turn onto Simpson Road from Alt. 95. Follow dirt road for about 1/2 mile to open parking area. Plants are located between Park fence and the highway.</v>
      </c>
      <c r="M49" s="4">
        <f>IF(Master[[#This Row],[Elevation (meters)]]=0,"",Master[[#This Row],[Elevation (meters)]])</f>
        <v>1285.0368000000001</v>
      </c>
      <c r="N49" s="55">
        <f>IF(Master[[#This Row],[Latitude -decimal degrees]]="","",Master[[#This Row],[Latitude -decimal degrees]])</f>
        <v>39.279220000000002</v>
      </c>
      <c r="O49" s="55">
        <f>IF(Master[[#This Row],[Longitude -decimal degrees]]="","",Master[[#This Row],[Longitude -decimal degrees]])</f>
        <v>-119.23858</v>
      </c>
      <c r="P49" s="5" t="str">
        <f>IF(Master[[#This Row],[Georeference Datum]]="","",Master[[#This Row],[Georeference Datum]])</f>
        <v>WGS84</v>
      </c>
      <c r="Q49" s="5" t="str">
        <f>IF(Master[[#This Row],[Georeference Protocol - Lookup Picker]]="","",Master[[#This Row],[Georeference Protocol - Lookup Picker]])</f>
        <v>Lat/lon determined by GPS</v>
      </c>
      <c r="R49" s="5" t="str">
        <f>IF(Master[[#This Row],[Associated Species]]="","",Master[[#This Row],[Associated Species]])</f>
        <v>Bromus tectorum:Suaeda nigra:Sarcobatus vermiculatus:Malva sp.</v>
      </c>
      <c r="S49" t="str">
        <f t="shared" si="11"/>
        <v>Y</v>
      </c>
      <c r="T49" s="5" t="str">
        <f>IF(Master[[#This Row],[Note (Accession Source - Collector)]]="","",Master[[#This Row],[Note (Accession Source - Collector)]])</f>
        <v>M. McCreary, K. Mahlmeister, S. Siller, K McNeill</v>
      </c>
      <c r="U49" s="3"/>
      <c r="W49" s="3"/>
      <c r="Y49" s="3"/>
    </row>
    <row r="50" spans="2:25" x14ac:dyDescent="0.25">
      <c r="B50" t="str">
        <f>Master[[#This Row],[Accession Prefix (NPGS)]]&amp;" "&amp;Master[[#This Row],[Accession Number -Assigned]]</f>
        <v>W6 59636</v>
      </c>
      <c r="C50" t="str">
        <f t="shared" si="8"/>
        <v>Collection source event</v>
      </c>
      <c r="D50" t="str">
        <f t="shared" si="9"/>
        <v>mm/dd/yyyy</v>
      </c>
      <c r="E50" s="77">
        <f>IF(IF(Master[[#This Row],[Date Collected or Developed]]="",Master[[#This Row],[Received Date -received by site]],Master[[#This Row],[Date Collected or Developed]])="","",(IF(Master[[#This Row],[Date Collected or Developed]]="",Master[[#This Row],[Received Date -received by site]],Master[[#This Row],[Date Collected or Developed]])))</f>
        <v>44158</v>
      </c>
      <c r="F50" s="76" t="str">
        <f>IF(Master[[#This Row],[Geography (Collection) -Lookup Picker in GRIN]]="","",Master[[#This Row],[Geography (Collection) -Lookup Picker in GRIN]])</f>
        <v>United States, Nevada, Washoe</v>
      </c>
      <c r="G50" t="str">
        <f t="shared" si="10"/>
        <v>Y</v>
      </c>
      <c r="H50" s="45" t="str">
        <f>IF(Master[[#This Row],[Collecting or Acquisition Source - List]]="","",Master[[#This Row],[Collecting or Acquisition Source - List]])</f>
        <v/>
      </c>
      <c r="I50" t="str">
        <f>IF(Master[[#This Row],[Inventory Type - Lookup Picker]]="","",Master[[#This Row],[Inventory Type - Lookup Picker]])</f>
        <v>SD</v>
      </c>
      <c r="J50" s="4">
        <f>IF(Master[[#This Row],[Number Plants Sampled]]="","",Master[[#This Row],[Number Plants Sampled]])</f>
        <v>100</v>
      </c>
      <c r="K50" s="4" t="str">
        <f>IF(Master[[#This Row],[Environment Description]]="","",Master[[#This Row],[Environment Description]])</f>
        <v>Grazed</v>
      </c>
      <c r="L50" s="4" t="str">
        <f>IF(Master[[#This Row],[Collector Verbatim Locality]]="","",Master[[#This Row],[Collector Verbatim Locality]])</f>
        <v>Bedell Flats/ / Plants are found along the road.</v>
      </c>
      <c r="M50" s="4">
        <f>IF(Master[[#This Row],[Elevation (meters)]]=0,"",Master[[#This Row],[Elevation (meters)]])</f>
        <v>1530.096</v>
      </c>
      <c r="N50" s="55">
        <f>IF(Master[[#This Row],[Latitude -decimal degrees]]="","",Master[[#This Row],[Latitude -decimal degrees]])</f>
        <v>39.859160000000003</v>
      </c>
      <c r="O50" s="55">
        <f>IF(Master[[#This Row],[Longitude -decimal degrees]]="","",Master[[#This Row],[Longitude -decimal degrees]])</f>
        <v>-119.825</v>
      </c>
      <c r="P50" s="5" t="str">
        <f>IF(Master[[#This Row],[Georeference Datum]]="","",Master[[#This Row],[Georeference Datum]])</f>
        <v>WGS84</v>
      </c>
      <c r="Q50" s="5" t="str">
        <f>IF(Master[[#This Row],[Georeference Protocol - Lookup Picker]]="","",Master[[#This Row],[Georeference Protocol - Lookup Picker]])</f>
        <v>Lat/lon determined by GPS</v>
      </c>
      <c r="R50" s="5" t="str">
        <f>IF(Master[[#This Row],[Associated Species]]="","",Master[[#This Row],[Associated Species]])</f>
        <v>Bromus tectorum</v>
      </c>
      <c r="S50" t="str">
        <f t="shared" si="11"/>
        <v>Y</v>
      </c>
      <c r="T50" s="5" t="str">
        <f>IF(Master[[#This Row],[Note (Accession Source - Collector)]]="","",Master[[#This Row],[Note (Accession Source - Collector)]])</f>
        <v>M. McCreary, K. Mahlmeister, S. Siller</v>
      </c>
      <c r="U50" s="3"/>
      <c r="W50" s="3"/>
      <c r="Y50" s="3"/>
    </row>
    <row r="51" spans="2:25" x14ac:dyDescent="0.25">
      <c r="B51" t="str">
        <f>Master[[#This Row],[Accession Prefix (NPGS)]]&amp;" "&amp;Master[[#This Row],[Accession Number -Assigned]]</f>
        <v>W6 59637</v>
      </c>
      <c r="C51" t="str">
        <f t="shared" si="8"/>
        <v>Collection source event</v>
      </c>
      <c r="D51" t="str">
        <f t="shared" si="9"/>
        <v>mm/dd/yyyy</v>
      </c>
      <c r="E51" s="77">
        <f>IF(IF(Master[[#This Row],[Date Collected or Developed]]="",Master[[#This Row],[Received Date -received by site]],Master[[#This Row],[Date Collected or Developed]])="","",(IF(Master[[#This Row],[Date Collected or Developed]]="",Master[[#This Row],[Received Date -received by site]],Master[[#This Row],[Date Collected or Developed]])))</f>
        <v>44168</v>
      </c>
      <c r="F51" s="76" t="str">
        <f>IF(Master[[#This Row],[Geography (Collection) -Lookup Picker in GRIN]]="","",Master[[#This Row],[Geography (Collection) -Lookup Picker in GRIN]])</f>
        <v>United States, Nevada, Lyon</v>
      </c>
      <c r="G51" t="str">
        <f t="shared" si="10"/>
        <v>Y</v>
      </c>
      <c r="H51" s="45" t="str">
        <f>IF(Master[[#This Row],[Collecting or Acquisition Source - List]]="","",Master[[#This Row],[Collecting or Acquisition Source - List]])</f>
        <v/>
      </c>
      <c r="I51" t="str">
        <f>IF(Master[[#This Row],[Inventory Type - Lookup Picker]]="","",Master[[#This Row],[Inventory Type - Lookup Picker]])</f>
        <v>SD</v>
      </c>
      <c r="J51" s="4">
        <f>IF(Master[[#This Row],[Number Plants Sampled]]="","",Master[[#This Row],[Number Plants Sampled]])</f>
        <v>50</v>
      </c>
      <c r="K51" s="4" t="str">
        <f>IF(Master[[#This Row],[Environment Description]]="","",Master[[#This Row],[Environment Description]])</f>
        <v>Trampled</v>
      </c>
      <c r="L51" s="4" t="str">
        <f>IF(Master[[#This Row],[Collector Verbatim Locality]]="","",Master[[#This Row],[Collector Verbatim Locality]])</f>
        <v>Santa Margarita Ranch/ / Santa Margarita Ranch service roads along river.</v>
      </c>
      <c r="M51" s="4">
        <f>IF(Master[[#This Row],[Elevation (meters)]]=0,"",Master[[#This Row],[Elevation (meters)]])</f>
        <v>1408.1760000000002</v>
      </c>
      <c r="N51" s="55">
        <f>IF(Master[[#This Row],[Latitude -decimal degrees]]="","",Master[[#This Row],[Latitude -decimal degrees]])</f>
        <v>38.776940000000003</v>
      </c>
      <c r="O51" s="55">
        <f>IF(Master[[#This Row],[Longitude -decimal degrees]]="","",Master[[#This Row],[Longitude -decimal degrees]])</f>
        <v>-119.02916</v>
      </c>
      <c r="P51" s="5" t="str">
        <f>IF(Master[[#This Row],[Georeference Datum]]="","",Master[[#This Row],[Georeference Datum]])</f>
        <v>WGS84</v>
      </c>
      <c r="Q51" s="5" t="str">
        <f>IF(Master[[#This Row],[Georeference Protocol - Lookup Picker]]="","",Master[[#This Row],[Georeference Protocol - Lookup Picker]])</f>
        <v>Lat/lon determined by GPS</v>
      </c>
      <c r="R51" s="5" t="str">
        <f>IF(Master[[#This Row],[Associated Species]]="","",Master[[#This Row],[Associated Species]])</f>
        <v>Euthamia occidentalis:Juncus sp.:Salix sp.:Lepidium latifolium</v>
      </c>
      <c r="S51" t="str">
        <f t="shared" si="11"/>
        <v>Y</v>
      </c>
      <c r="T51" s="5" t="str">
        <f>IF(Master[[#This Row],[Note (Accession Source - Collector)]]="","",Master[[#This Row],[Note (Accession Source - Collector)]])</f>
        <v>M. McCreary, K. Mahlmeister, S. Siller, K McNeill</v>
      </c>
      <c r="U51" s="3"/>
      <c r="W51" s="3"/>
      <c r="Y51" s="3"/>
    </row>
    <row r="52" spans="2:25" x14ac:dyDescent="0.25">
      <c r="B52" t="str">
        <f>Master[[#This Row],[Accession Prefix (NPGS)]]&amp;" "&amp;Master[[#This Row],[Accession Number -Assigned]]</f>
        <v>W6 59638</v>
      </c>
      <c r="C52" t="str">
        <f t="shared" si="8"/>
        <v>Collection source event</v>
      </c>
      <c r="D52" t="str">
        <f t="shared" si="9"/>
        <v>mm/dd/yyyy</v>
      </c>
      <c r="E52" s="77">
        <f>IF(IF(Master[[#This Row],[Date Collected or Developed]]="",Master[[#This Row],[Received Date -received by site]],Master[[#This Row],[Date Collected or Developed]])="","",(IF(Master[[#This Row],[Date Collected or Developed]]="",Master[[#This Row],[Received Date -received by site]],Master[[#This Row],[Date Collected or Developed]])))</f>
        <v>44168</v>
      </c>
      <c r="F52" s="76" t="str">
        <f>IF(Master[[#This Row],[Geography (Collection) -Lookup Picker in GRIN]]="","",Master[[#This Row],[Geography (Collection) -Lookup Picker in GRIN]])</f>
        <v>United States, Nevada, Lyon</v>
      </c>
      <c r="G52" t="str">
        <f t="shared" si="10"/>
        <v>Y</v>
      </c>
      <c r="H52" s="45" t="str">
        <f>IF(Master[[#This Row],[Collecting or Acquisition Source - List]]="","",Master[[#This Row],[Collecting or Acquisition Source - List]])</f>
        <v/>
      </c>
      <c r="I52" t="str">
        <f>IF(Master[[#This Row],[Inventory Type - Lookup Picker]]="","",Master[[#This Row],[Inventory Type - Lookup Picker]])</f>
        <v>SD</v>
      </c>
      <c r="J52" s="4">
        <f>IF(Master[[#This Row],[Number Plants Sampled]]="","",Master[[#This Row],[Number Plants Sampled]])</f>
        <v>80</v>
      </c>
      <c r="K52" s="4" t="str">
        <f>IF(Master[[#This Row],[Environment Description]]="","",Master[[#This Row],[Environment Description]])</f>
        <v>Grazed:Trampled</v>
      </c>
      <c r="L52" s="4" t="str">
        <f>IF(Master[[#This Row],[Collector Verbatim Locality]]="","",Master[[#This Row],[Collector Verbatim Locality]])</f>
        <v>Santa Margarita Ranch/ / Santa Margarita Ranch service roads along river</v>
      </c>
      <c r="M52" s="4">
        <f>IF(Master[[#This Row],[Elevation (meters)]]=0,"",Master[[#This Row],[Elevation (meters)]])</f>
        <v>1408.1760000000002</v>
      </c>
      <c r="N52" s="55">
        <f>IF(Master[[#This Row],[Latitude -decimal degrees]]="","",Master[[#This Row],[Latitude -decimal degrees]])</f>
        <v>38.779470000000003</v>
      </c>
      <c r="O52" s="55">
        <f>IF(Master[[#This Row],[Longitude -decimal degrees]]="","",Master[[#This Row],[Longitude -decimal degrees]])</f>
        <v>-119.02327</v>
      </c>
      <c r="P52" s="5" t="str">
        <f>IF(Master[[#This Row],[Georeference Datum]]="","",Master[[#This Row],[Georeference Datum]])</f>
        <v>WGS84</v>
      </c>
      <c r="Q52" s="5" t="str">
        <f>IF(Master[[#This Row],[Georeference Protocol - Lookup Picker]]="","",Master[[#This Row],[Georeference Protocol - Lookup Picker]])</f>
        <v>Lat/lon determined by GPS</v>
      </c>
      <c r="R52" s="5" t="str">
        <f>IF(Master[[#This Row],[Associated Species]]="","",Master[[#This Row],[Associated Species]])</f>
        <v>Typha latifolia:Salix sp.:Juncus sp.:Lepidium latifolium</v>
      </c>
      <c r="S52" t="str">
        <f t="shared" si="11"/>
        <v>Y</v>
      </c>
      <c r="T52" s="5" t="str">
        <f>IF(Master[[#This Row],[Note (Accession Source - Collector)]]="","",Master[[#This Row],[Note (Accession Source - Collector)]])</f>
        <v>M. McCreary, K. Mahlmeister, S. Siller, K McNeill</v>
      </c>
      <c r="U52" s="3"/>
      <c r="W52" s="3"/>
      <c r="Y52" s="3"/>
    </row>
    <row r="53" spans="2:25" x14ac:dyDescent="0.25">
      <c r="B53" t="str">
        <f>Master[[#This Row],[Accession Prefix (NPGS)]]&amp;" "&amp;Master[[#This Row],[Accession Number -Assigned]]</f>
        <v>W6 59639</v>
      </c>
      <c r="C53" t="str">
        <f t="shared" si="8"/>
        <v>Collection source event</v>
      </c>
      <c r="D53" t="str">
        <f t="shared" si="9"/>
        <v>mm/dd/yyyy</v>
      </c>
      <c r="E53" s="77">
        <f>IF(IF(Master[[#This Row],[Date Collected or Developed]]="",Master[[#This Row],[Received Date -received by site]],Master[[#This Row],[Date Collected or Developed]])="","",(IF(Master[[#This Row],[Date Collected or Developed]]="",Master[[#This Row],[Received Date -received by site]],Master[[#This Row],[Date Collected or Developed]])))</f>
        <v>44168</v>
      </c>
      <c r="F53" s="76" t="str">
        <f>IF(Master[[#This Row],[Geography (Collection) -Lookup Picker in GRIN]]="","",Master[[#This Row],[Geography (Collection) -Lookup Picker in GRIN]])</f>
        <v>United States, Nevada, Lyon</v>
      </c>
      <c r="G53" t="str">
        <f t="shared" si="10"/>
        <v>Y</v>
      </c>
      <c r="H53" s="45" t="str">
        <f>IF(Master[[#This Row],[Collecting or Acquisition Source - List]]="","",Master[[#This Row],[Collecting or Acquisition Source - List]])</f>
        <v/>
      </c>
      <c r="I53" t="str">
        <f>IF(Master[[#This Row],[Inventory Type - Lookup Picker]]="","",Master[[#This Row],[Inventory Type - Lookup Picker]])</f>
        <v>SD</v>
      </c>
      <c r="J53" s="4">
        <f>IF(Master[[#This Row],[Number Plants Sampled]]="","",Master[[#This Row],[Number Plants Sampled]])</f>
        <v>50</v>
      </c>
      <c r="K53" s="4" t="str">
        <f>IF(Master[[#This Row],[Environment Description]]="","",Master[[#This Row],[Environment Description]])</f>
        <v>Grazed:Trampled</v>
      </c>
      <c r="L53" s="4" t="str">
        <f>IF(Master[[#This Row],[Collector Verbatim Locality]]="","",Master[[#This Row],[Collector Verbatim Locality]])</f>
        <v>Santa Margarita Ranch/ / Santa Margarita Ranch service roads along river</v>
      </c>
      <c r="M53" s="4">
        <f>IF(Master[[#This Row],[Elevation (meters)]]=0,"",Master[[#This Row],[Elevation (meters)]])</f>
        <v>1408.1760000000002</v>
      </c>
      <c r="N53" s="55">
        <f>IF(Master[[#This Row],[Latitude -decimal degrees]]="","",Master[[#This Row],[Latitude -decimal degrees]])</f>
        <v>38.776940000000003</v>
      </c>
      <c r="O53" s="55">
        <f>IF(Master[[#This Row],[Longitude -decimal degrees]]="","",Master[[#This Row],[Longitude -decimal degrees]])</f>
        <v>-119.02916</v>
      </c>
      <c r="P53" s="5" t="str">
        <f>IF(Master[[#This Row],[Georeference Datum]]="","",Master[[#This Row],[Georeference Datum]])</f>
        <v>WGS84</v>
      </c>
      <c r="Q53" s="5" t="str">
        <f>IF(Master[[#This Row],[Georeference Protocol - Lookup Picker]]="","",Master[[#This Row],[Georeference Protocol - Lookup Picker]])</f>
        <v>Lat/lon determined by GPS</v>
      </c>
      <c r="R53" s="5" t="str">
        <f>IF(Master[[#This Row],[Associated Species]]="","",Master[[#This Row],[Associated Species]])</f>
        <v>Typha latifolia:Lepidium latifolium:Salix sp.:Juncus sp.</v>
      </c>
      <c r="S53" t="str">
        <f t="shared" si="11"/>
        <v>Y</v>
      </c>
      <c r="T53" s="5" t="str">
        <f>IF(Master[[#This Row],[Note (Accession Source - Collector)]]="","",Master[[#This Row],[Note (Accession Source - Collector)]])</f>
        <v>M. McCreary, K. Mahlmeister, S. Siller, K McNeill</v>
      </c>
      <c r="U53" s="3"/>
      <c r="W53" s="3"/>
      <c r="Y53" s="3"/>
    </row>
    <row r="54" spans="2:25" x14ac:dyDescent="0.25">
      <c r="B54" t="str">
        <f>Master[[#This Row],[Accession Prefix (NPGS)]]&amp;" "&amp;Master[[#This Row],[Accession Number -Assigned]]</f>
        <v>W6 59640</v>
      </c>
      <c r="C54" t="str">
        <f t="shared" ref="C54:C85" si="12">"Collection source event"</f>
        <v>Collection source event</v>
      </c>
      <c r="D54" t="str">
        <f t="shared" ref="D54:D85" si="13">"mm/dd/yyyy"</f>
        <v>mm/dd/yyyy</v>
      </c>
      <c r="E54" s="77">
        <f>IF(IF(Master[[#This Row],[Date Collected or Developed]]="",Master[[#This Row],[Received Date -received by site]],Master[[#This Row],[Date Collected or Developed]])="","",(IF(Master[[#This Row],[Date Collected or Developed]]="",Master[[#This Row],[Received Date -received by site]],Master[[#This Row],[Date Collected or Developed]])))</f>
        <v>44180</v>
      </c>
      <c r="F54" s="76" t="str">
        <f>IF(Master[[#This Row],[Geography (Collection) -Lookup Picker in GRIN]]="","",Master[[#This Row],[Geography (Collection) -Lookup Picker in GRIN]])</f>
        <v>United States, Nevada, Washoe</v>
      </c>
      <c r="G54" t="str">
        <f t="shared" ref="G54:G85" si="14">"Y"</f>
        <v>Y</v>
      </c>
      <c r="H54" s="45" t="str">
        <f>IF(Master[[#This Row],[Collecting or Acquisition Source - List]]="","",Master[[#This Row],[Collecting or Acquisition Source - List]])</f>
        <v/>
      </c>
      <c r="I54" t="str">
        <f>IF(Master[[#This Row],[Inventory Type - Lookup Picker]]="","",Master[[#This Row],[Inventory Type - Lookup Picker]])</f>
        <v>SD</v>
      </c>
      <c r="J54" s="4">
        <f>IF(Master[[#This Row],[Number Plants Sampled]]="","",Master[[#This Row],[Number Plants Sampled]])</f>
        <v>1000</v>
      </c>
      <c r="K54" s="4" t="str">
        <f>IF(Master[[#This Row],[Environment Description]]="","",Master[[#This Row],[Environment Description]])</f>
        <v>Trampled</v>
      </c>
      <c r="L54" s="4" t="str">
        <f>IF(Master[[#This Row],[Collector Verbatim Locality]]="","",Master[[#This Row],[Collector Verbatim Locality]])</f>
        <v>Washoe Lake State Park/ / West of Eastlake Blvs off of 222. Park at Miner Mayhem play area. Plants are in all directions as dominant species.</v>
      </c>
      <c r="M54" s="4">
        <f>IF(Master[[#This Row],[Elevation (meters)]]=0,"",Master[[#This Row],[Elevation (meters)]])</f>
        <v>1534.0584000000001</v>
      </c>
      <c r="N54" s="55">
        <f>IF(Master[[#This Row],[Latitude -decimal degrees]]="","",Master[[#This Row],[Latitude -decimal degrees]])</f>
        <v>39.239249999999998</v>
      </c>
      <c r="O54" s="55">
        <f>IF(Master[[#This Row],[Longitude -decimal degrees]]="","",Master[[#This Row],[Longitude -decimal degrees]])</f>
        <v>-119.76730000000001</v>
      </c>
      <c r="P54" s="5" t="str">
        <f>IF(Master[[#This Row],[Georeference Datum]]="","",Master[[#This Row],[Georeference Datum]])</f>
        <v>WGS84</v>
      </c>
      <c r="Q54" s="5" t="str">
        <f>IF(Master[[#This Row],[Georeference Protocol - Lookup Picker]]="","",Master[[#This Row],[Georeference Protocol - Lookup Picker]])</f>
        <v>Lat/lon determined by GPS</v>
      </c>
      <c r="R54" s="5" t="str">
        <f>IF(Master[[#This Row],[Associated Species]]="","",Master[[#This Row],[Associated Species]])</f>
        <v>Distichlis spicata:Ericameria nauseosa:Achnatherum hymenoides:Tetradymia canescens:Bromus tectorum:Bromus tectorum</v>
      </c>
      <c r="S54" t="str">
        <f t="shared" ref="S54:S85" si="15">"Y"</f>
        <v>Y</v>
      </c>
      <c r="T54" s="5" t="str">
        <f>IF(Master[[#This Row],[Note (Accession Source - Collector)]]="","",Master[[#This Row],[Note (Accession Source - Collector)]])</f>
        <v>K McNeill, M McCreary, K Mahlmeister, S Siller</v>
      </c>
      <c r="U54" s="3"/>
      <c r="W54" s="3"/>
      <c r="Y54" s="3"/>
    </row>
    <row r="55" spans="2:25" x14ac:dyDescent="0.25">
      <c r="B55" t="str">
        <f>Master[[#This Row],[Accession Prefix (NPGS)]]&amp;" "&amp;Master[[#This Row],[Accession Number -Assigned]]</f>
        <v>W6 59641</v>
      </c>
      <c r="C55" t="str">
        <f t="shared" si="12"/>
        <v>Collection source event</v>
      </c>
      <c r="D55" t="str">
        <f t="shared" si="13"/>
        <v>mm/dd/yyyy</v>
      </c>
      <c r="E55" s="77">
        <f>IF(IF(Master[[#This Row],[Date Collected or Developed]]="",Master[[#This Row],[Received Date -received by site]],Master[[#This Row],[Date Collected or Developed]])="","",(IF(Master[[#This Row],[Date Collected or Developed]]="",Master[[#This Row],[Received Date -received by site]],Master[[#This Row],[Date Collected or Developed]])))</f>
        <v>44060</v>
      </c>
      <c r="F55" s="76" t="str">
        <f>IF(Master[[#This Row],[Geography (Collection) -Lookup Picker in GRIN]]="","",Master[[#This Row],[Geography (Collection) -Lookup Picker in GRIN]])</f>
        <v>United States, California, Mono</v>
      </c>
      <c r="G55" t="str">
        <f t="shared" si="14"/>
        <v>Y</v>
      </c>
      <c r="H55" s="45" t="str">
        <f>IF(Master[[#This Row],[Collecting or Acquisition Source - List]]="","",Master[[#This Row],[Collecting or Acquisition Source - List]])</f>
        <v/>
      </c>
      <c r="I55" t="str">
        <f>IF(Master[[#This Row],[Inventory Type - Lookup Picker]]="","",Master[[#This Row],[Inventory Type - Lookup Picker]])</f>
        <v>SD</v>
      </c>
      <c r="J55" s="4">
        <f>IF(Master[[#This Row],[Number Plants Sampled]]="","",Master[[#This Row],[Number Plants Sampled]])</f>
        <v>500</v>
      </c>
      <c r="K55" s="4" t="str">
        <f>IF(Master[[#This Row],[Environment Description]]="","",Master[[#This Row],[Environment Description]])</f>
        <v/>
      </c>
      <c r="L55" s="4" t="str">
        <f>IF(Master[[#This Row],[Collector Verbatim Locality]]="","",Master[[#This Row],[Collector Verbatim Locality]])</f>
        <v>Inyo National Forest/ Mono Lake/ North side of riparian area/lakeshore. Near end of FS-2N19A.</v>
      </c>
      <c r="M55" s="4">
        <f>IF(Master[[#This Row],[Elevation (meters)]]=0,"",Master[[#This Row],[Elevation (meters)]])</f>
        <v>587.65440000000001</v>
      </c>
      <c r="N55" s="55">
        <f>IF(Master[[#This Row],[Latitude -decimal degrees]]="","",Master[[#This Row],[Latitude -decimal degrees]])</f>
        <v>38.053719999999998</v>
      </c>
      <c r="O55" s="55">
        <f>IF(Master[[#This Row],[Longitude -decimal degrees]]="","",Master[[#This Row],[Longitude -decimal degrees]])</f>
        <v>-119.07568999999999</v>
      </c>
      <c r="P55" s="5" t="str">
        <f>IF(Master[[#This Row],[Georeference Datum]]="","",Master[[#This Row],[Georeference Datum]])</f>
        <v/>
      </c>
      <c r="Q55" s="5" t="str">
        <f>IF(Master[[#This Row],[Georeference Protocol - Lookup Picker]]="","",Master[[#This Row],[Georeference Protocol - Lookup Picker]])</f>
        <v>Lat/lon determined by GPS</v>
      </c>
      <c r="R55" s="5" t="str">
        <f>IF(Master[[#This Row],[Associated Species]]="","",Master[[#This Row],[Associated Species]])</f>
        <v>Distichlis spicata:Ericameria nauseosa</v>
      </c>
      <c r="S55" t="str">
        <f t="shared" si="15"/>
        <v>Y</v>
      </c>
      <c r="T55" s="5" t="str">
        <f>IF(Master[[#This Row],[Note (Accession Source - Collector)]]="","",Master[[#This Row],[Note (Accession Source - Collector)]])</f>
        <v>M. McCreary, K. Mahlmeister</v>
      </c>
      <c r="U55" s="3"/>
      <c r="W55" s="3"/>
      <c r="Y55" s="3"/>
    </row>
    <row r="56" spans="2:25" x14ac:dyDescent="0.25">
      <c r="B56" t="str">
        <f>Master[[#This Row],[Accession Prefix (NPGS)]]&amp;" "&amp;Master[[#This Row],[Accession Number -Assigned]]</f>
        <v>W6 59642</v>
      </c>
      <c r="C56" t="str">
        <f t="shared" si="12"/>
        <v>Collection source event</v>
      </c>
      <c r="D56" t="str">
        <f t="shared" si="13"/>
        <v>mm/dd/yyyy</v>
      </c>
      <c r="E56" s="77">
        <f>IF(IF(Master[[#This Row],[Date Collected or Developed]]="",Master[[#This Row],[Received Date -received by site]],Master[[#This Row],[Date Collected or Developed]])="","",(IF(Master[[#This Row],[Date Collected or Developed]]="",Master[[#This Row],[Received Date -received by site]],Master[[#This Row],[Date Collected or Developed]])))</f>
        <v>44068</v>
      </c>
      <c r="F56" s="76" t="str">
        <f>IF(Master[[#This Row],[Geography (Collection) -Lookup Picker in GRIN]]="","",Master[[#This Row],[Geography (Collection) -Lookup Picker in GRIN]])</f>
        <v>United States, California, Mono</v>
      </c>
      <c r="G56" t="str">
        <f t="shared" si="14"/>
        <v>Y</v>
      </c>
      <c r="H56" s="45" t="str">
        <f>IF(Master[[#This Row],[Collecting or Acquisition Source - List]]="","",Master[[#This Row],[Collecting or Acquisition Source - List]])</f>
        <v/>
      </c>
      <c r="I56" t="str">
        <f>IF(Master[[#This Row],[Inventory Type - Lookup Picker]]="","",Master[[#This Row],[Inventory Type - Lookup Picker]])</f>
        <v>SD</v>
      </c>
      <c r="J56" s="4">
        <f>IF(Master[[#This Row],[Number Plants Sampled]]="","",Master[[#This Row],[Number Plants Sampled]])</f>
        <v>700</v>
      </c>
      <c r="K56" s="4" t="str">
        <f>IF(Master[[#This Row],[Environment Description]]="","",Master[[#This Row],[Environment Description]])</f>
        <v/>
      </c>
      <c r="L56" s="4" t="str">
        <f>IF(Master[[#This Row],[Collector Verbatim Locality]]="","",Master[[#This Row],[Collector Verbatim Locality]])</f>
        <v>Inyo National Forest/ Mono Lake/ Grassy area near lakeshore, north of large rabbitbrush patch</v>
      </c>
      <c r="M56" s="4">
        <f>IF(Master[[#This Row],[Elevation (meters)]]=0,"",Master[[#This Row],[Elevation (meters)]])</f>
        <v>1947.672</v>
      </c>
      <c r="N56" s="55">
        <f>IF(Master[[#This Row],[Latitude -decimal degrees]]="","",Master[[#This Row],[Latitude -decimal degrees]])</f>
        <v>38.055250000000001</v>
      </c>
      <c r="O56" s="55">
        <f>IF(Master[[#This Row],[Longitude -decimal degrees]]="","",Master[[#This Row],[Longitude -decimal degrees]])</f>
        <v>-119.06601999999999</v>
      </c>
      <c r="P56" s="5" t="str">
        <f>IF(Master[[#This Row],[Georeference Datum]]="","",Master[[#This Row],[Georeference Datum]])</f>
        <v>GOOGLE MAP</v>
      </c>
      <c r="Q56" s="5" t="str">
        <f>IF(Master[[#This Row],[Georeference Protocol - Lookup Picker]]="","",Master[[#This Row],[Georeference Protocol - Lookup Picker]])</f>
        <v>Lat/lon determined by GPS</v>
      </c>
      <c r="R56" s="5" t="str">
        <f>IF(Master[[#This Row],[Associated Species]]="","",Master[[#This Row],[Associated Species]])</f>
        <v>Distichlis spicata:Ericameria nauseosa</v>
      </c>
      <c r="S56" t="str">
        <f t="shared" si="15"/>
        <v>Y</v>
      </c>
      <c r="T56" s="5" t="str">
        <f>IF(Master[[#This Row],[Note (Accession Source - Collector)]]="","",Master[[#This Row],[Note (Accession Source - Collector)]])</f>
        <v>McCreary, M., Mahlmeister, K.</v>
      </c>
      <c r="U56" s="3"/>
      <c r="W56" s="3"/>
      <c r="Y56" s="3"/>
    </row>
    <row r="57" spans="2:25" x14ac:dyDescent="0.25">
      <c r="B57" t="str">
        <f>Master[[#This Row],[Accession Prefix (NPGS)]]&amp;" "&amp;Master[[#This Row],[Accession Number -Assigned]]</f>
        <v>W6 59643</v>
      </c>
      <c r="C57" t="str">
        <f t="shared" si="12"/>
        <v>Collection source event</v>
      </c>
      <c r="D57" t="str">
        <f t="shared" si="13"/>
        <v>mm/dd/yyyy</v>
      </c>
      <c r="E57" s="77">
        <f>IF(IF(Master[[#This Row],[Date Collected or Developed]]="",Master[[#This Row],[Received Date -received by site]],Master[[#This Row],[Date Collected or Developed]])="","",(IF(Master[[#This Row],[Date Collected or Developed]]="",Master[[#This Row],[Received Date -received by site]],Master[[#This Row],[Date Collected or Developed]])))</f>
        <v>43977</v>
      </c>
      <c r="F57" s="76" t="str">
        <f>IF(Master[[#This Row],[Geography (Collection) -Lookup Picker in GRIN]]="","",Master[[#This Row],[Geography (Collection) -Lookup Picker in GRIN]])</f>
        <v>United States, Utah, Juab</v>
      </c>
      <c r="G57" t="str">
        <f t="shared" si="14"/>
        <v>Y</v>
      </c>
      <c r="H57" s="45" t="str">
        <f>IF(Master[[#This Row],[Collecting or Acquisition Source - List]]="","",Master[[#This Row],[Collecting or Acquisition Source - List]])</f>
        <v/>
      </c>
      <c r="I57" t="str">
        <f>IF(Master[[#This Row],[Inventory Type - Lookup Picker]]="","",Master[[#This Row],[Inventory Type - Lookup Picker]])</f>
        <v>SD</v>
      </c>
      <c r="J57" s="4">
        <f>IF(Master[[#This Row],[Number Plants Sampled]]="","",Master[[#This Row],[Number Plants Sampled]])</f>
        <v>1200</v>
      </c>
      <c r="K57" s="4" t="str">
        <f>IF(Master[[#This Row],[Environment Description]]="","",Master[[#This Row],[Environment Description]])</f>
        <v>Drought</v>
      </c>
      <c r="L57" s="4" t="str">
        <f>IF(Master[[#This Row],[Collector Verbatim Locality]]="","",Master[[#This Row],[Collector Verbatim Locality]])</f>
        <v>/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on this winding road for 3.5 miles, avoiding turning on any of the narrower, worse-quality roads on the way. Then, keep left on Pismire N Fork Rd and drive 2 miles further west to the collection site, which is marked by a fork in the road, where Pismire N Fork Rd and Pismire S Fork Rd split off. The surrounding sagebrush shrubland in this valley is the collection site.</v>
      </c>
      <c r="M57" s="4">
        <f>IF(Master[[#This Row],[Elevation (meters)]]=0,"",Master[[#This Row],[Elevation (meters)]])</f>
        <v>1695.6024</v>
      </c>
      <c r="N57" s="55">
        <f>IF(Master[[#This Row],[Latitude -decimal degrees]]="","",Master[[#This Row],[Latitude -decimal degrees]])</f>
        <v>39.773299999999999</v>
      </c>
      <c r="O57" s="55">
        <f>IF(Master[[#This Row],[Longitude -decimal degrees]]="","",Master[[#This Row],[Longitude -decimal degrees]])</f>
        <v>-113.10666000000001</v>
      </c>
      <c r="P57" s="5" t="str">
        <f>IF(Master[[#This Row],[Georeference Datum]]="","",Master[[#This Row],[Georeference Datum]])</f>
        <v>NAD83</v>
      </c>
      <c r="Q57" s="5" t="str">
        <f>IF(Master[[#This Row],[Georeference Protocol - Lookup Picker]]="","",Master[[#This Row],[Georeference Protocol - Lookup Picker]])</f>
        <v>Lat/lon determined by GPS</v>
      </c>
      <c r="R57" s="5" t="str">
        <f>IF(Master[[#This Row],[Associated Species]]="","",Master[[#This Row],[Associated Species]])</f>
        <v>Artemisia tridentata:Juniperus osteosperma:Pseudoroegneria spicata:Ephedra nevadensis:Bromus tectorum:Krascheninnikovia lanata:Ericameria nauseosa:Chrysothamnus viscidiflorus:Gutierrezia sarothrae:Hesperostipa comata:Erigeron sp.:Sphaeralcea grossulariifolia:Halogeton glomeratus:Elymus elymoides:Erodium cicutarium:Castilleja sp.:Eriogonum sp.:Grayia spinosa:Tetradymia sp.:Astragalus sp.</v>
      </c>
      <c r="S57" t="str">
        <f t="shared" si="15"/>
        <v>Y</v>
      </c>
      <c r="T57" s="5" t="str">
        <f>IF(Master[[#This Row],[Note (Accession Source - Collector)]]="","",Master[[#This Row],[Note (Accession Source - Collector)]])</f>
        <v>Connor Desmond and Logan Vogel</v>
      </c>
      <c r="U57" s="3"/>
      <c r="W57" s="3"/>
      <c r="Y57" s="3"/>
    </row>
    <row r="58" spans="2:25" x14ac:dyDescent="0.25">
      <c r="B58" t="str">
        <f>Master[[#This Row],[Accession Prefix (NPGS)]]&amp;" "&amp;Master[[#This Row],[Accession Number -Assigned]]</f>
        <v>W6 59644</v>
      </c>
      <c r="C58" t="str">
        <f t="shared" si="12"/>
        <v>Collection source event</v>
      </c>
      <c r="D58" t="str">
        <f t="shared" si="13"/>
        <v>mm/dd/yyyy</v>
      </c>
      <c r="E58" s="77">
        <f>IF(IF(Master[[#This Row],[Date Collected or Developed]]="",Master[[#This Row],[Received Date -received by site]],Master[[#This Row],[Date Collected or Developed]])="","",(IF(Master[[#This Row],[Date Collected or Developed]]="",Master[[#This Row],[Received Date -received by site]],Master[[#This Row],[Date Collected or Developed]])))</f>
        <v>43978</v>
      </c>
      <c r="F58" s="76" t="str">
        <f>IF(Master[[#This Row],[Geography (Collection) -Lookup Picker in GRIN]]="","",Master[[#This Row],[Geography (Collection) -Lookup Picker in GRIN]])</f>
        <v>United States, Utah, Juab</v>
      </c>
      <c r="G58" t="str">
        <f t="shared" si="14"/>
        <v>Y</v>
      </c>
      <c r="H58" s="45" t="str">
        <f>IF(Master[[#This Row],[Collecting or Acquisition Source - List]]="","",Master[[#This Row],[Collecting or Acquisition Source - List]])</f>
        <v/>
      </c>
      <c r="I58" t="str">
        <f>IF(Master[[#This Row],[Inventory Type - Lookup Picker]]="","",Master[[#This Row],[Inventory Type - Lookup Picker]])</f>
        <v>SD</v>
      </c>
      <c r="J58" s="4">
        <f>IF(Master[[#This Row],[Number Plants Sampled]]="","",Master[[#This Row],[Number Plants Sampled]])</f>
        <v>1000</v>
      </c>
      <c r="K58" s="4" t="str">
        <f>IF(Master[[#This Row],[Environment Description]]="","",Master[[#This Row],[Environment Description]])</f>
        <v/>
      </c>
      <c r="L58" s="4" t="str">
        <f>IF(Master[[#This Row],[Collector Verbatim Locality]]="","",Master[[#This Row],[Collector Verbatim Locality]])</f>
        <v>/ / From Salt Lake City, head west on I-80 for about 119 miles toward West Wendover, Nevada. Take exit 410 for US-93 Alt, take a left to cross south beneath the interstate, take an immediate left (east) on Wendover Blvd, drive a few blocks, and then an immediate right (south) onto US-93 Alt. Drive 25.6 miles south on US-93 Alt and then take a left (heading southeast) on Ibapah Rd. Follow Ibapah Rd for 16.4 miles, then turn left (southeast) onto Upper Gold Hill Rd. Drive 12 miles further southeast to the small town of Gold Hill, turn left (north) at the town, drive 0.7 miles, and then keep right (east) at the road junction just north of town. Next, drive 7.1 miles gradually curving southeast, stay right again at the next road junction heading straight south, and after driving for another 15.5 miles, take a right onto Snake Valley Road, continuing southwest through the Snake Valley. After another 10.1 miles, turn right onto Granite Creek Rd, and continue west for about 4 miles to a pull-over on the left alongside the riparian narrowleaf cottonwood forest. We collected seed in the sagebrush shrubland on the north and south side of this point along Granite Creek Rd.</v>
      </c>
      <c r="M58" s="4">
        <f>IF(Master[[#This Row],[Elevation (meters)]]=0,"",Master[[#This Row],[Elevation (meters)]])</f>
        <v>1841.2968000000001</v>
      </c>
      <c r="N58" s="55">
        <f>IF(Master[[#This Row],[Latitude -decimal degrees]]="","",Master[[#This Row],[Latitude -decimal degrees]])</f>
        <v>39.778440000000003</v>
      </c>
      <c r="O58" s="55">
        <f>IF(Master[[#This Row],[Longitude -decimal degrees]]="","",Master[[#This Row],[Longitude -decimal degrees]])</f>
        <v>-113.86372</v>
      </c>
      <c r="P58" s="5" t="str">
        <f>IF(Master[[#This Row],[Georeference Datum]]="","",Master[[#This Row],[Georeference Datum]])</f>
        <v>NAD83</v>
      </c>
      <c r="Q58" s="5" t="str">
        <f>IF(Master[[#This Row],[Georeference Protocol - Lookup Picker]]="","",Master[[#This Row],[Georeference Protocol - Lookup Picker]])</f>
        <v>Lat/lon determined by GPS</v>
      </c>
      <c r="R58" s="5" t="str">
        <f>IF(Master[[#This Row],[Associated Species]]="","",Master[[#This Row],[Associated Species]])</f>
        <v>Artemisia tridentata:Juniperus osteosperma:Pinus monophylla:Bromus tectorum:Atriplex canescens:Chrysothamnus viscidiflorus:Gutierrezia sarothrae:Pseudoroegneria spicata:Atriplex confertifolia:Ephedra nevadensis:Grayia spinosa:Elymus elymoides:Castilleja sp.:Tetradymia glabrata:Phlox austromontana:Yucca harrimaniae:Hilaria jamesii:Hesperostipa comata:Sarcobatus vermiculatus:Opuntia sp.:Astragalus lentiginosus:Krascheninnikovia lanata:Artemisia nova</v>
      </c>
      <c r="S58" t="str">
        <f t="shared" si="15"/>
        <v>Y</v>
      </c>
      <c r="T58" s="5" t="str">
        <f>IF(Master[[#This Row],[Note (Accession Source - Collector)]]="","",Master[[#This Row],[Note (Accession Source - Collector)]])</f>
        <v>Connor Desmond and Logan Vogel</v>
      </c>
      <c r="U58" s="3"/>
      <c r="W58" s="3"/>
      <c r="Y58" s="3"/>
    </row>
    <row r="59" spans="2:25" x14ac:dyDescent="0.25">
      <c r="B59" t="str">
        <f>Master[[#This Row],[Accession Prefix (NPGS)]]&amp;" "&amp;Master[[#This Row],[Accession Number -Assigned]]</f>
        <v>W6 59645</v>
      </c>
      <c r="C59" t="str">
        <f t="shared" si="12"/>
        <v>Collection source event</v>
      </c>
      <c r="D59" t="str">
        <f t="shared" si="13"/>
        <v>mm/dd/yyyy</v>
      </c>
      <c r="E59" s="77">
        <f>IF(IF(Master[[#This Row],[Date Collected or Developed]]="",Master[[#This Row],[Received Date -received by site]],Master[[#This Row],[Date Collected or Developed]])="","",(IF(Master[[#This Row],[Date Collected or Developed]]="",Master[[#This Row],[Received Date -received by site]],Master[[#This Row],[Date Collected or Developed]])))</f>
        <v>43991</v>
      </c>
      <c r="F59" s="76" t="str">
        <f>IF(Master[[#This Row],[Geography (Collection) -Lookup Picker in GRIN]]="","",Master[[#This Row],[Geography (Collection) -Lookup Picker in GRIN]])</f>
        <v>United States, Utah, Tooele</v>
      </c>
      <c r="G59" t="str">
        <f t="shared" si="14"/>
        <v>Y</v>
      </c>
      <c r="H59" s="45" t="str">
        <f>IF(Master[[#This Row],[Collecting or Acquisition Source - List]]="","",Master[[#This Row],[Collecting or Acquisition Source - List]])</f>
        <v/>
      </c>
      <c r="I59" t="str">
        <f>IF(Master[[#This Row],[Inventory Type - Lookup Picker]]="","",Master[[#This Row],[Inventory Type - Lookup Picker]])</f>
        <v>SD</v>
      </c>
      <c r="J59" s="4">
        <f>IF(Master[[#This Row],[Number Plants Sampled]]="","",Master[[#This Row],[Number Plants Sampled]])</f>
        <v>1500</v>
      </c>
      <c r="K59" s="4" t="str">
        <f>IF(Master[[#This Row],[Environment Description]]="","",Master[[#This Row],[Environment Description]])</f>
        <v/>
      </c>
      <c r="L59" s="4" t="str">
        <f>IF(Master[[#This Row],[Collector Verbatim Locality]]="","",Master[[#This Row],[Collector Verbatim Locality]])</f>
        <v>/ / From Salt Lake City, take I-80 west for 42.2 miles. Get off on exit 77 for state highway 196 towards Dugway. Follow UT-196 south for 17 miles and then turn right (west) onto an unpaved road marked by a wooden BLM sign. Drive 0.8 miles down this road before turning left and gradually curving southwest. After driving 12 miles, turn right and head west up into Rydalch Canyon. After driving about 3 miles, you will arrive at the Poa secunda collection site. Seed was collected from plants throughout the juniper forest ravines, sagebrush shrublands, and bluebunch wheatgrass slopes surrounding this point.</v>
      </c>
      <c r="M59" s="4">
        <f>IF(Master[[#This Row],[Elevation (meters)]]=0,"",Master[[#This Row],[Elevation (meters)]])</f>
        <v>1639.8240000000001</v>
      </c>
      <c r="N59" s="55">
        <f>IF(Master[[#This Row],[Latitude -decimal degrees]]="","",Master[[#This Row],[Latitude -decimal degrees]])</f>
        <v>40.434629999999999</v>
      </c>
      <c r="O59" s="55">
        <f>IF(Master[[#This Row],[Longitude -decimal degrees]]="","",Master[[#This Row],[Longitude -decimal degrees]])</f>
        <v>-112.96294</v>
      </c>
      <c r="P59" s="5" t="str">
        <f>IF(Master[[#This Row],[Georeference Datum]]="","",Master[[#This Row],[Georeference Datum]])</f>
        <v>NAD83</v>
      </c>
      <c r="Q59" s="5" t="str">
        <f>IF(Master[[#This Row],[Georeference Protocol - Lookup Picker]]="","",Master[[#This Row],[Georeference Protocol - Lookup Picker]])</f>
        <v>Lat/lon determined by GPS</v>
      </c>
      <c r="R59" s="5" t="str">
        <f>IF(Master[[#This Row],[Associated Species]]="","",Master[[#This Row],[Associated Species]])</f>
        <v>Juniperus osteosperma:Pseudoroegneria spicata:Artemisia tridentata:Sarcobatus vermiculatus:Purshia tridentata:Atriplex confertifolia:Bromus tectorum:Ephedra nevadensis:Chaenactis douglasii:Astragalus sp.:Tragopogon dubius:Chrysothamnus viscidiflorus:Crepis occidentalis:Perityle stansburyi</v>
      </c>
      <c r="S59" t="str">
        <f t="shared" si="15"/>
        <v>Y</v>
      </c>
      <c r="T59" s="5" t="str">
        <f>IF(Master[[#This Row],[Note (Accession Source - Collector)]]="","",Master[[#This Row],[Note (Accession Source - Collector)]])</f>
        <v>Connor Desmond and Logan Vogel</v>
      </c>
      <c r="U59" s="3"/>
      <c r="W59" s="3"/>
      <c r="Y59" s="3"/>
    </row>
    <row r="60" spans="2:25" x14ac:dyDescent="0.25">
      <c r="B60" t="str">
        <f>Master[[#This Row],[Accession Prefix (NPGS)]]&amp;" "&amp;Master[[#This Row],[Accession Number -Assigned]]</f>
        <v>W6 59646</v>
      </c>
      <c r="C60" t="str">
        <f t="shared" si="12"/>
        <v>Collection source event</v>
      </c>
      <c r="D60" t="str">
        <f t="shared" si="13"/>
        <v>mm/dd/yyyy</v>
      </c>
      <c r="E60" s="77">
        <f>IF(IF(Master[[#This Row],[Date Collected or Developed]]="",Master[[#This Row],[Received Date -received by site]],Master[[#This Row],[Date Collected or Developed]])="","",(IF(Master[[#This Row],[Date Collected or Developed]]="",Master[[#This Row],[Received Date -received by site]],Master[[#This Row],[Date Collected or Developed]])))</f>
        <v>44006</v>
      </c>
      <c r="F60" s="76" t="str">
        <f>IF(Master[[#This Row],[Geography (Collection) -Lookup Picker in GRIN]]="","",Master[[#This Row],[Geography (Collection) -Lookup Picker in GRIN]])</f>
        <v>United States, Utah, Juab</v>
      </c>
      <c r="G60" t="str">
        <f t="shared" si="14"/>
        <v>Y</v>
      </c>
      <c r="H60" s="45" t="str">
        <f>IF(Master[[#This Row],[Collecting or Acquisition Source - List]]="","",Master[[#This Row],[Collecting or Acquisition Source - List]])</f>
        <v/>
      </c>
      <c r="I60" t="str">
        <f>IF(Master[[#This Row],[Inventory Type - Lookup Picker]]="","",Master[[#This Row],[Inventory Type - Lookup Picker]])</f>
        <v>SD</v>
      </c>
      <c r="J60" s="4">
        <f>IF(Master[[#This Row],[Number Plants Sampled]]="","",Master[[#This Row],[Number Plants Sampled]])</f>
        <v>2500</v>
      </c>
      <c r="K60" s="4" t="str">
        <f>IF(Master[[#This Row],[Environment Description]]="","",Master[[#This Row],[Environment Description]])</f>
        <v>Drought</v>
      </c>
      <c r="L60" s="4" t="str">
        <f>IF(Master[[#This Row],[Collector Verbatim Locality]]="","",Master[[#This Row],[Collector Verbatim Locality]])</f>
        <v>/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toward the Thomas Range on this winding road for 3.5 miles, avoiding turning on any of the narrower, worse-quality roads on the way. Then, turn left (west) on Pismire N Fork Rd and drive 2 miles to the junction of Pismire N Fork Rd and Pismire S Fork Rd. Turn right here, heading northwest for about one mile. We collected seed from bluebunch wheatgrass along slopes in all directions from this point.</v>
      </c>
      <c r="M60" s="4">
        <f>IF(Master[[#This Row],[Elevation (meters)]]=0,"",Master[[#This Row],[Elevation (meters)]])</f>
        <v>1791.9192</v>
      </c>
      <c r="N60" s="55">
        <f>IF(Master[[#This Row],[Latitude -decimal degrees]]="","",Master[[#This Row],[Latitude -decimal degrees]])</f>
        <v>39.782470000000004</v>
      </c>
      <c r="O60" s="55">
        <f>IF(Master[[#This Row],[Longitude -decimal degrees]]="","",Master[[#This Row],[Longitude -decimal degrees]])</f>
        <v>-113.11436</v>
      </c>
      <c r="P60" s="5" t="str">
        <f>IF(Master[[#This Row],[Georeference Datum]]="","",Master[[#This Row],[Georeference Datum]])</f>
        <v>NAD83</v>
      </c>
      <c r="Q60" s="5" t="str">
        <f>IF(Master[[#This Row],[Georeference Protocol - Lookup Picker]]="","",Master[[#This Row],[Georeference Protocol - Lookup Picker]])</f>
        <v>Lat/lon determined by GPS</v>
      </c>
      <c r="R60" s="5" t="str">
        <f>IF(Master[[#This Row],[Associated Species]]="","",Master[[#This Row],[Associated Species]])</f>
        <v>Artemisia tridentata:Gutierrezia sarothrae:Chrysothamnus viscidiflorus:Juniperus osteosperma:Bromus tectorum:Poa secunda:Artemisia nova:Hesperostipa comata:Hilaria jamesii:Acroptilon repens:Verbascum thapsus:Ephedra nevadensis:Tetradymia spinosa:Phlox austromontana:Atriplex confertifolia:Krascheninnikovia lanata:Astragalus sp.:Cirsium neomexicanum:Opuntia polyacantha:Symphoricarpos longiflorus:Halogeton glomeratus:Ericameria nauseosa</v>
      </c>
      <c r="S60" t="str">
        <f t="shared" si="15"/>
        <v>Y</v>
      </c>
      <c r="T60" s="5" t="str">
        <f>IF(Master[[#This Row],[Note (Accession Source - Collector)]]="","",Master[[#This Row],[Note (Accession Source - Collector)]])</f>
        <v>Connor Desmond and Logan Vogel</v>
      </c>
      <c r="U60" s="3"/>
      <c r="W60" s="3"/>
      <c r="Y60" s="3"/>
    </row>
    <row r="61" spans="2:25" x14ac:dyDescent="0.25">
      <c r="B61" t="str">
        <f>Master[[#This Row],[Accession Prefix (NPGS)]]&amp;" "&amp;Master[[#This Row],[Accession Number -Assigned]]</f>
        <v>W6 59647</v>
      </c>
      <c r="C61" t="str">
        <f t="shared" si="12"/>
        <v>Collection source event</v>
      </c>
      <c r="D61" t="str">
        <f t="shared" si="13"/>
        <v>mm/dd/yyyy</v>
      </c>
      <c r="E61" s="77">
        <f>IF(IF(Master[[#This Row],[Date Collected or Developed]]="",Master[[#This Row],[Received Date -received by site]],Master[[#This Row],[Date Collected or Developed]])="","",(IF(Master[[#This Row],[Date Collected or Developed]]="",Master[[#This Row],[Received Date -received by site]],Master[[#This Row],[Date Collected or Developed]])))</f>
        <v>44019</v>
      </c>
      <c r="F61" s="76" t="str">
        <f>IF(Master[[#This Row],[Geography (Collection) -Lookup Picker in GRIN]]="","",Master[[#This Row],[Geography (Collection) -Lookup Picker in GRIN]])</f>
        <v>United States, Utah, Box Elder</v>
      </c>
      <c r="G61" t="str">
        <f t="shared" si="14"/>
        <v>Y</v>
      </c>
      <c r="H61" s="45" t="str">
        <f>IF(Master[[#This Row],[Collecting or Acquisition Source - List]]="","",Master[[#This Row],[Collecting or Acquisition Source - List]])</f>
        <v/>
      </c>
      <c r="I61" t="str">
        <f>IF(Master[[#This Row],[Inventory Type - Lookup Picker]]="","",Master[[#This Row],[Inventory Type - Lookup Picker]])</f>
        <v>SD</v>
      </c>
      <c r="J61" s="4">
        <f>IF(Master[[#This Row],[Number Plants Sampled]]="","",Master[[#This Row],[Number Plants Sampled]])</f>
        <v>1100</v>
      </c>
      <c r="K61" s="4" t="str">
        <f>IF(Master[[#This Row],[Environment Description]]="","",Master[[#This Row],[Environment Description]])</f>
        <v>Grazed</v>
      </c>
      <c r="L61" s="4" t="str">
        <f>IF(Master[[#This Row],[Collector Verbatim Locality]]="","",Master[[#This Row],[Collector Verbatim Locality]])</f>
        <v>Sawtooth National Forest/ Minidoka Ranger District/ From Salt Lake City, follow I-15 north about 71 miles and then keep left to follow I-84 northwest for another 37 miles. Take exit 5 to get onto UT-30, and follow this highway directly west for 15.8 miles. Then, stay right to continue west on UT-42 for 8.7 miles, crossing into Idaho. At this point, turn left to head straight west on East Naf Rd, and follow this road for 18 miles. Then, turn left to head south along S Yost Rd for 2.3 miles, crossing into Utah again. At the junction here, turn right to head straight south for 1.3 miles. Then, turn right again to head west and then south for a total of 1 mile, and then turn right again to head south for 6.1 miles into the Raft River Mountains, following Johnson Creek Road. At this point, turn right onto Johnson Creek Spur B Road, driving about 2 miles to the end of the road at a small meadow. The collection site is directly northwest of here, just outside of the Douglas fir forest along a dry slope with sheer rock cliffs.</v>
      </c>
      <c r="M61" s="4">
        <f>IF(Master[[#This Row],[Elevation (meters)]]=0,"",Master[[#This Row],[Elevation (meters)]])</f>
        <v>2156.7647999999999</v>
      </c>
      <c r="N61" s="55">
        <f>IF(Master[[#This Row],[Latitude -decimal degrees]]="","",Master[[#This Row],[Latitude -decimal degrees]])</f>
        <v>41.877189999999999</v>
      </c>
      <c r="O61" s="55">
        <f>IF(Master[[#This Row],[Longitude -decimal degrees]]="","",Master[[#This Row],[Longitude -decimal degrees]])</f>
        <v>-113.56426999999999</v>
      </c>
      <c r="P61" s="5" t="str">
        <f>IF(Master[[#This Row],[Georeference Datum]]="","",Master[[#This Row],[Georeference Datum]])</f>
        <v>NAD83</v>
      </c>
      <c r="Q61" s="5" t="str">
        <f>IF(Master[[#This Row],[Georeference Protocol - Lookup Picker]]="","",Master[[#This Row],[Georeference Protocol - Lookup Picker]])</f>
        <v>Lat/lon determined by GPS</v>
      </c>
      <c r="R61" s="5" t="str">
        <f>IF(Master[[#This Row],[Associated Species]]="","",Master[[#This Row],[Associated Species]])</f>
        <v>Artemisia tridentata:Pseudoroegneria spicata:Mahonia repens:Symphoricarpos oreophilus:Populus tremuloides:Balsamorhiza sagittata:Holodiscus dumosus:Bromus tectorum:Ericameria nauseosa:Artemisia arbuscula:Tragopogon dubius:Crepis acuminata:Lupinus argenteus:Opuntia fragilis:Eriogonum umbellatum:Eriogonum heracleoides:Cirsium undulatum:Allium sp.:Chrysothamnus viscidiflorus:Chrysothamnus viscidiflorus</v>
      </c>
      <c r="S61" t="str">
        <f t="shared" si="15"/>
        <v>Y</v>
      </c>
      <c r="T61" s="5" t="str">
        <f>IF(Master[[#This Row],[Note (Accession Source - Collector)]]="","",Master[[#This Row],[Note (Accession Source - Collector)]])</f>
        <v>Connor Desmond and Logan Vogel</v>
      </c>
      <c r="U61" s="3"/>
      <c r="W61" s="3"/>
      <c r="Y61" s="3"/>
    </row>
    <row r="62" spans="2:25" x14ac:dyDescent="0.25">
      <c r="B62" t="str">
        <f>Master[[#This Row],[Accession Prefix (NPGS)]]&amp;" "&amp;Master[[#This Row],[Accession Number -Assigned]]</f>
        <v>W6 59648</v>
      </c>
      <c r="C62" t="str">
        <f t="shared" si="12"/>
        <v>Collection source event</v>
      </c>
      <c r="D62" t="str">
        <f t="shared" si="13"/>
        <v>mm/dd/yyyy</v>
      </c>
      <c r="E62" s="77">
        <f>IF(IF(Master[[#This Row],[Date Collected or Developed]]="",Master[[#This Row],[Received Date -received by site]],Master[[#This Row],[Date Collected or Developed]])="","",(IF(Master[[#This Row],[Date Collected or Developed]]="",Master[[#This Row],[Received Date -received by site]],Master[[#This Row],[Date Collected or Developed]])))</f>
        <v>44021</v>
      </c>
      <c r="F62" s="76" t="str">
        <f>IF(Master[[#This Row],[Geography (Collection) -Lookup Picker in GRIN]]="","",Master[[#This Row],[Geography (Collection) -Lookup Picker in GRIN]])</f>
        <v>United States, Utah, Tooele</v>
      </c>
      <c r="G62" t="str">
        <f t="shared" si="14"/>
        <v>Y</v>
      </c>
      <c r="H62" s="45" t="str">
        <f>IF(Master[[#This Row],[Collecting or Acquisition Source - List]]="","",Master[[#This Row],[Collecting or Acquisition Source - List]])</f>
        <v/>
      </c>
      <c r="I62" t="str">
        <f>IF(Master[[#This Row],[Inventory Type - Lookup Picker]]="","",Master[[#This Row],[Inventory Type - Lookup Picker]])</f>
        <v>SD</v>
      </c>
      <c r="J62" s="4">
        <f>IF(Master[[#This Row],[Number Plants Sampled]]="","",Master[[#This Row],[Number Plants Sampled]])</f>
        <v>1800</v>
      </c>
      <c r="K62" s="4" t="str">
        <f>IF(Master[[#This Row],[Environment Description]]="","",Master[[#This Row],[Environment Description]])</f>
        <v>Burned</v>
      </c>
      <c r="L62" s="4" t="str">
        <f>IF(Master[[#This Row],[Collector Verbatim Locality]]="","",Master[[#This Row],[Collector Verbatim Locality]])</f>
        <v>/ / From Salt Lake City, take I-80 west for about 63 miles and take exit 56. Turn left to head south underneath overpass and continue south on Aragonite Road for 2.3 miles toward the Clean Harbors Aragonite Incineration Facility. Near the gate of the facility, turn left to head southwest along Hastings Pass Road. Continue for 4.4 miles to Hastings Pass. Seeds were collected from plants on the slopes northeast of this point.</v>
      </c>
      <c r="M62" s="4">
        <f>IF(Master[[#This Row],[Elevation (meters)]]=0,"",Master[[#This Row],[Elevation (meters)]])</f>
        <v>1766.9256</v>
      </c>
      <c r="N62" s="55">
        <f>IF(Master[[#This Row],[Latitude -decimal degrees]]="","",Master[[#This Row],[Latitude -decimal degrees]])</f>
        <v>40.710189999999997</v>
      </c>
      <c r="O62" s="55">
        <f>IF(Master[[#This Row],[Longitude -decimal degrees]]="","",Master[[#This Row],[Longitude -decimal degrees]])</f>
        <v>-112.928</v>
      </c>
      <c r="P62" s="5" t="str">
        <f>IF(Master[[#This Row],[Georeference Datum]]="","",Master[[#This Row],[Georeference Datum]])</f>
        <v>NAD83</v>
      </c>
      <c r="Q62" s="5" t="str">
        <f>IF(Master[[#This Row],[Georeference Protocol - Lookup Picker]]="","",Master[[#This Row],[Georeference Protocol - Lookup Picker]])</f>
        <v>Lat/lon determined by GPS</v>
      </c>
      <c r="R62" s="5" t="str">
        <f>IF(Master[[#This Row],[Associated Species]]="","",Master[[#This Row],[Associated Species]])</f>
        <v>Chrysothamnus viscidiflorus:Juniperus osteosperma:Poa secunda:Hesperostipa comata:Bromus tectorum:Petradoria pumila:Tragopogon dubius:Tetradymia canescens:Gutierrezia sarothrae:Cryptantha sp.:Achnatherum hymenoides:Tetradymia glabrata:Purshia stansburiana:Artemisia nova:Astragalus sp.:Leymus cinereus:Artemisia tridentata:Atriplex confertifolia:Aristida purpurea:Lactuca serriola:Grindelia squarrosa:Helianthus annuus</v>
      </c>
      <c r="S62" t="str">
        <f t="shared" si="15"/>
        <v>Y</v>
      </c>
      <c r="T62" s="5" t="str">
        <f>IF(Master[[#This Row],[Note (Accession Source - Collector)]]="","",Master[[#This Row],[Note (Accession Source - Collector)]])</f>
        <v>Connor Desmond, Logan Vogel, Karen Pollard, and Alex Hewitt</v>
      </c>
      <c r="U62" s="3"/>
      <c r="W62" s="3"/>
      <c r="Y62" s="3"/>
    </row>
    <row r="63" spans="2:25" x14ac:dyDescent="0.25">
      <c r="B63" t="str">
        <f>Master[[#This Row],[Accession Prefix (NPGS)]]&amp;" "&amp;Master[[#This Row],[Accession Number -Assigned]]</f>
        <v>W6 59649</v>
      </c>
      <c r="C63" t="str">
        <f t="shared" si="12"/>
        <v>Collection source event</v>
      </c>
      <c r="D63" t="str">
        <f t="shared" si="13"/>
        <v>mm/dd/yyyy</v>
      </c>
      <c r="E63" s="77">
        <f>IF(IF(Master[[#This Row],[Date Collected or Developed]]="",Master[[#This Row],[Received Date -received by site]],Master[[#This Row],[Date Collected or Developed]])="","",(IF(Master[[#This Row],[Date Collected or Developed]]="",Master[[#This Row],[Received Date -received by site]],Master[[#This Row],[Date Collected or Developed]])))</f>
        <v>44025</v>
      </c>
      <c r="F63" s="76" t="str">
        <f>IF(Master[[#This Row],[Geography (Collection) -Lookup Picker in GRIN]]="","",Master[[#This Row],[Geography (Collection) -Lookup Picker in GRIN]])</f>
        <v>United States, Utah, Box Elder</v>
      </c>
      <c r="G63" t="str">
        <f t="shared" si="14"/>
        <v>Y</v>
      </c>
      <c r="H63" s="45" t="str">
        <f>IF(Master[[#This Row],[Collecting or Acquisition Source - List]]="","",Master[[#This Row],[Collecting or Acquisition Source - List]])</f>
        <v/>
      </c>
      <c r="I63" t="str">
        <f>IF(Master[[#This Row],[Inventory Type - Lookup Picker]]="","",Master[[#This Row],[Inventory Type - Lookup Picker]])</f>
        <v>SD</v>
      </c>
      <c r="J63" s="4">
        <f>IF(Master[[#This Row],[Number Plants Sampled]]="","",Master[[#This Row],[Number Plants Sampled]])</f>
        <v>1400</v>
      </c>
      <c r="K63" s="4" t="str">
        <f>IF(Master[[#This Row],[Environment Description]]="","",Master[[#This Row],[Environment Description]])</f>
        <v/>
      </c>
      <c r="L63" s="4" t="str">
        <f>IF(Master[[#This Row],[Collector Verbatim Locality]]="","",Master[[#This Row],[Collector Verbatim Locality]])</f>
        <v>/ / From Salt Lake City, follow I-15 north about 71 miles, and then keep left to follow I-84 northwest for another 37 miles. Take exit 5 to get onto UT-30, and follow this highway west and then southwest for 57.5 miles. At this point, turn right onto Immigrant Trail Road and follow it west for 2.1 miles. Then, turn right to head northwest on Ingham Pass Road for 6.6 miles. At this junction, stay left on Ingham Pass Road and continue west for 2.5 miles up to Ingham Pass. Here, turn right on N Ridge Road and drive 50 feet to reach the mountain meadow where we collected seed.</v>
      </c>
      <c r="M63" s="4">
        <f>IF(Master[[#This Row],[Elevation (meters)]]=0,"",Master[[#This Row],[Elevation (meters)]])</f>
        <v>2410.9680000000003</v>
      </c>
      <c r="N63" s="55">
        <f>IF(Master[[#This Row],[Latitude -decimal degrees]]="","",Master[[#This Row],[Latitude -decimal degrees]])</f>
        <v>41.662080000000003</v>
      </c>
      <c r="O63" s="55">
        <f>IF(Master[[#This Row],[Longitude -decimal degrees]]="","",Master[[#This Row],[Longitude -decimal degrees]])</f>
        <v>-113.74299999999999</v>
      </c>
      <c r="P63" s="5" t="str">
        <f>IF(Master[[#This Row],[Georeference Datum]]="","",Master[[#This Row],[Georeference Datum]])</f>
        <v>NAD83</v>
      </c>
      <c r="Q63" s="5" t="str">
        <f>IF(Master[[#This Row],[Georeference Protocol - Lookup Picker]]="","",Master[[#This Row],[Georeference Protocol - Lookup Picker]])</f>
        <v>Lat/lon determined by GPS</v>
      </c>
      <c r="R63" s="5" t="str">
        <f>IF(Master[[#This Row],[Associated Species]]="","",Master[[#This Row],[Associated Species]])</f>
        <v>Carex douglasii:Artemisia ludoviciana:Tragopogon dubius:Agoseris aurantiaca:Poa bulbosa:Bromus tectorum:Koeleria macrantha:Juncus sp.:Grindelia squarrosa:Achillea millefolium:Castilleja sp.:Lupinus argenteus:Leymus cinereus:Agropyron cristatum:Eriogonum heracleoides</v>
      </c>
      <c r="S63" t="str">
        <f t="shared" si="15"/>
        <v>Y</v>
      </c>
      <c r="T63" s="5" t="str">
        <f>IF(Master[[#This Row],[Note (Accession Source - Collector)]]="","",Master[[#This Row],[Note (Accession Source - Collector)]])</f>
        <v>Connor Desmond and Logan Vogel</v>
      </c>
      <c r="U63" s="3"/>
      <c r="W63" s="3"/>
      <c r="Y63" s="3"/>
    </row>
    <row r="64" spans="2:25" x14ac:dyDescent="0.25">
      <c r="B64" t="str">
        <f>Master[[#This Row],[Accession Prefix (NPGS)]]&amp;" "&amp;Master[[#This Row],[Accession Number -Assigned]]</f>
        <v>W6 59650</v>
      </c>
      <c r="C64" t="str">
        <f t="shared" si="12"/>
        <v>Collection source event</v>
      </c>
      <c r="D64" t="str">
        <f t="shared" si="13"/>
        <v>mm/dd/yyyy</v>
      </c>
      <c r="E64" s="77">
        <f>IF(IF(Master[[#This Row],[Date Collected or Developed]]="",Master[[#This Row],[Received Date -received by site]],Master[[#This Row],[Date Collected or Developed]])="","",(IF(Master[[#This Row],[Date Collected or Developed]]="",Master[[#This Row],[Received Date -received by site]],Master[[#This Row],[Date Collected or Developed]])))</f>
        <v>44053</v>
      </c>
      <c r="F64" s="76" t="str">
        <f>IF(Master[[#This Row],[Geography (Collection) -Lookup Picker in GRIN]]="","",Master[[#This Row],[Geography (Collection) -Lookup Picker in GRIN]])</f>
        <v>United States, Utah, Box Elder</v>
      </c>
      <c r="G64" t="str">
        <f t="shared" si="14"/>
        <v>Y</v>
      </c>
      <c r="H64" s="45" t="str">
        <f>IF(Master[[#This Row],[Collecting or Acquisition Source - List]]="","",Master[[#This Row],[Collecting or Acquisition Source - List]])</f>
        <v/>
      </c>
      <c r="I64" t="str">
        <f>IF(Master[[#This Row],[Inventory Type - Lookup Picker]]="","",Master[[#This Row],[Inventory Type - Lookup Picker]])</f>
        <v>SD</v>
      </c>
      <c r="J64" s="4">
        <f>IF(Master[[#This Row],[Number Plants Sampled]]="","",Master[[#This Row],[Number Plants Sampled]])</f>
        <v>250</v>
      </c>
      <c r="K64" s="4" t="str">
        <f>IF(Master[[#This Row],[Environment Description]]="","",Master[[#This Row],[Environment Description]])</f>
        <v>Grazed:Trampled</v>
      </c>
      <c r="L64" s="4" t="str">
        <f>IF(Master[[#This Row],[Collector Verbatim Locality]]="","",Master[[#This Row],[Collector Verbatim Locality]])</f>
        <v>/ / From the small town of Grouse Creek, UT, head northeast on Grouse Creek Rd for about 3.3 miles. Then, turn right, heading straight east and then north along Cotton Thomas Rd. Continue along this improved unpaved road for 8.3 miles before turning left onto another unpaved road at the top of a hill. Follow this road northwest toward Cotton Thomas Basin for just 0.4 miles. The collection site is the flat, open field of Leymus cinereus at the bottom of the canyon.</v>
      </c>
      <c r="M64" s="4">
        <f>IF(Master[[#This Row],[Elevation (meters)]]=0,"",Master[[#This Row],[Elevation (meters)]])</f>
        <v>2014.1184000000001</v>
      </c>
      <c r="N64" s="55">
        <f>IF(Master[[#This Row],[Latitude -decimal degrees]]="","",Master[[#This Row],[Latitude -decimal degrees]])</f>
        <v>41.856610000000003</v>
      </c>
      <c r="O64" s="55">
        <f>IF(Master[[#This Row],[Longitude -decimal degrees]]="","",Master[[#This Row],[Longitude -decimal degrees]])</f>
        <v>-113.79313</v>
      </c>
      <c r="P64" s="5" t="str">
        <f>IF(Master[[#This Row],[Georeference Datum]]="","",Master[[#This Row],[Georeference Datum]])</f>
        <v>NAD83</v>
      </c>
      <c r="Q64" s="5" t="str">
        <f>IF(Master[[#This Row],[Georeference Protocol - Lookup Picker]]="","",Master[[#This Row],[Georeference Protocol - Lookup Picker]])</f>
        <v>Lat/lon determined by GPS</v>
      </c>
      <c r="R64" s="5" t="str">
        <f>IF(Master[[#This Row],[Associated Species]]="","",Master[[#This Row],[Associated Species]])</f>
        <v>Artemisia tridentata:Symphoricarpos oreophilus:Chrysothamnus viscidiflorus:Bromus tectorum:Amelanchier utahensis:Artemisia ludoviciana:Lupinus sp.:Castilleja sp.:Eriogonum heracleoides:Achillea millefolium:Ericameria nauseosa:Balsamorhiza sagittata:Mahonia repens:Chaenactis douglasii:Poa secunda</v>
      </c>
      <c r="S64" t="str">
        <f t="shared" si="15"/>
        <v>Y</v>
      </c>
      <c r="T64" s="5" t="str">
        <f>IF(Master[[#This Row],[Note (Accession Source - Collector)]]="","",Master[[#This Row],[Note (Accession Source - Collector)]])</f>
        <v>Connor Desmond, Logan Vogel, Summer Traylor, and David Sauve</v>
      </c>
      <c r="U64" s="3"/>
      <c r="W64" s="3"/>
      <c r="Y64" s="3"/>
    </row>
    <row r="65" spans="2:25" x14ac:dyDescent="0.25">
      <c r="B65" t="str">
        <f>Master[[#This Row],[Accession Prefix (NPGS)]]&amp;" "&amp;Master[[#This Row],[Accession Number -Assigned]]</f>
        <v>W6 59651</v>
      </c>
      <c r="C65" t="str">
        <f t="shared" si="12"/>
        <v>Collection source event</v>
      </c>
      <c r="D65" t="str">
        <f t="shared" si="13"/>
        <v>mm/dd/yyyy</v>
      </c>
      <c r="E65" s="77">
        <f>IF(IF(Master[[#This Row],[Date Collected or Developed]]="",Master[[#This Row],[Received Date -received by site]],Master[[#This Row],[Date Collected or Developed]])="","",(IF(Master[[#This Row],[Date Collected or Developed]]="",Master[[#This Row],[Received Date -received by site]],Master[[#This Row],[Date Collected or Developed]])))</f>
        <v>44054</v>
      </c>
      <c r="F65" s="76" t="str">
        <f>IF(Master[[#This Row],[Geography (Collection) -Lookup Picker in GRIN]]="","",Master[[#This Row],[Geography (Collection) -Lookup Picker in GRIN]])</f>
        <v>United States, Utah, Box Elder</v>
      </c>
      <c r="G65" t="str">
        <f t="shared" si="14"/>
        <v>Y</v>
      </c>
      <c r="H65" s="45" t="str">
        <f>IF(Master[[#This Row],[Collecting or Acquisition Source - List]]="","",Master[[#This Row],[Collecting or Acquisition Source - List]])</f>
        <v/>
      </c>
      <c r="I65" t="str">
        <f>IF(Master[[#This Row],[Inventory Type - Lookup Picker]]="","",Master[[#This Row],[Inventory Type - Lookup Picker]])</f>
        <v>SD</v>
      </c>
      <c r="J65" s="4">
        <f>IF(Master[[#This Row],[Number Plants Sampled]]="","",Master[[#This Row],[Number Plants Sampled]])</f>
        <v>200</v>
      </c>
      <c r="K65" s="4" t="str">
        <f>IF(Master[[#This Row],[Environment Description]]="","",Master[[#This Row],[Environment Description]])</f>
        <v>Grazed:Trampled</v>
      </c>
      <c r="L65" s="4" t="str">
        <f>IF(Master[[#This Row],[Collector Verbatim Locality]]="","",Master[[#This Row],[Collector Verbatim Locality]])</f>
        <v>/ / From the small town of Grouse Creek, UT, head northeast along Grouse Creek Rd. Stay left at the junction with Cotton Thomas Rd after 3.3 miles to continue heading north along Grouse Creek Rd. Follow this improved unpaved road for another 23.7 miles as it continues northwest and then north across the Idaho border. Then, turn right onto Birch Creek Rd and continue southeast along this unimproved unpaved road for about 6.2 miles to a pull-out on the north side of the road beside a dense cluster of Leymus cinereus. Seeds were collected from plants from this point in the canyon southeastward to the private property boundary. It is imperative to take the route described above, since the road east of our collection site is owned by a private mining company and is legally impassable.</v>
      </c>
      <c r="M65" s="4">
        <f>IF(Master[[#This Row],[Elevation (meters)]]=0,"",Master[[#This Row],[Elevation (meters)]])</f>
        <v>1906.2192</v>
      </c>
      <c r="N65" s="55">
        <f>IF(Master[[#This Row],[Latitude -decimal degrees]]="","",Master[[#This Row],[Latitude -decimal degrees]])</f>
        <v>41.975360000000002</v>
      </c>
      <c r="O65" s="55">
        <f>IF(Master[[#This Row],[Longitude -decimal degrees]]="","",Master[[#This Row],[Longitude -decimal degrees]])</f>
        <v>-113.88094</v>
      </c>
      <c r="P65" s="5" t="str">
        <f>IF(Master[[#This Row],[Georeference Datum]]="","",Master[[#This Row],[Georeference Datum]])</f>
        <v>NAD83</v>
      </c>
      <c r="Q65" s="5" t="str">
        <f>IF(Master[[#This Row],[Georeference Protocol - Lookup Picker]]="","",Master[[#This Row],[Georeference Protocol - Lookup Picker]])</f>
        <v>Lat/lon determined by GPS</v>
      </c>
      <c r="R65" s="5" t="str">
        <f>IF(Master[[#This Row],[Associated Species]]="","",Master[[#This Row],[Associated Species]])</f>
        <v>Artemisia tridentata:Ericameria nauseosa:Poa bulbosa:Symphoricarpos oreophilus:Geranium viscosissimum:Sisymbrium altissimum:Artemisia ludoviciana:Cirsium subniveum:Chrysothamnus viscidiflorus:Juniperus osteosperma:Ribes cereum:Bromus tectorum:Purshia tridentata:Rumex sp.</v>
      </c>
      <c r="S65" t="str">
        <f t="shared" si="15"/>
        <v>Y</v>
      </c>
      <c r="T65" s="5" t="str">
        <f>IF(Master[[#This Row],[Note (Accession Source - Collector)]]="","",Master[[#This Row],[Note (Accession Source - Collector)]])</f>
        <v>Connor Desmond, Logan Vogel, Summer Traylor, and David Sauve</v>
      </c>
      <c r="U65" s="3"/>
      <c r="W65" s="3"/>
      <c r="Y65" s="3"/>
    </row>
    <row r="66" spans="2:25" x14ac:dyDescent="0.25">
      <c r="B66" t="str">
        <f>Master[[#This Row],[Accession Prefix (NPGS)]]&amp;" "&amp;Master[[#This Row],[Accession Number -Assigned]]</f>
        <v>W6 59652</v>
      </c>
      <c r="C66" t="str">
        <f t="shared" si="12"/>
        <v>Collection source event</v>
      </c>
      <c r="D66" t="str">
        <f t="shared" si="13"/>
        <v>mm/dd/yyyy</v>
      </c>
      <c r="E66" s="77">
        <f>IF(IF(Master[[#This Row],[Date Collected or Developed]]="",Master[[#This Row],[Received Date -received by site]],Master[[#This Row],[Date Collected or Developed]])="","",(IF(Master[[#This Row],[Date Collected or Developed]]="",Master[[#This Row],[Received Date -received by site]],Master[[#This Row],[Date Collected or Developed]])))</f>
        <v>44054</v>
      </c>
      <c r="F66" s="76" t="str">
        <f>IF(Master[[#This Row],[Geography (Collection) -Lookup Picker in GRIN]]="","",Master[[#This Row],[Geography (Collection) -Lookup Picker in GRIN]])</f>
        <v>United States, Utah, Box Elder</v>
      </c>
      <c r="G66" t="str">
        <f t="shared" si="14"/>
        <v>Y</v>
      </c>
      <c r="H66" s="45" t="str">
        <f>IF(Master[[#This Row],[Collecting or Acquisition Source - List]]="","",Master[[#This Row],[Collecting or Acquisition Source - List]])</f>
        <v/>
      </c>
      <c r="I66" t="str">
        <f>IF(Master[[#This Row],[Inventory Type - Lookup Picker]]="","",Master[[#This Row],[Inventory Type - Lookup Picker]])</f>
        <v>SD</v>
      </c>
      <c r="J66" s="4">
        <f>IF(Master[[#This Row],[Number Plants Sampled]]="","",Master[[#This Row],[Number Plants Sampled]])</f>
        <v>150</v>
      </c>
      <c r="K66" s="4" t="str">
        <f>IF(Master[[#This Row],[Environment Description]]="","",Master[[#This Row],[Environment Description]])</f>
        <v>Burned:Grazed:Trampled</v>
      </c>
      <c r="L66" s="4" t="str">
        <f>IF(Master[[#This Row],[Collector Verbatim Locality]]="","",Master[[#This Row],[Collector Verbatim Locality]])</f>
        <v>Sawtooth National Forest/ Minidoka Ranger District/ From Snowville, UT, head west on UT-30 for 16 miles and then continue straight onto UT-42, driving northwest for 8.7 miles, crossing the Idaho border. Then, turn left onto E Naf Rd S, heading west for 9.9 miles. Stay straight at the intersection here, following the main road northwest, then west, and then southwest for another 14 miles, crossing back into Utah. Then, turn left onto Yost Flats Rd, and follow it southeast and then straight south for a total of 3.4 miles. Finally, at this point, turn left onto another unpaved road and follow it south for 2.3 miles onto US Forest Service property. We collected seed from plants in dense clusters on both sides of Wildcat Creek.</v>
      </c>
      <c r="M66" s="4">
        <f>IF(Master[[#This Row],[Elevation (meters)]]=0,"",Master[[#This Row],[Elevation (meters)]])</f>
        <v>1896.1608000000001</v>
      </c>
      <c r="N66" s="55">
        <f>IF(Master[[#This Row],[Latitude -decimal degrees]]="","",Master[[#This Row],[Latitude -decimal degrees]])</f>
        <v>41.909500000000001</v>
      </c>
      <c r="O66" s="55">
        <f>IF(Master[[#This Row],[Longitude -decimal degrees]]="","",Master[[#This Row],[Longitude -decimal degrees]])</f>
        <v>-113.60927</v>
      </c>
      <c r="P66" s="5" t="str">
        <f>IF(Master[[#This Row],[Georeference Datum]]="","",Master[[#This Row],[Georeference Datum]])</f>
        <v>NAD83</v>
      </c>
      <c r="Q66" s="5" t="str">
        <f>IF(Master[[#This Row],[Georeference Protocol - Lookup Picker]]="","",Master[[#This Row],[Georeference Protocol - Lookup Picker]])</f>
        <v>Lat/lon determined by GPS</v>
      </c>
      <c r="R66" s="5" t="str">
        <f>IF(Master[[#This Row],[Associated Species]]="","",Master[[#This Row],[Associated Species]])</f>
        <v>Artemisia tridentata:Juniperus osteosperma:Symphoricarpos oreophilus:Solidago missouriensis:Ericameria nauseosa:Geranium viscosissimum:Verbascum thapsus:Cirsium arvense:Chrysothamnus viscidiflorus:Erigeron speciosus:Bromus tectorum:Eriogonum microthecum:Poa compressa:Achillea millefolium:Tragopogon dubius:Artemisia ludoviciana:Sisymbrium altissimum:Purshia tridentata:Ribes aureum:Rosa sp.</v>
      </c>
      <c r="S66" t="str">
        <f t="shared" si="15"/>
        <v>Y</v>
      </c>
      <c r="T66" s="5" t="str">
        <f>IF(Master[[#This Row],[Note (Accession Source - Collector)]]="","",Master[[#This Row],[Note (Accession Source - Collector)]])</f>
        <v>Connor Desmond, Logan Vogel, Summer Traylor, and David Sauve</v>
      </c>
      <c r="U66" s="3"/>
      <c r="W66" s="3"/>
      <c r="Y66" s="3"/>
    </row>
    <row r="67" spans="2:25" x14ac:dyDescent="0.25">
      <c r="B67" t="str">
        <f>Master[[#This Row],[Accession Prefix (NPGS)]]&amp;" "&amp;Master[[#This Row],[Accession Number -Assigned]]</f>
        <v>W6 59653</v>
      </c>
      <c r="C67" t="str">
        <f t="shared" si="12"/>
        <v>Collection source event</v>
      </c>
      <c r="D67" t="str">
        <f t="shared" si="13"/>
        <v>mm/dd/yyyy</v>
      </c>
      <c r="E67" s="77">
        <f>IF(IF(Master[[#This Row],[Date Collected or Developed]]="",Master[[#This Row],[Received Date -received by site]],Master[[#This Row],[Date Collected or Developed]])="","",(IF(Master[[#This Row],[Date Collected or Developed]]="",Master[[#This Row],[Received Date -received by site]],Master[[#This Row],[Date Collected or Developed]])))</f>
        <v>44055</v>
      </c>
      <c r="F67" s="76" t="str">
        <f>IF(Master[[#This Row],[Geography (Collection) -Lookup Picker in GRIN]]="","",Master[[#This Row],[Geography (Collection) -Lookup Picker in GRIN]])</f>
        <v>United States, Utah, Box Elder</v>
      </c>
      <c r="G67" t="str">
        <f t="shared" si="14"/>
        <v>Y</v>
      </c>
      <c r="H67" s="45" t="str">
        <f>IF(Master[[#This Row],[Collecting or Acquisition Source - List]]="","",Master[[#This Row],[Collecting or Acquisition Source - List]])</f>
        <v/>
      </c>
      <c r="I67" t="str">
        <f>IF(Master[[#This Row],[Inventory Type - Lookup Picker]]="","",Master[[#This Row],[Inventory Type - Lookup Picker]])</f>
        <v>SD</v>
      </c>
      <c r="J67" s="4">
        <f>IF(Master[[#This Row],[Number Plants Sampled]]="","",Master[[#This Row],[Number Plants Sampled]])</f>
        <v>150</v>
      </c>
      <c r="K67" s="4" t="str">
        <f>IF(Master[[#This Row],[Environment Description]]="","",Master[[#This Row],[Environment Description]])</f>
        <v>Grazed:Trampled</v>
      </c>
      <c r="L67" s="4" t="str">
        <f>IF(Master[[#This Row],[Collector Verbatim Locality]]="","",Master[[#This Row],[Collector Verbatim Locality]])</f>
        <v>Sawtooth National Forest/ Minidoka Ranger District/ From Snowville, UT, head west on UT-30 for 16 miles and then continue straight onto UT-42, driving northwest for another 8.7 miles, crossing the Idaho border. Once here, take a left to head west on E Naf Rd S for 10 miles. Then, turn left, heading straight south for about 1 mile before turning right and heading straight west for 1 additional mile. Finally, take a left to head south and then southwest on One Mile Road for about 3.9 miles, entering US Forest Service property. Our collection site is on the south side of the road, in a small meadow where Leymus cinereus is the dominant species. We also collected from similar sites and scattered individuals alongside One Mile Road, east and west of this central site.</v>
      </c>
      <c r="M67" s="4">
        <f>IF(Master[[#This Row],[Elevation (meters)]]=0,"",Master[[#This Row],[Elevation (meters)]])</f>
        <v>2018.0808000000002</v>
      </c>
      <c r="N67" s="55">
        <f>IF(Master[[#This Row],[Latitude -decimal degrees]]="","",Master[[#This Row],[Latitude -decimal degrees]])</f>
        <v>41.953800000000001</v>
      </c>
      <c r="O67" s="55">
        <f>IF(Master[[#This Row],[Longitude -decimal degrees]]="","",Master[[#This Row],[Longitude -decimal degrees]])</f>
        <v>-113.45738</v>
      </c>
      <c r="P67" s="5" t="str">
        <f>IF(Master[[#This Row],[Georeference Datum]]="","",Master[[#This Row],[Georeference Datum]])</f>
        <v>NAD83</v>
      </c>
      <c r="Q67" s="5" t="str">
        <f>IF(Master[[#This Row],[Georeference Protocol - Lookup Picker]]="","",Master[[#This Row],[Georeference Protocol - Lookup Picker]])</f>
        <v>Lat/lon determined by GPS</v>
      </c>
      <c r="R67" s="5" t="str">
        <f>IF(Master[[#This Row],[Associated Species]]="","",Master[[#This Row],[Associated Species]])</f>
        <v>Artemisia tridentata:Symphoricarpos oreophilus:Artemisia ludoviciana:Juniperus osteosperma:Populus tremuloides:Cynoglossum officinale:Geranium viscosissimum:Erigeron speciosus:Achillea millefolium:Chrysothamnus viscidiflorus:Bromus tectorum:Poa bulbosa</v>
      </c>
      <c r="S67" t="str">
        <f t="shared" si="15"/>
        <v>Y</v>
      </c>
      <c r="T67" s="5" t="str">
        <f>IF(Master[[#This Row],[Note (Accession Source - Collector)]]="","",Master[[#This Row],[Note (Accession Source - Collector)]])</f>
        <v>Connor Desmond, Logan Vogel, Summer Traylor, and David Sauve</v>
      </c>
      <c r="U67" s="3"/>
      <c r="W67" s="3"/>
      <c r="Y67" s="3"/>
    </row>
    <row r="68" spans="2:25" x14ac:dyDescent="0.25">
      <c r="B68" t="str">
        <f>Master[[#This Row],[Accession Prefix (NPGS)]]&amp;" "&amp;Master[[#This Row],[Accession Number -Assigned]]</f>
        <v>W6 59654</v>
      </c>
      <c r="C68" t="str">
        <f t="shared" si="12"/>
        <v>Collection source event</v>
      </c>
      <c r="D68" t="str">
        <f t="shared" si="13"/>
        <v>mm/dd/yyyy</v>
      </c>
      <c r="E68" s="77">
        <f>IF(IF(Master[[#This Row],[Date Collected or Developed]]="",Master[[#This Row],[Received Date -received by site]],Master[[#This Row],[Date Collected or Developed]])="","",(IF(Master[[#This Row],[Date Collected or Developed]]="",Master[[#This Row],[Received Date -received by site]],Master[[#This Row],[Date Collected or Developed]])))</f>
        <v>44055</v>
      </c>
      <c r="F68" s="76" t="str">
        <f>IF(Master[[#This Row],[Geography (Collection) -Lookup Picker in GRIN]]="","",Master[[#This Row],[Geography (Collection) -Lookup Picker in GRIN]])</f>
        <v>United States, Utah, Box Elder</v>
      </c>
      <c r="G68" t="str">
        <f t="shared" si="14"/>
        <v>Y</v>
      </c>
      <c r="H68" s="45" t="str">
        <f>IF(Master[[#This Row],[Collecting or Acquisition Source - List]]="","",Master[[#This Row],[Collecting or Acquisition Source - List]])</f>
        <v/>
      </c>
      <c r="I68" t="str">
        <f>IF(Master[[#This Row],[Inventory Type - Lookup Picker]]="","",Master[[#This Row],[Inventory Type - Lookup Picker]])</f>
        <v>SD</v>
      </c>
      <c r="J68" s="4">
        <f>IF(Master[[#This Row],[Number Plants Sampled]]="","",Master[[#This Row],[Number Plants Sampled]])</f>
        <v>150</v>
      </c>
      <c r="K68" s="4" t="str">
        <f>IF(Master[[#This Row],[Environment Description]]="","",Master[[#This Row],[Environment Description]])</f>
        <v>Grazed</v>
      </c>
      <c r="L68" s="4" t="str">
        <f>IF(Master[[#This Row],[Collector Verbatim Locality]]="","",Master[[#This Row],[Collector Verbatim Locality]])</f>
        <v>Sawtooth National Forest/ Minidoka Ranger District/ From Snowville, UT, head west on UT-30 for 16 miles and then continue straight onto UT-42, driving northwest for another 8.7 miles, crossing the Idaho border. Once here, take a left onto E Naf Rd S and head west for 3.2 miles. Next, turn left to head south along Clear Creek Rd for 2.8 miles. Finally, turn right to stay on Clear Creek Rd, heading southwest for about 4.2 miles to the collection site. We collected seed from plants in an open meadow just north of the road from this point, as well as from individuals and small clusters of plants scattered alongside Clear Creek Road to the east and west.</v>
      </c>
      <c r="M68" s="4">
        <f>IF(Master[[#This Row],[Elevation (meters)]]=0,"",Master[[#This Row],[Elevation (meters)]])</f>
        <v>2026.0056000000002</v>
      </c>
      <c r="N68" s="55">
        <f>IF(Master[[#This Row],[Latitude -decimal degrees]]="","",Master[[#This Row],[Latitude -decimal degrees]])</f>
        <v>41.951000000000001</v>
      </c>
      <c r="O68" s="55">
        <f>IF(Master[[#This Row],[Longitude -decimal degrees]]="","",Master[[#This Row],[Longitude -decimal degrees]])</f>
        <v>-113.33958</v>
      </c>
      <c r="P68" s="5" t="str">
        <f>IF(Master[[#This Row],[Georeference Datum]]="","",Master[[#This Row],[Georeference Datum]])</f>
        <v>NAD83</v>
      </c>
      <c r="Q68" s="5" t="str">
        <f>IF(Master[[#This Row],[Georeference Protocol - Lookup Picker]]="","",Master[[#This Row],[Georeference Protocol - Lookup Picker]])</f>
        <v>Lat/lon determined by GPS</v>
      </c>
      <c r="R68" s="5" t="str">
        <f>IF(Master[[#This Row],[Associated Species]]="","",Master[[#This Row],[Associated Species]])</f>
        <v>Artemisia tridentata:Symphoricarpos oreophilus:Tragopogon dubius:Achillea millefolium:Populus tremuloides:Cynoglossum officinale:Cirsium vulgare:Lupinus argenteus:Juniperus osteosperma:Chrysothamnus viscidiflorus:Ericameria nauseosa:Equisetum hyemale:Comandra umbellata:Geranium sp.:Rosa sp.:Artemisia ludoviciana:Poa bulbosa:Bromus tectorum:Pinus monophylla</v>
      </c>
      <c r="S68" t="str">
        <f t="shared" si="15"/>
        <v>Y</v>
      </c>
      <c r="T68" s="5" t="str">
        <f>IF(Master[[#This Row],[Note (Accession Source - Collector)]]="","",Master[[#This Row],[Note (Accession Source - Collector)]])</f>
        <v>Connor Desmond and Logan Vogel</v>
      </c>
      <c r="U68" s="3"/>
      <c r="W68" s="3"/>
      <c r="Y68" s="3"/>
    </row>
    <row r="69" spans="2:25" x14ac:dyDescent="0.25">
      <c r="B69" t="str">
        <f>Master[[#This Row],[Accession Prefix (NPGS)]]&amp;" "&amp;Master[[#This Row],[Accession Number -Assigned]]</f>
        <v>W6 59655</v>
      </c>
      <c r="C69" t="str">
        <f t="shared" si="12"/>
        <v>Collection source event</v>
      </c>
      <c r="D69" t="str">
        <f t="shared" si="13"/>
        <v>mm/dd/yyyy</v>
      </c>
      <c r="E69" s="77">
        <f>IF(IF(Master[[#This Row],[Date Collected or Developed]]="",Master[[#This Row],[Received Date -received by site]],Master[[#This Row],[Date Collected or Developed]])="","",(IF(Master[[#This Row],[Date Collected or Developed]]="",Master[[#This Row],[Received Date -received by site]],Master[[#This Row],[Date Collected or Developed]])))</f>
        <v>43993</v>
      </c>
      <c r="F69" s="76" t="str">
        <f>IF(Master[[#This Row],[Geography (Collection) -Lookup Picker in GRIN]]="","",Master[[#This Row],[Geography (Collection) -Lookup Picker in GRIN]])</f>
        <v>United States, Utah, Unitah</v>
      </c>
      <c r="G69" t="str">
        <f t="shared" si="14"/>
        <v>Y</v>
      </c>
      <c r="H69" s="45" t="str">
        <f>IF(Master[[#This Row],[Collecting or Acquisition Source - List]]="","",Master[[#This Row],[Collecting or Acquisition Source - List]])</f>
        <v/>
      </c>
      <c r="I69" t="str">
        <f>IF(Master[[#This Row],[Inventory Type - Lookup Picker]]="","",Master[[#This Row],[Inventory Type - Lookup Picker]])</f>
        <v>SD</v>
      </c>
      <c r="J69" s="4">
        <f>IF(Master[[#This Row],[Number Plants Sampled]]="","",Master[[#This Row],[Number Plants Sampled]])</f>
        <v>60</v>
      </c>
      <c r="K69" s="4" t="str">
        <f>IF(Master[[#This Row],[Environment Description]]="","",Master[[#This Row],[Environment Description]])</f>
        <v>Grazed</v>
      </c>
      <c r="L69" s="4" t="str">
        <f>IF(Master[[#This Row],[Collector Verbatim Locality]]="","",Master[[#This Row],[Collector Verbatim Locality]])</f>
        <v>Old Bonanza Highway/ Oil well 150718/ East 11 mi. on hwy 40 from Jensen, take Old Bonanza Hwy south for 10.5 mi., turn left towards 150718, about 0.25m south from the dirt road, on cheatgrass covered hill.</v>
      </c>
      <c r="M69" s="4">
        <f>IF(Master[[#This Row],[Elevation (meters)]]=0,"",Master[[#This Row],[Elevation (meters)]])</f>
        <v>1708.0992000000001</v>
      </c>
      <c r="N69" s="55">
        <f>IF(Master[[#This Row],[Latitude -decimal degrees]]="","",Master[[#This Row],[Latitude -decimal degrees]])</f>
        <v>40.151020000000003</v>
      </c>
      <c r="O69" s="55">
        <f>IF(Master[[#This Row],[Longitude -decimal degrees]]="","",Master[[#This Row],[Longitude -decimal degrees]])</f>
        <v>-109.12966</v>
      </c>
      <c r="P69" s="5" t="str">
        <f>IF(Master[[#This Row],[Georeference Datum]]="","",Master[[#This Row],[Georeference Datum]])</f>
        <v>WGS84</v>
      </c>
      <c r="Q69" s="5" t="str">
        <f>IF(Master[[#This Row],[Georeference Protocol - Lookup Picker]]="","",Master[[#This Row],[Georeference Protocol - Lookup Picker]])</f>
        <v>Lat/lon determined by GPS</v>
      </c>
      <c r="R69" s="5" t="str">
        <f>IF(Master[[#This Row],[Associated Species]]="","",Master[[#This Row],[Associated Species]])</f>
        <v>Bromus tectorum:Sarcobatus vermiculatus:Atriplex gardneri:Sphaeralcea coccinea ssp. coccinea:Achnatherum hymenoides:Tephrosia spicata:Artemisia nova:Atriplex confertifolia:Salsola tragus</v>
      </c>
      <c r="S69" t="str">
        <f t="shared" si="15"/>
        <v>Y</v>
      </c>
      <c r="T69" s="5" t="str">
        <f>IF(Master[[#This Row],[Note (Accession Source - Collector)]]="","",Master[[#This Row],[Note (Accession Source - Collector)]])</f>
        <v>Clark, M. Beale, A.</v>
      </c>
      <c r="U69" s="3"/>
      <c r="W69" s="3"/>
      <c r="Y69" s="3"/>
    </row>
    <row r="70" spans="2:25" x14ac:dyDescent="0.25">
      <c r="B70" t="str">
        <f>Master[[#This Row],[Accession Prefix (NPGS)]]&amp;" "&amp;Master[[#This Row],[Accession Number -Assigned]]</f>
        <v>W6 59656</v>
      </c>
      <c r="C70" t="str">
        <f t="shared" si="12"/>
        <v>Collection source event</v>
      </c>
      <c r="D70" t="str">
        <f t="shared" si="13"/>
        <v>mm/dd/yyyy</v>
      </c>
      <c r="E70" s="77">
        <f>IF(IF(Master[[#This Row],[Date Collected or Developed]]="",Master[[#This Row],[Received Date -received by site]],Master[[#This Row],[Date Collected or Developed]])="","",(IF(Master[[#This Row],[Date Collected or Developed]]="",Master[[#This Row],[Received Date -received by site]],Master[[#This Row],[Date Collected or Developed]])))</f>
        <v>43997</v>
      </c>
      <c r="F70" s="76" t="str">
        <f>IF(Master[[#This Row],[Geography (Collection) -Lookup Picker in GRIN]]="","",Master[[#This Row],[Geography (Collection) -Lookup Picker in GRIN]])</f>
        <v>United States, Utah, Unitah</v>
      </c>
      <c r="G70" t="str">
        <f t="shared" si="14"/>
        <v>Y</v>
      </c>
      <c r="H70" s="45" t="str">
        <f>IF(Master[[#This Row],[Collecting or Acquisition Source - List]]="","",Master[[#This Row],[Collecting or Acquisition Source - List]])</f>
        <v/>
      </c>
      <c r="I70" t="str">
        <f>IF(Master[[#This Row],[Inventory Type - Lookup Picker]]="","",Master[[#This Row],[Inventory Type - Lookup Picker]])</f>
        <v>SD</v>
      </c>
      <c r="J70" s="4">
        <f>IF(Master[[#This Row],[Number Plants Sampled]]="","",Master[[#This Row],[Number Plants Sampled]])</f>
        <v>100</v>
      </c>
      <c r="K70" s="4" t="str">
        <f>IF(Master[[#This Row],[Environment Description]]="","",Master[[#This Row],[Environment Description]])</f>
        <v>Grazed</v>
      </c>
      <c r="L70" s="4" t="str">
        <f>IF(Master[[#This Row],[Collector Verbatim Locality]]="","",Master[[#This Row],[Collector Verbatim Locality]])</f>
        <v>Walker Hollow/ Walker Hollow Road/ 22 miles S on highway 45 from Naples, approx 1 miles NE on oil road plants on either side on road</v>
      </c>
      <c r="M70" s="4">
        <f>IF(Master[[#This Row],[Elevation (meters)]]=0,"",Master[[#This Row],[Elevation (meters)]])</f>
        <v>1561.7952</v>
      </c>
      <c r="N70" s="55">
        <f>IF(Master[[#This Row],[Latitude -decimal degrees]]="","",Master[[#This Row],[Latitude -decimal degrees]])</f>
        <v>40.151009999999999</v>
      </c>
      <c r="O70" s="55">
        <f>IF(Master[[#This Row],[Longitude -decimal degrees]]="","",Master[[#This Row],[Longitude -decimal degrees]])</f>
        <v>-109.12963000000001</v>
      </c>
      <c r="P70" s="5" t="str">
        <f>IF(Master[[#This Row],[Georeference Datum]]="","",Master[[#This Row],[Georeference Datum]])</f>
        <v>WGS84</v>
      </c>
      <c r="Q70" s="5" t="str">
        <f>IF(Master[[#This Row],[Georeference Protocol - Lookup Picker]]="","",Master[[#This Row],[Georeference Protocol - Lookup Picker]])</f>
        <v>Lat/lon determined by GPS</v>
      </c>
      <c r="R70" s="5" t="str">
        <f>IF(Master[[#This Row],[Associated Species]]="","",Master[[#This Row],[Associated Species]])</f>
        <v>Tetradymia spinosa:Melilotus officinalis:Artemisia tridentata ssp. wyomingensis:Pleuraphis jamesii:Bromus tectorum:Sarcobatus vermiculatus:Sphaeralcea coccinea:Agropyron cristatum:Salsola tragus:Gutierrezia sarothrae</v>
      </c>
      <c r="S70" t="str">
        <f t="shared" si="15"/>
        <v>Y</v>
      </c>
      <c r="T70" s="5" t="str">
        <f>IF(Master[[#This Row],[Note (Accession Source - Collector)]]="","",Master[[#This Row],[Note (Accession Source - Collector)]])</f>
        <v>Clark, M. Beale, A.</v>
      </c>
      <c r="U70" s="3"/>
      <c r="W70" s="3"/>
      <c r="Y70" s="3"/>
    </row>
    <row r="71" spans="2:25" x14ac:dyDescent="0.25">
      <c r="B71" t="str">
        <f>Master[[#This Row],[Accession Prefix (NPGS)]]&amp;" "&amp;Master[[#This Row],[Accession Number -Assigned]]</f>
        <v>W6 59657</v>
      </c>
      <c r="C71" t="str">
        <f t="shared" si="12"/>
        <v>Collection source event</v>
      </c>
      <c r="D71" t="str">
        <f t="shared" si="13"/>
        <v>mm/dd/yyyy</v>
      </c>
      <c r="E71" s="77">
        <f>IF(IF(Master[[#This Row],[Date Collected or Developed]]="",Master[[#This Row],[Received Date -received by site]],Master[[#This Row],[Date Collected or Developed]])="","",(IF(Master[[#This Row],[Date Collected or Developed]]="",Master[[#This Row],[Received Date -received by site]],Master[[#This Row],[Date Collected or Developed]])))</f>
        <v>43998</v>
      </c>
      <c r="F71" s="76" t="str">
        <f>IF(Master[[#This Row],[Geography (Collection) -Lookup Picker in GRIN]]="","",Master[[#This Row],[Geography (Collection) -Lookup Picker in GRIN]])</f>
        <v>United States, Utah, Unitah</v>
      </c>
      <c r="G71" t="str">
        <f t="shared" si="14"/>
        <v>Y</v>
      </c>
      <c r="H71" s="45" t="str">
        <f>IF(Master[[#This Row],[Collecting or Acquisition Source - List]]="","",Master[[#This Row],[Collecting or Acquisition Source - List]])</f>
        <v/>
      </c>
      <c r="I71" t="str">
        <f>IF(Master[[#This Row],[Inventory Type - Lookup Picker]]="","",Master[[#This Row],[Inventory Type - Lookup Picker]])</f>
        <v>SD</v>
      </c>
      <c r="J71" s="4">
        <f>IF(Master[[#This Row],[Number Plants Sampled]]="","",Master[[#This Row],[Number Plants Sampled]])</f>
        <v>2000</v>
      </c>
      <c r="K71" s="4" t="str">
        <f>IF(Master[[#This Row],[Environment Description]]="","",Master[[#This Row],[Environment Description]])</f>
        <v>Grazed</v>
      </c>
      <c r="L71" s="4" t="str">
        <f>IF(Master[[#This Row],[Collector Verbatim Locality]]="","",Master[[#This Row],[Collector Verbatim Locality]])</f>
        <v>Baser Wash/ Beaser Washington Road/ From Naples, 13 miles S on Highway 45, .5 mile W on Baeser Washington Rd plants north of road</v>
      </c>
      <c r="M71" s="4">
        <f>IF(Master[[#This Row],[Elevation (meters)]]=0,"",Master[[#This Row],[Elevation (meters)]])</f>
        <v>1548.9936</v>
      </c>
      <c r="N71" s="55">
        <f>IF(Master[[#This Row],[Latitude -decimal degrees]]="","",Master[[#This Row],[Latitude -decimal degrees]])</f>
        <v>40.247239999999998</v>
      </c>
      <c r="O71" s="55">
        <f>IF(Master[[#This Row],[Longitude -decimal degrees]]="","",Master[[#This Row],[Longitude -decimal degrees]])</f>
        <v>-109.43201000000001</v>
      </c>
      <c r="P71" s="5" t="str">
        <f>IF(Master[[#This Row],[Georeference Datum]]="","",Master[[#This Row],[Georeference Datum]])</f>
        <v>WGS84</v>
      </c>
      <c r="Q71" s="5" t="str">
        <f>IF(Master[[#This Row],[Georeference Protocol - Lookup Picker]]="","",Master[[#This Row],[Georeference Protocol - Lookup Picker]])</f>
        <v>Lat/lon determined by GPS</v>
      </c>
      <c r="R71" s="5" t="str">
        <f>IF(Master[[#This Row],[Associated Species]]="","",Master[[#This Row],[Associated Species]])</f>
        <v>Grayia spinosa:Salsola tragus:Astragalus convallarius:Sarcobatus vermiculatus:Gutierrezia sarothrae:Atriplex confertifolia:Ericameria nauseosa:Plantago patagonica:Achnatherum hymenoides</v>
      </c>
      <c r="S71" t="str">
        <f t="shared" si="15"/>
        <v>Y</v>
      </c>
      <c r="T71" s="5" t="str">
        <f>IF(Master[[#This Row],[Note (Accession Source - Collector)]]="","",Master[[#This Row],[Note (Accession Source - Collector)]])</f>
        <v>Clark, M. Beale, A.</v>
      </c>
      <c r="U71" s="3"/>
      <c r="W71" s="3"/>
      <c r="Y71" s="3"/>
    </row>
    <row r="72" spans="2:25" x14ac:dyDescent="0.25">
      <c r="B72" t="str">
        <f>Master[[#This Row],[Accession Prefix (NPGS)]]&amp;" "&amp;Master[[#This Row],[Accession Number -Assigned]]</f>
        <v>W6 59658</v>
      </c>
      <c r="C72" t="str">
        <f t="shared" si="12"/>
        <v>Collection source event</v>
      </c>
      <c r="D72" t="str">
        <f t="shared" si="13"/>
        <v>mm/dd/yyyy</v>
      </c>
      <c r="E72" s="77">
        <f>IF(IF(Master[[#This Row],[Date Collected or Developed]]="",Master[[#This Row],[Received Date -received by site]],Master[[#This Row],[Date Collected or Developed]])="","",(IF(Master[[#This Row],[Date Collected or Developed]]="",Master[[#This Row],[Received Date -received by site]],Master[[#This Row],[Date Collected or Developed]])))</f>
        <v>43998</v>
      </c>
      <c r="F72" s="76" t="str">
        <f>IF(Master[[#This Row],[Geography (Collection) -Lookup Picker in GRIN]]="","",Master[[#This Row],[Geography (Collection) -Lookup Picker in GRIN]])</f>
        <v>United States, Utah, Unitah</v>
      </c>
      <c r="G72" t="str">
        <f t="shared" si="14"/>
        <v>Y</v>
      </c>
      <c r="H72" s="45" t="str">
        <f>IF(Master[[#This Row],[Collecting or Acquisition Source - List]]="","",Master[[#This Row],[Collecting or Acquisition Source - List]])</f>
        <v/>
      </c>
      <c r="I72" t="str">
        <f>IF(Master[[#This Row],[Inventory Type - Lookup Picker]]="","",Master[[#This Row],[Inventory Type - Lookup Picker]])</f>
        <v>SD</v>
      </c>
      <c r="J72" s="4">
        <f>IF(Master[[#This Row],[Number Plants Sampled]]="","",Master[[#This Row],[Number Plants Sampled]])</f>
        <v>1000</v>
      </c>
      <c r="K72" s="4" t="str">
        <f>IF(Master[[#This Row],[Environment Description]]="","",Master[[#This Row],[Environment Description]])</f>
        <v>Grazed</v>
      </c>
      <c r="L72" s="4" t="str">
        <f>IF(Master[[#This Row],[Collector Verbatim Locality]]="","",Master[[#This Row],[Collector Verbatim Locality]])</f>
        <v>Old Bonanza Highway/ Oil well 150718/ From Vernal, ~24 miles E on Highway 40, 10.5 miles S on old Bonanaza Highway, ~1 miles SE on oil road in fields on S side of road</v>
      </c>
      <c r="M72" s="4">
        <f>IF(Master[[#This Row],[Elevation (meters)]]=0,"",Master[[#This Row],[Elevation (meters)]])</f>
        <v>1708.0992000000001</v>
      </c>
      <c r="N72" s="55">
        <f>IF(Master[[#This Row],[Latitude -decimal degrees]]="","",Master[[#This Row],[Latitude -decimal degrees]])</f>
        <v>40.148159999999997</v>
      </c>
      <c r="O72" s="55">
        <f>IF(Master[[#This Row],[Longitude -decimal degrees]]="","",Master[[#This Row],[Longitude -decimal degrees]])</f>
        <v>-109.12027</v>
      </c>
      <c r="P72" s="5" t="str">
        <f>IF(Master[[#This Row],[Georeference Datum]]="","",Master[[#This Row],[Georeference Datum]])</f>
        <v>WGS84</v>
      </c>
      <c r="Q72" s="5" t="str">
        <f>IF(Master[[#This Row],[Georeference Protocol - Lookup Picker]]="","",Master[[#This Row],[Georeference Protocol - Lookup Picker]])</f>
        <v>Lat/lon determined by GPS</v>
      </c>
      <c r="R72" s="5" t="str">
        <f>IF(Master[[#This Row],[Associated Species]]="","",Master[[#This Row],[Associated Species]])</f>
        <v>Bromus tectorum:Sphaeralcea coccinea ssp. coccinea:Ericameria nauseosa:Atriplex confertifolia:Guaiacum sanctum:Gutierrezia sarothrae:Krascheninnikovia lanata:Achnatherum hymenoides:Tetradymia nuttallii:Tetradymia spinosa:Agropyron cristatum:Phlox longifolia</v>
      </c>
      <c r="S72" t="str">
        <f t="shared" si="15"/>
        <v>Y</v>
      </c>
      <c r="T72" s="5" t="str">
        <f>IF(Master[[#This Row],[Note (Accession Source - Collector)]]="","",Master[[#This Row],[Note (Accession Source - Collector)]])</f>
        <v>Clark, M., Beale, A.</v>
      </c>
      <c r="U72" s="3"/>
      <c r="W72" s="3"/>
      <c r="Y72" s="3"/>
    </row>
    <row r="73" spans="2:25" x14ac:dyDescent="0.25">
      <c r="B73" t="str">
        <f>Master[[#This Row],[Accession Prefix (NPGS)]]&amp;" "&amp;Master[[#This Row],[Accession Number -Assigned]]</f>
        <v>W6 59659</v>
      </c>
      <c r="C73" t="str">
        <f t="shared" si="12"/>
        <v>Collection source event</v>
      </c>
      <c r="D73" t="str">
        <f t="shared" si="13"/>
        <v>mm/dd/yyyy</v>
      </c>
      <c r="E73" s="77">
        <f>IF(IF(Master[[#This Row],[Date Collected or Developed]]="",Master[[#This Row],[Received Date -received by site]],Master[[#This Row],[Date Collected or Developed]])="","",(IF(Master[[#This Row],[Date Collected or Developed]]="",Master[[#This Row],[Received Date -received by site]],Master[[#This Row],[Date Collected or Developed]])))</f>
        <v>43999</v>
      </c>
      <c r="F73" s="76" t="str">
        <f>IF(Master[[#This Row],[Geography (Collection) -Lookup Picker in GRIN]]="","",Master[[#This Row],[Geography (Collection) -Lookup Picker in GRIN]])</f>
        <v>United States, Utah, Unitah</v>
      </c>
      <c r="G73" t="str">
        <f t="shared" si="14"/>
        <v>Y</v>
      </c>
      <c r="H73" s="45" t="str">
        <f>IF(Master[[#This Row],[Collecting or Acquisition Source - List]]="","",Master[[#This Row],[Collecting or Acquisition Source - List]])</f>
        <v/>
      </c>
      <c r="I73" t="str">
        <f>IF(Master[[#This Row],[Inventory Type - Lookup Picker]]="","",Master[[#This Row],[Inventory Type - Lookup Picker]])</f>
        <v>SD</v>
      </c>
      <c r="J73" s="4">
        <f>IF(Master[[#This Row],[Number Plants Sampled]]="","",Master[[#This Row],[Number Plants Sampled]])</f>
        <v>156</v>
      </c>
      <c r="K73" s="4" t="str">
        <f>IF(Master[[#This Row],[Environment Description]]="","",Master[[#This Row],[Environment Description]])</f>
        <v>Grazed:Herbicide 2019</v>
      </c>
      <c r="L73" s="4" t="str">
        <f>IF(Master[[#This Row],[Collector Verbatim Locality]]="","",Master[[#This Row],[Collector Verbatim Locality]])</f>
        <v>Blind Draw/ Highway 40E/ ~22 miles E on highway 40 from Vernal, plants on south side of roadside</v>
      </c>
      <c r="M73" s="4">
        <f>IF(Master[[#This Row],[Elevation (meters)]]=0,"",Master[[#This Row],[Elevation (meters)]])</f>
        <v>1578.864</v>
      </c>
      <c r="N73" s="55">
        <f>IF(Master[[#This Row],[Latitude -decimal degrees]]="","",Master[[#This Row],[Latitude -decimal degrees]])</f>
        <v>40.3033</v>
      </c>
      <c r="O73" s="55">
        <f>IF(Master[[#This Row],[Longitude -decimal degrees]]="","",Master[[#This Row],[Longitude -decimal degrees]])</f>
        <v>-109.20614</v>
      </c>
      <c r="P73" s="5" t="str">
        <f>IF(Master[[#This Row],[Georeference Datum]]="","",Master[[#This Row],[Georeference Datum]])</f>
        <v>WGS84</v>
      </c>
      <c r="Q73" s="5" t="str">
        <f>IF(Master[[#This Row],[Georeference Protocol - Lookup Picker]]="","",Master[[#This Row],[Georeference Protocol - Lookup Picker]])</f>
        <v>Lat/lon determined by GPS</v>
      </c>
      <c r="R73" s="5" t="str">
        <f>IF(Master[[#This Row],[Associated Species]]="","",Master[[#This Row],[Associated Species]])</f>
        <v>Sarcobatus vermiculatus:Pascopyrum smithii:Atriplex confertifolia:Gutierrezia sarothrae:Halogeton glomeratus:Achnatherum hymenoides:Bromus tectorum:Pleuraphis jamesii:Salsola tragus:Tephrosia spicata</v>
      </c>
      <c r="S73" t="str">
        <f t="shared" si="15"/>
        <v>Y</v>
      </c>
      <c r="T73" s="5" t="str">
        <f>IF(Master[[#This Row],[Note (Accession Source - Collector)]]="","",Master[[#This Row],[Note (Accession Source - Collector)]])</f>
        <v>Clark, M., Beale, A.</v>
      </c>
      <c r="U73" s="3"/>
      <c r="W73" s="3"/>
      <c r="Y73" s="3"/>
    </row>
    <row r="74" spans="2:25" x14ac:dyDescent="0.25">
      <c r="B74" t="str">
        <f>Master[[#This Row],[Accession Prefix (NPGS)]]&amp;" "&amp;Master[[#This Row],[Accession Number -Assigned]]</f>
        <v>W6 59660</v>
      </c>
      <c r="C74" t="str">
        <f t="shared" si="12"/>
        <v>Collection source event</v>
      </c>
      <c r="D74" t="str">
        <f t="shared" si="13"/>
        <v>mm/dd/yyyy</v>
      </c>
      <c r="E74" s="77">
        <f>IF(IF(Master[[#This Row],[Date Collected or Developed]]="",Master[[#This Row],[Received Date -received by site]],Master[[#This Row],[Date Collected or Developed]])="","",(IF(Master[[#This Row],[Date Collected or Developed]]="",Master[[#This Row],[Received Date -received by site]],Master[[#This Row],[Date Collected or Developed]])))</f>
        <v>44006</v>
      </c>
      <c r="F74" s="76" t="str">
        <f>IF(Master[[#This Row],[Geography (Collection) -Lookup Picker in GRIN]]="","",Master[[#This Row],[Geography (Collection) -Lookup Picker in GRIN]])</f>
        <v>United States, Utah, Unitah</v>
      </c>
      <c r="G74" t="str">
        <f t="shared" si="14"/>
        <v>Y</v>
      </c>
      <c r="H74" s="45" t="str">
        <f>IF(Master[[#This Row],[Collecting or Acquisition Source - List]]="","",Master[[#This Row],[Collecting or Acquisition Source - List]])</f>
        <v/>
      </c>
      <c r="I74" t="str">
        <f>IF(Master[[#This Row],[Inventory Type - Lookup Picker]]="","",Master[[#This Row],[Inventory Type - Lookup Picker]])</f>
        <v>SD</v>
      </c>
      <c r="J74" s="4">
        <f>IF(Master[[#This Row],[Number Plants Sampled]]="","",Master[[#This Row],[Number Plants Sampled]])</f>
        <v>50</v>
      </c>
      <c r="K74" s="4" t="str">
        <f>IF(Master[[#This Row],[Environment Description]]="","",Master[[#This Row],[Environment Description]])</f>
        <v>Grazed:herbicide 2019</v>
      </c>
      <c r="L74" s="4" t="str">
        <f>IF(Master[[#This Row],[Collector Verbatim Locality]]="","",Master[[#This Row],[Collector Verbatim Locality]])</f>
        <v>Blind Draw/Cow Wash/ Highway 40E/ From Vernal, ~22 miles E on Highway 40 plants on S side of Highway</v>
      </c>
      <c r="M74" s="4">
        <f>IF(Master[[#This Row],[Elevation (meters)]]=0,"",Master[[#This Row],[Elevation (meters)]])</f>
        <v>1578.864</v>
      </c>
      <c r="N74" s="55">
        <f>IF(Master[[#This Row],[Latitude -decimal degrees]]="","",Master[[#This Row],[Latitude -decimal degrees]])</f>
        <v>40.301259999999999</v>
      </c>
      <c r="O74" s="55">
        <f>IF(Master[[#This Row],[Longitude -decimal degrees]]="","",Master[[#This Row],[Longitude -decimal degrees]])</f>
        <v>-109.19764000000001</v>
      </c>
      <c r="P74" s="5" t="str">
        <f>IF(Master[[#This Row],[Georeference Datum]]="","",Master[[#This Row],[Georeference Datum]])</f>
        <v>WGS84</v>
      </c>
      <c r="Q74" s="5" t="str">
        <f>IF(Master[[#This Row],[Georeference Protocol - Lookup Picker]]="","",Master[[#This Row],[Georeference Protocol - Lookup Picker]])</f>
        <v>Lat/lon determined by GPS</v>
      </c>
      <c r="R74" s="5" t="str">
        <f>IF(Master[[#This Row],[Associated Species]]="","",Master[[#This Row],[Associated Species]])</f>
        <v>Bromus tectorum:Sarcobatus vermiculatus:Pascopyrum smithii:Halogeton glomeratus:Salsola tragus</v>
      </c>
      <c r="S74" t="str">
        <f t="shared" si="15"/>
        <v>Y</v>
      </c>
      <c r="T74" s="5" t="str">
        <f>IF(Master[[#This Row],[Note (Accession Source - Collector)]]="","",Master[[#This Row],[Note (Accession Source - Collector)]])</f>
        <v>Clark, M., Beale, A.</v>
      </c>
      <c r="U74" s="3"/>
      <c r="W74" s="3"/>
      <c r="Y74" s="3"/>
    </row>
    <row r="75" spans="2:25" x14ac:dyDescent="0.25">
      <c r="B75" t="str">
        <f>Master[[#This Row],[Accession Prefix (NPGS)]]&amp;" "&amp;Master[[#This Row],[Accession Number -Assigned]]</f>
        <v>W6 59661</v>
      </c>
      <c r="C75" t="str">
        <f t="shared" si="12"/>
        <v>Collection source event</v>
      </c>
      <c r="D75" t="str">
        <f t="shared" si="13"/>
        <v>mm/dd/yyyy</v>
      </c>
      <c r="E75" s="77">
        <f>IF(IF(Master[[#This Row],[Date Collected or Developed]]="",Master[[#This Row],[Received Date -received by site]],Master[[#This Row],[Date Collected or Developed]])="","",(IF(Master[[#This Row],[Date Collected or Developed]]="",Master[[#This Row],[Received Date -received by site]],Master[[#This Row],[Date Collected or Developed]])))</f>
        <v>44006</v>
      </c>
      <c r="F75" s="76" t="str">
        <f>IF(Master[[#This Row],[Geography (Collection) -Lookup Picker in GRIN]]="","",Master[[#This Row],[Geography (Collection) -Lookup Picker in GRIN]])</f>
        <v>United States, Utah, Unitah</v>
      </c>
      <c r="G75" t="str">
        <f t="shared" si="14"/>
        <v>Y</v>
      </c>
      <c r="H75" s="45" t="str">
        <f>IF(Master[[#This Row],[Collecting or Acquisition Source - List]]="","",Master[[#This Row],[Collecting or Acquisition Source - List]])</f>
        <v/>
      </c>
      <c r="I75" t="str">
        <f>IF(Master[[#This Row],[Inventory Type - Lookup Picker]]="","",Master[[#This Row],[Inventory Type - Lookup Picker]])</f>
        <v>SD</v>
      </c>
      <c r="J75" s="4">
        <f>IF(Master[[#This Row],[Number Plants Sampled]]="","",Master[[#This Row],[Number Plants Sampled]])</f>
        <v>100</v>
      </c>
      <c r="K75" s="4" t="str">
        <f>IF(Master[[#This Row],[Environment Description]]="","",Master[[#This Row],[Environment Description]])</f>
        <v>Grazed</v>
      </c>
      <c r="L75" s="4" t="str">
        <f>IF(Master[[#This Row],[Collector Verbatim Locality]]="","",Master[[#This Row],[Collector Verbatim Locality]])</f>
        <v>Brough Reservoir/ Highway 88/ From Vernal, ~14 miles W on Highway 40, 3.8 miles S on Highway 88, plants west of highway on either side of turnoff to Brough reservoir</v>
      </c>
      <c r="M75" s="4">
        <f>IF(Master[[#This Row],[Elevation (meters)]]=0,"",Master[[#This Row],[Elevation (meters)]])</f>
        <v>1533.144</v>
      </c>
      <c r="N75" s="55">
        <f>IF(Master[[#This Row],[Latitude -decimal degrees]]="","",Master[[#This Row],[Latitude -decimal degrees]])</f>
        <v>40.265549999999998</v>
      </c>
      <c r="O75" s="55">
        <f>IF(Master[[#This Row],[Longitude -decimal degrees]]="","",Master[[#This Row],[Longitude -decimal degrees]])</f>
        <v>-109.685</v>
      </c>
      <c r="P75" s="5" t="str">
        <f>IF(Master[[#This Row],[Georeference Datum]]="","",Master[[#This Row],[Georeference Datum]])</f>
        <v>WGS84</v>
      </c>
      <c r="Q75" s="5" t="str">
        <f>IF(Master[[#This Row],[Georeference Protocol - Lookup Picker]]="","",Master[[#This Row],[Georeference Protocol - Lookup Picker]])</f>
        <v>Lat/lon determined by GPS</v>
      </c>
      <c r="R75" s="5" t="str">
        <f>IF(Master[[#This Row],[Associated Species]]="","",Master[[#This Row],[Associated Species]])</f>
        <v>Pleuraphis jamesii:Bromus tectorum:Halogeton glomeratus:Achnatherum hymenoides:Atriplex canescens:Grayia spinosa:Ericameria nauseosa</v>
      </c>
      <c r="S75" t="str">
        <f t="shared" si="15"/>
        <v>Y</v>
      </c>
      <c r="T75" s="5" t="str">
        <f>IF(Master[[#This Row],[Note (Accession Source - Collector)]]="","",Master[[#This Row],[Note (Accession Source - Collector)]])</f>
        <v>Clark, M., Beale, A.</v>
      </c>
      <c r="U75" s="3"/>
      <c r="W75" s="3"/>
      <c r="Y75" s="3"/>
    </row>
    <row r="76" spans="2:25" x14ac:dyDescent="0.25">
      <c r="B76" t="str">
        <f>Master[[#This Row],[Accession Prefix (NPGS)]]&amp;" "&amp;Master[[#This Row],[Accession Number -Assigned]]</f>
        <v>W6 59662</v>
      </c>
      <c r="C76" t="str">
        <f t="shared" si="12"/>
        <v>Collection source event</v>
      </c>
      <c r="D76" t="str">
        <f t="shared" si="13"/>
        <v>mm/dd/yyyy</v>
      </c>
      <c r="E76" s="77">
        <f>IF(IF(Master[[#This Row],[Date Collected or Developed]]="",Master[[#This Row],[Received Date -received by site]],Master[[#This Row],[Date Collected or Developed]])="","",(IF(Master[[#This Row],[Date Collected or Developed]]="",Master[[#This Row],[Received Date -received by site]],Master[[#This Row],[Date Collected or Developed]])))</f>
        <v>44013</v>
      </c>
      <c r="F76" s="76" t="str">
        <f>IF(Master[[#This Row],[Geography (Collection) -Lookup Picker in GRIN]]="","",Master[[#This Row],[Geography (Collection) -Lookup Picker in GRIN]])</f>
        <v>United States, Utah, Unitah</v>
      </c>
      <c r="G76" t="str">
        <f t="shared" si="14"/>
        <v>Y</v>
      </c>
      <c r="H76" s="45" t="str">
        <f>IF(Master[[#This Row],[Collecting or Acquisition Source - List]]="","",Master[[#This Row],[Collecting or Acquisition Source - List]])</f>
        <v/>
      </c>
      <c r="I76" t="str">
        <f>IF(Master[[#This Row],[Inventory Type - Lookup Picker]]="","",Master[[#This Row],[Inventory Type - Lookup Picker]])</f>
        <v>SD</v>
      </c>
      <c r="J76" s="4">
        <f>IF(Master[[#This Row],[Number Plants Sampled]]="","",Master[[#This Row],[Number Plants Sampled]])</f>
        <v>150</v>
      </c>
      <c r="K76" s="4" t="str">
        <f>IF(Master[[#This Row],[Environment Description]]="","",Master[[#This Row],[Environment Description]])</f>
        <v>Grazed</v>
      </c>
      <c r="L76" s="4" t="str">
        <f>IF(Master[[#This Row],[Collector Verbatim Locality]]="","",Master[[#This Row],[Collector Verbatim Locality]])</f>
        <v>Uintah Basin/ Baeser Washington Rd./ From Vernal, take hwy 45 S for 13 mi., turn W onto Beaser Washington Rd., cont. for 4 mi., cont. onto Stirrup Rd. for 4 mi. Along sandy plateau top near oil well rd 4304731787.</v>
      </c>
      <c r="M76" s="4">
        <f>IF(Master[[#This Row],[Elevation (meters)]]=0,"",Master[[#This Row],[Elevation (meters)]])</f>
        <v>1533.144</v>
      </c>
      <c r="N76" s="55">
        <f>IF(Master[[#This Row],[Latitude -decimal degrees]]="","",Master[[#This Row],[Latitude -decimal degrees]])</f>
        <v>40.248049999999999</v>
      </c>
      <c r="O76" s="55">
        <f>IF(Master[[#This Row],[Longitude -decimal degrees]]="","",Master[[#This Row],[Longitude -decimal degrees]])</f>
        <v>-109.54777</v>
      </c>
      <c r="P76" s="5" t="str">
        <f>IF(Master[[#This Row],[Georeference Datum]]="","",Master[[#This Row],[Georeference Datum]])</f>
        <v>WGS84</v>
      </c>
      <c r="Q76" s="5" t="str">
        <f>IF(Master[[#This Row],[Georeference Protocol - Lookup Picker]]="","",Master[[#This Row],[Georeference Protocol - Lookup Picker]])</f>
        <v>Lat/lon determined by GPS</v>
      </c>
      <c r="R76" s="5" t="str">
        <f>IF(Master[[#This Row],[Associated Species]]="","",Master[[#This Row],[Associated Species]])</f>
        <v>Bromus tectorum:Halogeton glomeratus:Tephrosia spicata:Cryptantha flava:Pleuraphis jamesii:Achnatherum hymenoides:Townsendia sp.:Tetradymia nuttallii:Ericameria nauseosa:Hesperostipa comata</v>
      </c>
      <c r="S76" t="str">
        <f t="shared" si="15"/>
        <v>Y</v>
      </c>
      <c r="T76" s="5" t="str">
        <f>IF(Master[[#This Row],[Note (Accession Source - Collector)]]="","",Master[[#This Row],[Note (Accession Source - Collector)]])</f>
        <v>Clark, M., Beale, A.</v>
      </c>
      <c r="U76" s="3"/>
      <c r="W76" s="3"/>
      <c r="Y76" s="3"/>
    </row>
    <row r="77" spans="2:25" x14ac:dyDescent="0.25">
      <c r="B77" t="str">
        <f>Master[[#This Row],[Accession Prefix (NPGS)]]&amp;" "&amp;Master[[#This Row],[Accession Number -Assigned]]</f>
        <v>W6 59663</v>
      </c>
      <c r="C77" t="str">
        <f t="shared" si="12"/>
        <v>Collection source event</v>
      </c>
      <c r="D77" t="str">
        <f t="shared" si="13"/>
        <v>mm/dd/yyyy</v>
      </c>
      <c r="E77" s="77">
        <f>IF(IF(Master[[#This Row],[Date Collected or Developed]]="",Master[[#This Row],[Received Date -received by site]],Master[[#This Row],[Date Collected or Developed]])="","",(IF(Master[[#This Row],[Date Collected or Developed]]="",Master[[#This Row],[Received Date -received by site]],Master[[#This Row],[Date Collected or Developed]])))</f>
        <v>44007</v>
      </c>
      <c r="F77" s="76" t="str">
        <f>IF(Master[[#This Row],[Geography (Collection) -Lookup Picker in GRIN]]="","",Master[[#This Row],[Geography (Collection) -Lookup Picker in GRIN]])</f>
        <v>United States, Utah, Unitah</v>
      </c>
      <c r="G77" t="str">
        <f t="shared" si="14"/>
        <v>Y</v>
      </c>
      <c r="H77" s="45" t="str">
        <f>IF(Master[[#This Row],[Collecting or Acquisition Source - List]]="","",Master[[#This Row],[Collecting or Acquisition Source - List]])</f>
        <v/>
      </c>
      <c r="I77" t="str">
        <f>IF(Master[[#This Row],[Inventory Type - Lookup Picker]]="","",Master[[#This Row],[Inventory Type - Lookup Picker]])</f>
        <v>SD</v>
      </c>
      <c r="J77" s="4">
        <f>IF(Master[[#This Row],[Number Plants Sampled]]="","",Master[[#This Row],[Number Plants Sampled]])</f>
        <v>200</v>
      </c>
      <c r="K77" s="4" t="str">
        <f>IF(Master[[#This Row],[Environment Description]]="","",Master[[#This Row],[Environment Description]])</f>
        <v>Grazed</v>
      </c>
      <c r="L77" s="4" t="str">
        <f>IF(Master[[#This Row],[Collector Verbatim Locality]]="","",Master[[#This Row],[Collector Verbatim Locality]])</f>
        <v>Old bonanza highway/ roadside/ From Vernal, 24.4 miles E on H 40, 4 miles S on Old Bonanza Highway, plants lining both sides of road</v>
      </c>
      <c r="M77" s="4">
        <f>IF(Master[[#This Row],[Elevation (meters)]]=0,"",Master[[#This Row],[Elevation (meters)]])</f>
        <v>1670.3040000000001</v>
      </c>
      <c r="N77" s="55">
        <f>IF(Master[[#This Row],[Latitude -decimal degrees]]="","",Master[[#This Row],[Latitude -decimal degrees]])</f>
        <v>40.236660000000001</v>
      </c>
      <c r="O77" s="55">
        <f>IF(Master[[#This Row],[Longitude -decimal degrees]]="","",Master[[#This Row],[Longitude -decimal degrees]])</f>
        <v>-109.15638</v>
      </c>
      <c r="P77" s="5" t="str">
        <f>IF(Master[[#This Row],[Georeference Datum]]="","",Master[[#This Row],[Georeference Datum]])</f>
        <v>WGS84</v>
      </c>
      <c r="Q77" s="5" t="str">
        <f>IF(Master[[#This Row],[Georeference Protocol - Lookup Picker]]="","",Master[[#This Row],[Georeference Protocol - Lookup Picker]])</f>
        <v>Lat/lon determined by GPS</v>
      </c>
      <c r="R77" s="5" t="str">
        <f>IF(Master[[#This Row],[Associated Species]]="","",Master[[#This Row],[Associated Species]])</f>
        <v>Sarcobatus vermiculatus:Bromus tectorum:Gutierrezia sarothrae:Artemisia nova:Agropyron cristatum:Hesperostipa comata</v>
      </c>
      <c r="S77" t="str">
        <f t="shared" si="15"/>
        <v>Y</v>
      </c>
      <c r="T77" s="5" t="str">
        <f>IF(Master[[#This Row],[Note (Accession Source - Collector)]]="","",Master[[#This Row],[Note (Accession Source - Collector)]])</f>
        <v>Clark, M., Beale, A.</v>
      </c>
      <c r="U77" s="3"/>
      <c r="W77" s="3"/>
      <c r="Y77" s="3"/>
    </row>
    <row r="78" spans="2:25" x14ac:dyDescent="0.25">
      <c r="B78" t="str">
        <f>Master[[#This Row],[Accession Prefix (NPGS)]]&amp;" "&amp;Master[[#This Row],[Accession Number -Assigned]]</f>
        <v>W6 59664</v>
      </c>
      <c r="C78" t="str">
        <f t="shared" si="12"/>
        <v>Collection source event</v>
      </c>
      <c r="D78" t="str">
        <f t="shared" si="13"/>
        <v>mm/dd/yyyy</v>
      </c>
      <c r="E78" s="77">
        <f>IF(IF(Master[[#This Row],[Date Collected or Developed]]="",Master[[#This Row],[Received Date -received by site]],Master[[#This Row],[Date Collected or Developed]])="","",(IF(Master[[#This Row],[Date Collected or Developed]]="",Master[[#This Row],[Received Date -received by site]],Master[[#This Row],[Date Collected or Developed]])))</f>
        <v>44054</v>
      </c>
      <c r="F78" s="76" t="str">
        <f>IF(Master[[#This Row],[Geography (Collection) -Lookup Picker in GRIN]]="","",Master[[#This Row],[Geography (Collection) -Lookup Picker in GRIN]])</f>
        <v>United States, Utah, Unitah</v>
      </c>
      <c r="G78" t="str">
        <f t="shared" si="14"/>
        <v>Y</v>
      </c>
      <c r="H78" s="45" t="str">
        <f>IF(Master[[#This Row],[Collecting or Acquisition Source - List]]="","",Master[[#This Row],[Collecting or Acquisition Source - List]])</f>
        <v/>
      </c>
      <c r="I78" t="str">
        <f>IF(Master[[#This Row],[Inventory Type - Lookup Picker]]="","",Master[[#This Row],[Inventory Type - Lookup Picker]])</f>
        <v>SD</v>
      </c>
      <c r="J78" s="4">
        <f>IF(Master[[#This Row],[Number Plants Sampled]]="","",Master[[#This Row],[Number Plants Sampled]])</f>
        <v>250</v>
      </c>
      <c r="K78" s="4" t="str">
        <f>IF(Master[[#This Row],[Environment Description]]="","",Master[[#This Row],[Environment Description]])</f>
        <v>Grazed</v>
      </c>
      <c r="L78" s="4" t="str">
        <f>IF(Master[[#This Row],[Collector Verbatim Locality]]="","",Master[[#This Row],[Collector Verbatim Locality]])</f>
        <v>Red Cloud Loop Kiosk/ Highway 191/ From Vernal, take Hwy 191 N for 16 miles. Turn W onto FR 018. The pull off for Red Cloud Loop is immediately to the north, plants are abundant throughout meadow and nearby Aspen grove.</v>
      </c>
      <c r="M78" s="4">
        <f>IF(Master[[#This Row],[Elevation (meters)]]=0,"",Master[[#This Row],[Elevation (meters)]])</f>
        <v>2516.1240000000003</v>
      </c>
      <c r="N78" s="55">
        <f>IF(Master[[#This Row],[Latitude -decimal degrees]]="","",Master[[#This Row],[Latitude -decimal degrees]])</f>
        <v>40.676409999999997</v>
      </c>
      <c r="O78" s="55">
        <f>IF(Master[[#This Row],[Longitude -decimal degrees]]="","",Master[[#This Row],[Longitude -decimal degrees]])</f>
        <v>-109.48761</v>
      </c>
      <c r="P78" s="5" t="str">
        <f>IF(Master[[#This Row],[Georeference Datum]]="","",Master[[#This Row],[Georeference Datum]])</f>
        <v>WGS84</v>
      </c>
      <c r="Q78" s="5" t="str">
        <f>IF(Master[[#This Row],[Georeference Protocol - Lookup Picker]]="","",Master[[#This Row],[Georeference Protocol - Lookup Picker]])</f>
        <v>Lat/lon determined by GPS</v>
      </c>
      <c r="R78" s="5" t="str">
        <f>IF(Master[[#This Row],[Associated Species]]="","",Master[[#This Row],[Associated Species]])</f>
        <v>Symphoricarpos oreophilus var. oreophilus:Koeleria macrantha:Bromus inermis:Artemisia nova:Gutierrezia sarothrae:Elymus elymoides:Lupinus argenteus:Phlox hoodii:Balsamorhiza hookeri:Eriogonum umbellatum:Poa secunda:Hesperostipa comata</v>
      </c>
      <c r="S78" t="str">
        <f t="shared" si="15"/>
        <v>Y</v>
      </c>
      <c r="T78" s="5" t="str">
        <f>IF(Master[[#This Row],[Note (Accession Source - Collector)]]="","",Master[[#This Row],[Note (Accession Source - Collector)]])</f>
        <v>Clark, M., Beale, A.</v>
      </c>
      <c r="U78" s="3"/>
      <c r="W78" s="3"/>
      <c r="Y78" s="3"/>
    </row>
    <row r="79" spans="2:25" x14ac:dyDescent="0.25">
      <c r="B79" t="str">
        <f>Master[[#This Row],[Accession Prefix (NPGS)]]&amp;" "&amp;Master[[#This Row],[Accession Number -Assigned]]</f>
        <v>W6 59665</v>
      </c>
      <c r="C79" t="str">
        <f t="shared" si="12"/>
        <v>Collection source event</v>
      </c>
      <c r="D79" t="str">
        <f t="shared" si="13"/>
        <v>mm/dd/yyyy</v>
      </c>
      <c r="E79" s="77">
        <f>IF(IF(Master[[#This Row],[Date Collected or Developed]]="",Master[[#This Row],[Received Date -received by site]],Master[[#This Row],[Date Collected or Developed]])="","",(IF(Master[[#This Row],[Date Collected or Developed]]="",Master[[#This Row],[Received Date -received by site]],Master[[#This Row],[Date Collected or Developed]])))</f>
        <v>44013</v>
      </c>
      <c r="F79" s="76" t="str">
        <f>IF(Master[[#This Row],[Geography (Collection) -Lookup Picker in GRIN]]="","",Master[[#This Row],[Geography (Collection) -Lookup Picker in GRIN]])</f>
        <v>United States, Utah, Unitah</v>
      </c>
      <c r="G79" t="str">
        <f t="shared" si="14"/>
        <v>Y</v>
      </c>
      <c r="H79" s="45" t="str">
        <f>IF(Master[[#This Row],[Collecting or Acquisition Source - List]]="","",Master[[#This Row],[Collecting or Acquisition Source - List]])</f>
        <v/>
      </c>
      <c r="I79" t="str">
        <f>IF(Master[[#This Row],[Inventory Type - Lookup Picker]]="","",Master[[#This Row],[Inventory Type - Lookup Picker]])</f>
        <v>SD</v>
      </c>
      <c r="J79" s="4">
        <f>IF(Master[[#This Row],[Number Plants Sampled]]="","",Master[[#This Row],[Number Plants Sampled]])</f>
        <v>200</v>
      </c>
      <c r="K79" s="4" t="str">
        <f>IF(Master[[#This Row],[Environment Description]]="","",Master[[#This Row],[Environment Description]])</f>
        <v>Grazed</v>
      </c>
      <c r="L79" s="4" t="str">
        <f>IF(Master[[#This Row],[Collector Verbatim Locality]]="","",Master[[#This Row],[Collector Verbatim Locality]])</f>
        <v>Ouray Wildlife refuge/ Highway 88/ From Vernal, ~12.5 miles E on highway 40, 12.7 miles S on highway 88, plants in drainage area E oil wells</v>
      </c>
      <c r="M79" s="4">
        <f>IF(Master[[#This Row],[Elevation (meters)]]=0,"",Master[[#This Row],[Elevation (meters)]])</f>
        <v>1438.6560000000002</v>
      </c>
      <c r="N79" s="55">
        <f>IF(Master[[#This Row],[Latitude -decimal degrees]]="","",Master[[#This Row],[Latitude -decimal degrees]])</f>
        <v>40.143329999999999</v>
      </c>
      <c r="O79" s="55">
        <f>IF(Master[[#This Row],[Longitude -decimal degrees]]="","",Master[[#This Row],[Longitude -decimal degrees]])</f>
        <v>-109.66166</v>
      </c>
      <c r="P79" s="5" t="str">
        <f>IF(Master[[#This Row],[Georeference Datum]]="","",Master[[#This Row],[Georeference Datum]])</f>
        <v>WGS84</v>
      </c>
      <c r="Q79" s="5" t="str">
        <f>IF(Master[[#This Row],[Georeference Protocol - Lookup Picker]]="","",Master[[#This Row],[Georeference Protocol - Lookup Picker]])</f>
        <v>Lat/lon determined by GPS</v>
      </c>
      <c r="R79" s="5" t="str">
        <f>IF(Master[[#This Row],[Associated Species]]="","",Master[[#This Row],[Associated Species]])</f>
        <v>Pascopyrum smithii:Halogeton glomeratus:Sarcobatus vermiculatus:Lepidium montanum:Iva axillaris:Acroptilon repens:Lepidium latifolium:Populus fremontii</v>
      </c>
      <c r="S79" t="str">
        <f t="shared" si="15"/>
        <v>Y</v>
      </c>
      <c r="T79" s="5" t="str">
        <f>IF(Master[[#This Row],[Note (Accession Source - Collector)]]="","",Master[[#This Row],[Note (Accession Source - Collector)]])</f>
        <v>Clark, M., Beale, A.</v>
      </c>
      <c r="U79" s="3"/>
      <c r="W79" s="3"/>
      <c r="Y79" s="3"/>
    </row>
    <row r="80" spans="2:25" x14ac:dyDescent="0.25">
      <c r="B80" t="str">
        <f>Master[[#This Row],[Accession Prefix (NPGS)]]&amp;" "&amp;Master[[#This Row],[Accession Number -Assigned]]</f>
        <v>W6 59666</v>
      </c>
      <c r="C80" t="str">
        <f t="shared" si="12"/>
        <v>Collection source event</v>
      </c>
      <c r="D80" t="str">
        <f t="shared" si="13"/>
        <v>mm/dd/yyyy</v>
      </c>
      <c r="E80" s="77">
        <f>IF(IF(Master[[#This Row],[Date Collected or Developed]]="",Master[[#This Row],[Received Date -received by site]],Master[[#This Row],[Date Collected or Developed]])="","",(IF(Master[[#This Row],[Date Collected or Developed]]="",Master[[#This Row],[Received Date -received by site]],Master[[#This Row],[Date Collected or Developed]])))</f>
        <v>44011</v>
      </c>
      <c r="F80" s="76" t="str">
        <f>IF(Master[[#This Row],[Geography (Collection) -Lookup Picker in GRIN]]="","",Master[[#This Row],[Geography (Collection) -Lookup Picker in GRIN]])</f>
        <v>United States, Utah, Unitah</v>
      </c>
      <c r="G80" t="str">
        <f t="shared" si="14"/>
        <v>Y</v>
      </c>
      <c r="H80" s="45" t="str">
        <f>IF(Master[[#This Row],[Collecting or Acquisition Source - List]]="","",Master[[#This Row],[Collecting or Acquisition Source - List]])</f>
        <v/>
      </c>
      <c r="I80" t="str">
        <f>IF(Master[[#This Row],[Inventory Type - Lookup Picker]]="","",Master[[#This Row],[Inventory Type - Lookup Picker]])</f>
        <v>SD</v>
      </c>
      <c r="J80" s="4">
        <f>IF(Master[[#This Row],[Number Plants Sampled]]="","",Master[[#This Row],[Number Plants Sampled]])</f>
        <v>500</v>
      </c>
      <c r="K80" s="4" t="str">
        <f>IF(Master[[#This Row],[Environment Description]]="","",Master[[#This Row],[Environment Description]])</f>
        <v>Grazed</v>
      </c>
      <c r="L80" s="4" t="str">
        <f>IF(Master[[#This Row],[Collector Verbatim Locality]]="","",Master[[#This Row],[Collector Verbatim Locality]])</f>
        <v>Brough Reservoir/ Road 008PO6H/ From Vernal, ~12.5 miles E on highway 40, 3.8 miles S on highway 88, take the turn off W to Brough Reservoir, slight lefty at the fork, plants on either side of the road N of the reservoir</v>
      </c>
      <c r="M80" s="4">
        <f>IF(Master[[#This Row],[Elevation (meters)]]=0,"",Master[[#This Row],[Elevation (meters)]])</f>
        <v>1560.576</v>
      </c>
      <c r="N80" s="55">
        <f>IF(Master[[#This Row],[Latitude -decimal degrees]]="","",Master[[#This Row],[Latitude -decimal degrees]])</f>
        <v>40.261940000000003</v>
      </c>
      <c r="O80" s="55">
        <f>IF(Master[[#This Row],[Longitude -decimal degrees]]="","",Master[[#This Row],[Longitude -decimal degrees]])</f>
        <v>-109.70305</v>
      </c>
      <c r="P80" s="5" t="str">
        <f>IF(Master[[#This Row],[Georeference Datum]]="","",Master[[#This Row],[Georeference Datum]])</f>
        <v>WGS84</v>
      </c>
      <c r="Q80" s="5" t="str">
        <f>IF(Master[[#This Row],[Georeference Protocol - Lookup Picker]]="","",Master[[#This Row],[Georeference Protocol - Lookup Picker]])</f>
        <v>Lat/lon determined by GPS</v>
      </c>
      <c r="R80" s="5" t="str">
        <f>IF(Master[[#This Row],[Associated Species]]="","",Master[[#This Row],[Associated Species]])</f>
        <v>Bromus tectorum:Artemisia nova:Atriplex confertifolia:Achnatherum hymenoides:Lepidium latifolium:Tamarix chinensis:Gutierrezia sarothrae:Elaeagnus angustifolia</v>
      </c>
      <c r="S80" t="str">
        <f t="shared" si="15"/>
        <v>Y</v>
      </c>
      <c r="T80" s="5" t="str">
        <f>IF(Master[[#This Row],[Note (Accession Source - Collector)]]="","",Master[[#This Row],[Note (Accession Source - Collector)]])</f>
        <v>Clark, M., Beale, A.</v>
      </c>
      <c r="U80" s="3"/>
      <c r="W80" s="3"/>
      <c r="Y80" s="3"/>
    </row>
    <row r="81" spans="2:25" x14ac:dyDescent="0.25">
      <c r="B81" t="str">
        <f>Master[[#This Row],[Accession Prefix (NPGS)]]&amp;" "&amp;Master[[#This Row],[Accession Number -Assigned]]</f>
        <v>W6 59667</v>
      </c>
      <c r="C81" t="str">
        <f t="shared" si="12"/>
        <v>Collection source event</v>
      </c>
      <c r="D81" t="str">
        <f t="shared" si="13"/>
        <v>mm/dd/yyyy</v>
      </c>
      <c r="E81" s="77">
        <f>IF(IF(Master[[#This Row],[Date Collected or Developed]]="",Master[[#This Row],[Received Date -received by site]],Master[[#This Row],[Date Collected or Developed]])="","",(IF(Master[[#This Row],[Date Collected or Developed]]="",Master[[#This Row],[Received Date -received by site]],Master[[#This Row],[Date Collected or Developed]])))</f>
        <v>44011</v>
      </c>
      <c r="F81" s="76" t="str">
        <f>IF(Master[[#This Row],[Geography (Collection) -Lookup Picker in GRIN]]="","",Master[[#This Row],[Geography (Collection) -Lookup Picker in GRIN]])</f>
        <v>United States, Utah, Unitah</v>
      </c>
      <c r="G81" t="str">
        <f t="shared" si="14"/>
        <v>Y</v>
      </c>
      <c r="H81" s="45" t="str">
        <f>IF(Master[[#This Row],[Collecting or Acquisition Source - List]]="","",Master[[#This Row],[Collecting or Acquisition Source - List]])</f>
        <v/>
      </c>
      <c r="I81" t="str">
        <f>IF(Master[[#This Row],[Inventory Type - Lookup Picker]]="","",Master[[#This Row],[Inventory Type - Lookup Picker]])</f>
        <v>SD</v>
      </c>
      <c r="J81" s="4">
        <f>IF(Master[[#This Row],[Number Plants Sampled]]="","",Master[[#This Row],[Number Plants Sampled]])</f>
        <v>100</v>
      </c>
      <c r="K81" s="4" t="str">
        <f>IF(Master[[#This Row],[Environment Description]]="","",Master[[#This Row],[Environment Description]])</f>
        <v>Grazed</v>
      </c>
      <c r="L81" s="4" t="str">
        <f>IF(Master[[#This Row],[Collector Verbatim Locality]]="","",Master[[#This Row],[Collector Verbatim Locality]])</f>
        <v>12 mile wash/ 12 mile wash road/ From Vernal, take hwy 40 W for 10.5 mi., then turn south onto 12 Mile Washington Rd. Roadside plants on bare alkaline hill, W of rd 0.3 m south. UT State Trust Land parcel.</v>
      </c>
      <c r="M81" s="4">
        <f>IF(Master[[#This Row],[Elevation (meters)]]=0,"",Master[[#This Row],[Elevation (meters)]])</f>
        <v>1533.144</v>
      </c>
      <c r="N81" s="55">
        <f>IF(Master[[#This Row],[Latitude -decimal degrees]]="","",Master[[#This Row],[Latitude -decimal degrees]])</f>
        <v>40.335000000000001</v>
      </c>
      <c r="O81" s="55">
        <f>IF(Master[[#This Row],[Longitude -decimal degrees]]="","",Master[[#This Row],[Longitude -decimal degrees]])</f>
        <v>-109.62833000000001</v>
      </c>
      <c r="P81" s="5" t="str">
        <f>IF(Master[[#This Row],[Georeference Datum]]="","",Master[[#This Row],[Georeference Datum]])</f>
        <v>WGS84</v>
      </c>
      <c r="Q81" s="5" t="str">
        <f>IF(Master[[#This Row],[Georeference Protocol - Lookup Picker]]="","",Master[[#This Row],[Georeference Protocol - Lookup Picker]])</f>
        <v>Lat/lon determined by GPS</v>
      </c>
      <c r="R81" s="5" t="str">
        <f>IF(Master[[#This Row],[Associated Species]]="","",Master[[#This Row],[Associated Species]])</f>
        <v>Eriogonum ovalifolium:Eriogonum gordonii:Bromus tectorum:Pediomelum megalanthum:Malcolmia africana:Pleuraphis jamesii:Ephedra torreyana:Cryptantha flava:Achnatherum hymenoides:Gutierrezia sarothrae:Hymenopappus filifolius:Machaeranthera grindelioides</v>
      </c>
      <c r="S81" t="str">
        <f t="shared" si="15"/>
        <v>Y</v>
      </c>
      <c r="T81" s="5" t="str">
        <f>IF(Master[[#This Row],[Note (Accession Source - Collector)]]="","",Master[[#This Row],[Note (Accession Source - Collector)]])</f>
        <v>Clark, M., Beale, A.</v>
      </c>
      <c r="U81" s="3"/>
      <c r="W81" s="3"/>
      <c r="Y81" s="3"/>
    </row>
    <row r="82" spans="2:25" x14ac:dyDescent="0.25">
      <c r="B82" t="str">
        <f>Master[[#This Row],[Accession Prefix (NPGS)]]&amp;" "&amp;Master[[#This Row],[Accession Number -Assigned]]</f>
        <v>W6 59668</v>
      </c>
      <c r="C82" t="str">
        <f t="shared" si="12"/>
        <v>Collection source event</v>
      </c>
      <c r="D82" t="str">
        <f t="shared" si="13"/>
        <v>mm/dd/yyyy</v>
      </c>
      <c r="E82" s="77">
        <f>IF(IF(Master[[#This Row],[Date Collected or Developed]]="",Master[[#This Row],[Received Date -received by site]],Master[[#This Row],[Date Collected or Developed]])="","",(IF(Master[[#This Row],[Date Collected or Developed]]="",Master[[#This Row],[Received Date -received by site]],Master[[#This Row],[Date Collected or Developed]])))</f>
        <v>44019</v>
      </c>
      <c r="F82" s="76" t="str">
        <f>IF(Master[[#This Row],[Geography (Collection) -Lookup Picker in GRIN]]="","",Master[[#This Row],[Geography (Collection) -Lookup Picker in GRIN]])</f>
        <v>United States, Utah, Unitah</v>
      </c>
      <c r="G82" t="str">
        <f t="shared" si="14"/>
        <v>Y</v>
      </c>
      <c r="H82" s="45" t="str">
        <f>IF(Master[[#This Row],[Collecting or Acquisition Source - List]]="","",Master[[#This Row],[Collecting or Acquisition Source - List]])</f>
        <v/>
      </c>
      <c r="I82" t="str">
        <f>IF(Master[[#This Row],[Inventory Type - Lookup Picker]]="","",Master[[#This Row],[Inventory Type - Lookup Picker]])</f>
        <v>SD</v>
      </c>
      <c r="J82" s="4">
        <f>IF(Master[[#This Row],[Number Plants Sampled]]="","",Master[[#This Row],[Number Plants Sampled]])</f>
        <v>100</v>
      </c>
      <c r="K82" s="4" t="str">
        <f>IF(Master[[#This Row],[Environment Description]]="","",Master[[#This Row],[Environment Description]])</f>
        <v>Grazed</v>
      </c>
      <c r="L82" s="4" t="str">
        <f>IF(Master[[#This Row],[Collector Verbatim Locality]]="","",Master[[#This Row],[Collector Verbatim Locality]])</f>
        <v>Green River/ highway 45/ From Naples, turn south onto hwy 45. Cont. for 7.5 mi. past the Green River. Plants growing on sandy riparian hills just W of river crossing.</v>
      </c>
      <c r="M82" s="4">
        <f>IF(Master[[#This Row],[Elevation (meters)]]=0,"",Master[[#This Row],[Elevation (meters)]])</f>
        <v>1441.7040000000002</v>
      </c>
      <c r="N82" s="55">
        <f>IF(Master[[#This Row],[Latitude -decimal degrees]]="","",Master[[#This Row],[Latitude -decimal degrees]])</f>
        <v>40.31138</v>
      </c>
      <c r="O82" s="55">
        <f>IF(Master[[#This Row],[Longitude -decimal degrees]]="","",Master[[#This Row],[Longitude -decimal degrees]])</f>
        <v>-109.4825</v>
      </c>
      <c r="P82" s="5" t="str">
        <f>IF(Master[[#This Row],[Georeference Datum]]="","",Master[[#This Row],[Georeference Datum]])</f>
        <v>WGS84</v>
      </c>
      <c r="Q82" s="5" t="str">
        <f>IF(Master[[#This Row],[Georeference Protocol - Lookup Picker]]="","",Master[[#This Row],[Georeference Protocol - Lookup Picker]])</f>
        <v>Lat/lon determined by GPS</v>
      </c>
      <c r="R82" s="5" t="str">
        <f>IF(Master[[#This Row],[Associated Species]]="","",Master[[#This Row],[Associated Species]])</f>
        <v>Asclepias labriformis:Atriplex canescens:Bromus tectorum:Grayia spinosa:Halogeton glomeratus:Sphaeralcea parvifolia:Achnatherum hymenoides:Grindelia squarrosa</v>
      </c>
      <c r="S82" t="str">
        <f t="shared" si="15"/>
        <v>Y</v>
      </c>
      <c r="T82" s="5" t="str">
        <f>IF(Master[[#This Row],[Note (Accession Source - Collector)]]="","",Master[[#This Row],[Note (Accession Source - Collector)]])</f>
        <v>Clark, M., Beale, A.</v>
      </c>
      <c r="U82" s="3"/>
      <c r="W82" s="3"/>
      <c r="Y82" s="3"/>
    </row>
    <row r="83" spans="2:25" x14ac:dyDescent="0.25">
      <c r="B83" t="str">
        <f>Master[[#This Row],[Accession Prefix (NPGS)]]&amp;" "&amp;Master[[#This Row],[Accession Number -Assigned]]</f>
        <v>W6 59669</v>
      </c>
      <c r="C83" t="str">
        <f t="shared" si="12"/>
        <v>Collection source event</v>
      </c>
      <c r="D83" t="str">
        <f t="shared" si="13"/>
        <v>mm/dd/yyyy</v>
      </c>
      <c r="E83" s="77">
        <f>IF(IF(Master[[#This Row],[Date Collected or Developed]]="",Master[[#This Row],[Received Date -received by site]],Master[[#This Row],[Date Collected or Developed]])="","",(IF(Master[[#This Row],[Date Collected or Developed]]="",Master[[#This Row],[Received Date -received by site]],Master[[#This Row],[Date Collected or Developed]])))</f>
        <v>44053</v>
      </c>
      <c r="F83" s="76" t="str">
        <f>IF(Master[[#This Row],[Geography (Collection) -Lookup Picker in GRIN]]="","",Master[[#This Row],[Geography (Collection) -Lookup Picker in GRIN]])</f>
        <v>United States, Utah, Unitah</v>
      </c>
      <c r="G83" t="str">
        <f t="shared" si="14"/>
        <v>Y</v>
      </c>
      <c r="H83" s="45" t="str">
        <f>IF(Master[[#This Row],[Collecting or Acquisition Source - List]]="","",Master[[#This Row],[Collecting or Acquisition Source - List]])</f>
        <v/>
      </c>
      <c r="I83" t="str">
        <f>IF(Master[[#This Row],[Inventory Type - Lookup Picker]]="","",Master[[#This Row],[Inventory Type - Lookup Picker]])</f>
        <v>SD</v>
      </c>
      <c r="J83" s="4">
        <f>IF(Master[[#This Row],[Number Plants Sampled]]="","",Master[[#This Row],[Number Plants Sampled]])</f>
        <v>200</v>
      </c>
      <c r="K83" s="4" t="str">
        <f>IF(Master[[#This Row],[Environment Description]]="","",Master[[#This Row],[Environment Description]])</f>
        <v/>
      </c>
      <c r="L83" s="4" t="str">
        <f>IF(Master[[#This Row],[Collector Verbatim Locality]]="","",Master[[#This Row],[Collector Verbatim Locality]])</f>
        <v>Pelican Lake/ Oil pad road/ From Vernal, take hwy 40 W for 14 mi., then turn south onto rte 88 for 10 mi. Follow 7000 S west for 3 mi. turn south onto Pelican Lake / 2460 Rd. and follow it to the Pelican Lake Campground. Plants are scattered.</v>
      </c>
      <c r="M83" s="4">
        <f>IF(Master[[#This Row],[Elevation (meters)]]=0,"",Master[[#This Row],[Elevation (meters)]])</f>
        <v>1472.184</v>
      </c>
      <c r="N83" s="55">
        <f>IF(Master[[#This Row],[Latitude -decimal degrees]]="","",Master[[#This Row],[Latitude -decimal degrees]])</f>
        <v>40.177500000000002</v>
      </c>
      <c r="O83" s="55">
        <f>IF(Master[[#This Row],[Longitude -decimal degrees]]="","",Master[[#This Row],[Longitude -decimal degrees]])</f>
        <v>-109.69333</v>
      </c>
      <c r="P83" s="5" t="str">
        <f>IF(Master[[#This Row],[Georeference Datum]]="","",Master[[#This Row],[Georeference Datum]])</f>
        <v>WGS84</v>
      </c>
      <c r="Q83" s="5" t="str">
        <f>IF(Master[[#This Row],[Georeference Protocol - Lookup Picker]]="","",Master[[#This Row],[Georeference Protocol - Lookup Picker]])</f>
        <v>Lat/lon determined by GPS</v>
      </c>
      <c r="R83" s="5" t="str">
        <f>IF(Master[[#This Row],[Associated Species]]="","",Master[[#This Row],[Associated Species]])</f>
        <v>Salsola tragus:Bromus tectorum:Achnatherum hymenoides:Gutierrezia sarothrae:Grayia spinosa:Pleuraphis jamesii</v>
      </c>
      <c r="S83" t="str">
        <f t="shared" si="15"/>
        <v>Y</v>
      </c>
      <c r="T83" s="5" t="str">
        <f>IF(Master[[#This Row],[Note (Accession Source - Collector)]]="","",Master[[#This Row],[Note (Accession Source - Collector)]])</f>
        <v>Clark, M., Beale, A.</v>
      </c>
      <c r="U83" s="3"/>
      <c r="W83" s="3"/>
      <c r="Y83" s="3"/>
    </row>
    <row r="84" spans="2:25" x14ac:dyDescent="0.25">
      <c r="B84" t="str">
        <f>Master[[#This Row],[Accession Prefix (NPGS)]]&amp;" "&amp;Master[[#This Row],[Accession Number -Assigned]]</f>
        <v>W6 59670</v>
      </c>
      <c r="C84" t="str">
        <f t="shared" si="12"/>
        <v>Collection source event</v>
      </c>
      <c r="D84" t="str">
        <f t="shared" si="13"/>
        <v>mm/dd/yyyy</v>
      </c>
      <c r="E84" s="77">
        <f>IF(IF(Master[[#This Row],[Date Collected or Developed]]="",Master[[#This Row],[Received Date -received by site]],Master[[#This Row],[Date Collected or Developed]])="","",(IF(Master[[#This Row],[Date Collected or Developed]]="",Master[[#This Row],[Received Date -received by site]],Master[[#This Row],[Date Collected or Developed]])))</f>
        <v>44054</v>
      </c>
      <c r="F84" s="76" t="str">
        <f>IF(Master[[#This Row],[Geography (Collection) -Lookup Picker in GRIN]]="","",Master[[#This Row],[Geography (Collection) -Lookup Picker in GRIN]])</f>
        <v>United States, Utah, Unitah</v>
      </c>
      <c r="G84" t="str">
        <f t="shared" si="14"/>
        <v>Y</v>
      </c>
      <c r="H84" s="45" t="str">
        <f>IF(Master[[#This Row],[Collecting or Acquisition Source - List]]="","",Master[[#This Row],[Collecting or Acquisition Source - List]])</f>
        <v/>
      </c>
      <c r="I84" t="str">
        <f>IF(Master[[#This Row],[Inventory Type - Lookup Picker]]="","",Master[[#This Row],[Inventory Type - Lookup Picker]])</f>
        <v>SD</v>
      </c>
      <c r="J84" s="4">
        <f>IF(Master[[#This Row],[Number Plants Sampled]]="","",Master[[#This Row],[Number Plants Sampled]])</f>
        <v>250</v>
      </c>
      <c r="K84" s="4" t="str">
        <f>IF(Master[[#This Row],[Environment Description]]="","",Master[[#This Row],[Environment Description]])</f>
        <v>Grazed</v>
      </c>
      <c r="L84" s="4" t="str">
        <f>IF(Master[[#This Row],[Collector Verbatim Locality]]="","",Master[[#This Row],[Collector Verbatim Locality]])</f>
        <v>Ashley National Forest/ Highway 191/ From Vernal, take Hwy 191 N for 17 miles. 1 mi. N of FR 018 to the W is a wet meadow</v>
      </c>
      <c r="M84" s="4">
        <f>IF(Master[[#This Row],[Elevation (meters)]]=0,"",Master[[#This Row],[Elevation (meters)]])</f>
        <v>2499.36</v>
      </c>
      <c r="N84" s="55">
        <f>IF(Master[[#This Row],[Latitude -decimal degrees]]="","",Master[[#This Row],[Latitude -decimal degrees]])</f>
        <v>40.684899999999999</v>
      </c>
      <c r="O84" s="55">
        <f>IF(Master[[#This Row],[Longitude -decimal degrees]]="","",Master[[#This Row],[Longitude -decimal degrees]])</f>
        <v>-109.49478000000001</v>
      </c>
      <c r="P84" s="5" t="str">
        <f>IF(Master[[#This Row],[Georeference Datum]]="","",Master[[#This Row],[Georeference Datum]])</f>
        <v>WGS84</v>
      </c>
      <c r="Q84" s="5" t="str">
        <f>IF(Master[[#This Row],[Georeference Protocol - Lookup Picker]]="","",Master[[#This Row],[Georeference Protocol - Lookup Picker]])</f>
        <v>Lat/lon determined by GPS</v>
      </c>
      <c r="R84" s="5" t="str">
        <f>IF(Master[[#This Row],[Associated Species]]="","",Master[[#This Row],[Associated Species]])</f>
        <v>Equisetum laevigatum:Gentiana calycosa:Trifolium andinum:Orthocarpus luteus:Poa secunda:Symphyotrichum ascendens:Bromus inermis:Deschampsia cespitosa:Iris missouriensis:Galium trifidum</v>
      </c>
      <c r="S84" t="str">
        <f t="shared" si="15"/>
        <v>Y</v>
      </c>
      <c r="T84" s="5" t="str">
        <f>IF(Master[[#This Row],[Note (Accession Source - Collector)]]="","",Master[[#This Row],[Note (Accession Source - Collector)]])</f>
        <v>Clark, M., Beale, A.</v>
      </c>
      <c r="U84" s="3"/>
      <c r="W84" s="3"/>
      <c r="Y84" s="3"/>
    </row>
    <row r="85" spans="2:25" x14ac:dyDescent="0.25">
      <c r="B85" t="str">
        <f>Master[[#This Row],[Accession Prefix (NPGS)]]&amp;" "&amp;Master[[#This Row],[Accession Number -Assigned]]</f>
        <v>W6 59671</v>
      </c>
      <c r="C85" t="str">
        <f t="shared" si="12"/>
        <v>Collection source event</v>
      </c>
      <c r="D85" t="str">
        <f t="shared" si="13"/>
        <v>mm/dd/yyyy</v>
      </c>
      <c r="E85" s="77">
        <f>IF(IF(Master[[#This Row],[Date Collected or Developed]]="",Master[[#This Row],[Received Date -received by site]],Master[[#This Row],[Date Collected or Developed]])="","",(IF(Master[[#This Row],[Date Collected or Developed]]="",Master[[#This Row],[Received Date -received by site]],Master[[#This Row],[Date Collected or Developed]])))</f>
        <v>44060</v>
      </c>
      <c r="F85" s="76" t="str">
        <f>IF(Master[[#This Row],[Geography (Collection) -Lookup Picker in GRIN]]="","",Master[[#This Row],[Geography (Collection) -Lookup Picker in GRIN]])</f>
        <v>United States, Utah, Unitah</v>
      </c>
      <c r="G85" t="str">
        <f t="shared" si="14"/>
        <v>Y</v>
      </c>
      <c r="H85" s="45" t="str">
        <f>IF(Master[[#This Row],[Collecting or Acquisition Source - List]]="","",Master[[#This Row],[Collecting or Acquisition Source - List]])</f>
        <v/>
      </c>
      <c r="I85" t="str">
        <f>IF(Master[[#This Row],[Inventory Type - Lookup Picker]]="","",Master[[#This Row],[Inventory Type - Lookup Picker]])</f>
        <v>SD</v>
      </c>
      <c r="J85" s="4">
        <f>IF(Master[[#This Row],[Number Plants Sampled]]="","",Master[[#This Row],[Number Plants Sampled]])</f>
        <v>150</v>
      </c>
      <c r="K85" s="4" t="str">
        <f>IF(Master[[#This Row],[Environment Description]]="","",Master[[#This Row],[Environment Description]])</f>
        <v>Grazed</v>
      </c>
      <c r="L85" s="4" t="str">
        <f>IF(Master[[#This Row],[Collector Verbatim Locality]]="","",Master[[#This Row],[Collector Verbatim Locality]])</f>
        <v>Reader Creek/ Forest Road 48/ From Vernal, take Hwy 191 N for 21 miles. Turn E onto FR 048 / Limestone Rd towards Diamond Mtn. Follow for 1 mile; plants are beyond Aspen forest, N of rd. along a draw in a wet meadow with black sagebrush.</v>
      </c>
      <c r="M85" s="4">
        <f>IF(Master[[#This Row],[Elevation (meters)]]=0,"",Master[[#This Row],[Elevation (meters)]])</f>
        <v>2444.4960000000001</v>
      </c>
      <c r="N85" s="55">
        <f>IF(Master[[#This Row],[Latitude -decimal degrees]]="","",Master[[#This Row],[Latitude -decimal degrees]])</f>
        <v>40.718519999999998</v>
      </c>
      <c r="O85" s="55">
        <f>IF(Master[[#This Row],[Longitude -decimal degrees]]="","",Master[[#This Row],[Longitude -decimal degrees]])</f>
        <v>-109.45286</v>
      </c>
      <c r="P85" s="5" t="str">
        <f>IF(Master[[#This Row],[Georeference Datum]]="","",Master[[#This Row],[Georeference Datum]])</f>
        <v>WGS84</v>
      </c>
      <c r="Q85" s="5" t="str">
        <f>IF(Master[[#This Row],[Georeference Protocol - Lookup Picker]]="","",Master[[#This Row],[Georeference Protocol - Lookup Picker]])</f>
        <v>Lat/lon determined by GPS</v>
      </c>
      <c r="R85" s="5" t="str">
        <f>IF(Master[[#This Row],[Associated Species]]="","",Master[[#This Row],[Associated Species]])</f>
        <v>Artemisia nova:Arenaria lanuginosa:Artemisia ludoviciana:Ludwigia palustris:Linum lewisii:Poa secunda:Poa fendleriana:Orthocarpus luteus:Iris missouriensis:Bromus inermis:Antennaria microphylla:Artemisia frigida</v>
      </c>
      <c r="S85" t="str">
        <f t="shared" si="15"/>
        <v>Y</v>
      </c>
      <c r="T85" s="5" t="str">
        <f>IF(Master[[#This Row],[Note (Accession Source - Collector)]]="","",Master[[#This Row],[Note (Accession Source - Collector)]])</f>
        <v>Clark, M., Beale, A.</v>
      </c>
      <c r="U85" s="3"/>
      <c r="W85" s="3"/>
      <c r="Y85" s="3"/>
    </row>
    <row r="86" spans="2:25" x14ac:dyDescent="0.25">
      <c r="B86" t="str">
        <f>Master[[#This Row],[Accession Prefix (NPGS)]]&amp;" "&amp;Master[[#This Row],[Accession Number -Assigned]]</f>
        <v>W6 59672</v>
      </c>
      <c r="C86" t="str">
        <f t="shared" ref="C86:C117" si="16">"Collection source event"</f>
        <v>Collection source event</v>
      </c>
      <c r="D86" t="str">
        <f t="shared" ref="D86:D117" si="17">"mm/dd/yyyy"</f>
        <v>mm/dd/yyyy</v>
      </c>
      <c r="E86" s="77">
        <f>IF(IF(Master[[#This Row],[Date Collected or Developed]]="",Master[[#This Row],[Received Date -received by site]],Master[[#This Row],[Date Collected or Developed]])="","",(IF(Master[[#This Row],[Date Collected or Developed]]="",Master[[#This Row],[Received Date -received by site]],Master[[#This Row],[Date Collected or Developed]])))</f>
        <v>44028</v>
      </c>
      <c r="F86" s="76" t="str">
        <f>IF(Master[[#This Row],[Geography (Collection) -Lookup Picker in GRIN]]="","",Master[[#This Row],[Geography (Collection) -Lookup Picker in GRIN]])</f>
        <v>United States, Utah, Unitah</v>
      </c>
      <c r="G86" t="str">
        <f t="shared" ref="G86:G117" si="18">"Y"</f>
        <v>Y</v>
      </c>
      <c r="H86" s="45" t="str">
        <f>IF(Master[[#This Row],[Collecting or Acquisition Source - List]]="","",Master[[#This Row],[Collecting or Acquisition Source - List]])</f>
        <v/>
      </c>
      <c r="I86" t="str">
        <f>IF(Master[[#This Row],[Inventory Type - Lookup Picker]]="","",Master[[#This Row],[Inventory Type - Lookup Picker]])</f>
        <v>SD</v>
      </c>
      <c r="J86" s="4">
        <f>IF(Master[[#This Row],[Number Plants Sampled]]="","",Master[[#This Row],[Number Plants Sampled]])</f>
        <v>100</v>
      </c>
      <c r="K86" s="4" t="str">
        <f>IF(Master[[#This Row],[Environment Description]]="","",Master[[#This Row],[Environment Description]])</f>
        <v>Grazed</v>
      </c>
      <c r="L86" s="4" t="str">
        <f>IF(Master[[#This Row],[Collector Verbatim Locality]]="","",Master[[#This Row],[Collector Verbatim Locality]])</f>
        <v>Uinta Basin/ Baeser Washington Rd./ From Vernal, take hwy 45 S for 13 mi., turn W onto Beaser Washington Rd., cont. for 4 mi., cont. onto Stirrup Rd. for 4 mi. Along sandy plateau top near oil well rd 4304731787.</v>
      </c>
      <c r="M86" s="4">
        <f>IF(Master[[#This Row],[Elevation (meters)]]=0,"",Master[[#This Row],[Elevation (meters)]])</f>
        <v>1533.144</v>
      </c>
      <c r="N86" s="55">
        <f>IF(Master[[#This Row],[Latitude -decimal degrees]]="","",Master[[#This Row],[Latitude -decimal degrees]])</f>
        <v>40.248199999999997</v>
      </c>
      <c r="O86" s="55">
        <f>IF(Master[[#This Row],[Longitude -decimal degrees]]="","",Master[[#This Row],[Longitude -decimal degrees]])</f>
        <v>-109.54794</v>
      </c>
      <c r="P86" s="5" t="str">
        <f>IF(Master[[#This Row],[Georeference Datum]]="","",Master[[#This Row],[Georeference Datum]])</f>
        <v>WGS84</v>
      </c>
      <c r="Q86" s="5" t="str">
        <f>IF(Master[[#This Row],[Georeference Protocol - Lookup Picker]]="","",Master[[#This Row],[Georeference Protocol - Lookup Picker]])</f>
        <v>Lat/lon determined by GPS</v>
      </c>
      <c r="R86" s="5" t="str">
        <f>IF(Master[[#This Row],[Associated Species]]="","",Master[[#This Row],[Associated Species]])</f>
        <v>Bromus tectorum:Halogeton glomeratus:Tephrosia spicata:Cryptantha flava:Pleuraphis jamesii:Achnatherum hymenoides:Townsendia sp.:Tetradymia nuttallii:Hesperostipa comata</v>
      </c>
      <c r="S86" t="str">
        <f t="shared" ref="S86:S117" si="19">"Y"</f>
        <v>Y</v>
      </c>
      <c r="T86" s="5" t="str">
        <f>IF(Master[[#This Row],[Note (Accession Source - Collector)]]="","",Master[[#This Row],[Note (Accession Source - Collector)]])</f>
        <v>Clark, M., Beale, A.</v>
      </c>
      <c r="U86" s="3"/>
      <c r="W86" s="3"/>
      <c r="Y86" s="3"/>
    </row>
    <row r="87" spans="2:25" x14ac:dyDescent="0.25">
      <c r="B87" t="str">
        <f>Master[[#This Row],[Accession Prefix (NPGS)]]&amp;" "&amp;Master[[#This Row],[Accession Number -Assigned]]</f>
        <v>W6 59673</v>
      </c>
      <c r="C87" t="str">
        <f t="shared" si="16"/>
        <v>Collection source event</v>
      </c>
      <c r="D87" t="str">
        <f t="shared" si="17"/>
        <v>mm/dd/yyyy</v>
      </c>
      <c r="E87" s="77">
        <f>IF(IF(Master[[#This Row],[Date Collected or Developed]]="",Master[[#This Row],[Received Date -received by site]],Master[[#This Row],[Date Collected or Developed]])="","",(IF(Master[[#This Row],[Date Collected or Developed]]="",Master[[#This Row],[Received Date -received by site]],Master[[#This Row],[Date Collected or Developed]])))</f>
        <v>44028</v>
      </c>
      <c r="F87" s="76" t="str">
        <f>IF(Master[[#This Row],[Geography (Collection) -Lookup Picker in GRIN]]="","",Master[[#This Row],[Geography (Collection) -Lookup Picker in GRIN]])</f>
        <v>United States, Utah, Unitah</v>
      </c>
      <c r="G87" t="str">
        <f t="shared" si="18"/>
        <v>Y</v>
      </c>
      <c r="H87" s="45" t="str">
        <f>IF(Master[[#This Row],[Collecting or Acquisition Source - List]]="","",Master[[#This Row],[Collecting or Acquisition Source - List]])</f>
        <v/>
      </c>
      <c r="I87" t="str">
        <f>IF(Master[[#This Row],[Inventory Type - Lookup Picker]]="","",Master[[#This Row],[Inventory Type - Lookup Picker]])</f>
        <v>SD</v>
      </c>
      <c r="J87" s="4">
        <f>IF(Master[[#This Row],[Number Plants Sampled]]="","",Master[[#This Row],[Number Plants Sampled]])</f>
        <v>200</v>
      </c>
      <c r="K87" s="4" t="str">
        <f>IF(Master[[#This Row],[Environment Description]]="","",Master[[#This Row],[Environment Description]])</f>
        <v>Grazed</v>
      </c>
      <c r="L87" s="4" t="str">
        <f>IF(Master[[#This Row],[Collector Verbatim Locality]]="","",Master[[#This Row],[Collector Verbatim Locality]])</f>
        <v>Old Bonanza highway/ Roadside wash/ From Jensen, take hwy 40 E to Old Bonanza Hwy / 3150 Rd. for 11 mi. Travel S for 6.5 mi. Before Deadman Bench Divide is a wash to the E, from Pinyon-Juniper Hills. Populations occur along the newly burned wash.</v>
      </c>
      <c r="M87" s="4">
        <f>IF(Master[[#This Row],[Elevation (meters)]]=0,"",Master[[#This Row],[Elevation (meters)]])</f>
        <v>1743.4560000000001</v>
      </c>
      <c r="N87" s="55">
        <f>IF(Master[[#This Row],[Latitude -decimal degrees]]="","",Master[[#This Row],[Latitude -decimal degrees]])</f>
        <v>40.206659999999999</v>
      </c>
      <c r="O87" s="55">
        <f>IF(Master[[#This Row],[Longitude -decimal degrees]]="","",Master[[#This Row],[Longitude -decimal degrees]])</f>
        <v>-109.12582999999999</v>
      </c>
      <c r="P87" s="5" t="str">
        <f>IF(Master[[#This Row],[Georeference Datum]]="","",Master[[#This Row],[Georeference Datum]])</f>
        <v>WGS84</v>
      </c>
      <c r="Q87" s="5" t="str">
        <f>IF(Master[[#This Row],[Georeference Protocol - Lookup Picker]]="","",Master[[#This Row],[Georeference Protocol - Lookup Picker]])</f>
        <v>Lat/lon determined by GPS</v>
      </c>
      <c r="R87" s="5" t="str">
        <f>IF(Master[[#This Row],[Associated Species]]="","",Master[[#This Row],[Associated Species]])</f>
        <v>Achnatherum hymenoides:Juniperus osteosperma:Halogeton glomeratus:Spartina patens:Sarcobatus vermiculatus:Salsola tragus:Cleome lutea:Cleome serrulata</v>
      </c>
      <c r="S87" t="str">
        <f t="shared" si="19"/>
        <v>Y</v>
      </c>
      <c r="T87" s="5" t="str">
        <f>IF(Master[[#This Row],[Note (Accession Source - Collector)]]="","",Master[[#This Row],[Note (Accession Source - Collector)]])</f>
        <v>Clark, M., Beale, A.</v>
      </c>
      <c r="U87" s="3"/>
      <c r="W87" s="3"/>
      <c r="Y87" s="3"/>
    </row>
    <row r="88" spans="2:25" x14ac:dyDescent="0.25">
      <c r="B88" t="str">
        <f>Master[[#This Row],[Accession Prefix (NPGS)]]&amp;" "&amp;Master[[#This Row],[Accession Number -Assigned]]</f>
        <v>W6 59674</v>
      </c>
      <c r="C88" t="str">
        <f t="shared" si="16"/>
        <v>Collection source event</v>
      </c>
      <c r="D88" t="str">
        <f t="shared" si="17"/>
        <v>mm/dd/yyyy</v>
      </c>
      <c r="E88" s="77">
        <f>IF(IF(Master[[#This Row],[Date Collected or Developed]]="",Master[[#This Row],[Received Date -received by site]],Master[[#This Row],[Date Collected or Developed]])="","",(IF(Master[[#This Row],[Date Collected or Developed]]="",Master[[#This Row],[Received Date -received by site]],Master[[#This Row],[Date Collected or Developed]])))</f>
        <v>44028</v>
      </c>
      <c r="F88" s="76" t="str">
        <f>IF(Master[[#This Row],[Geography (Collection) -Lookup Picker in GRIN]]="","",Master[[#This Row],[Geography (Collection) -Lookup Picker in GRIN]])</f>
        <v>United States, Utah, Unitah</v>
      </c>
      <c r="G88" t="str">
        <f t="shared" si="18"/>
        <v>Y</v>
      </c>
      <c r="H88" s="45" t="str">
        <f>IF(Master[[#This Row],[Collecting or Acquisition Source - List]]="","",Master[[#This Row],[Collecting or Acquisition Source - List]])</f>
        <v/>
      </c>
      <c r="I88" t="str">
        <f>IF(Master[[#This Row],[Inventory Type - Lookup Picker]]="","",Master[[#This Row],[Inventory Type - Lookup Picker]])</f>
        <v>SD</v>
      </c>
      <c r="J88" s="4">
        <f>IF(Master[[#This Row],[Number Plants Sampled]]="","",Master[[#This Row],[Number Plants Sampled]])</f>
        <v>150</v>
      </c>
      <c r="K88" s="4" t="str">
        <f>IF(Master[[#This Row],[Environment Description]]="","",Master[[#This Row],[Environment Description]])</f>
        <v>Burned:Grazed</v>
      </c>
      <c r="L88" s="4" t="str">
        <f>IF(Master[[#This Row],[Collector Verbatim Locality]]="","",Master[[#This Row],[Collector Verbatim Locality]])</f>
        <v>Old bonanza highway/ Deadman Bench Divide/ From Jensen, take hwy 40 E to Old Bonanza Hwy / 3150 Rd. for 11 mi. Travel S for 6.5 mi. Before Deadman Bench Divide is a wash to the E, from Pinyon-Juniper Hills. Populations occur along the newly burned wash.</v>
      </c>
      <c r="M88" s="4">
        <f>IF(Master[[#This Row],[Elevation (meters)]]=0,"",Master[[#This Row],[Elevation (meters)]])</f>
        <v>1743.4560000000001</v>
      </c>
      <c r="N88" s="55">
        <f>IF(Master[[#This Row],[Latitude -decimal degrees]]="","",Master[[#This Row],[Latitude -decimal degrees]])</f>
        <v>40.206659999999999</v>
      </c>
      <c r="O88" s="55">
        <f>IF(Master[[#This Row],[Longitude -decimal degrees]]="","",Master[[#This Row],[Longitude -decimal degrees]])</f>
        <v>-109.12582999999999</v>
      </c>
      <c r="P88" s="5" t="str">
        <f>IF(Master[[#This Row],[Georeference Datum]]="","",Master[[#This Row],[Georeference Datum]])</f>
        <v>WGS84</v>
      </c>
      <c r="Q88" s="5" t="str">
        <f>IF(Master[[#This Row],[Georeference Protocol - Lookup Picker]]="","",Master[[#This Row],[Georeference Protocol - Lookup Picker]])</f>
        <v>Lat/lon determined by GPS</v>
      </c>
      <c r="R88" s="5" t="str">
        <f>IF(Master[[#This Row],[Associated Species]]="","",Master[[#This Row],[Associated Species]])</f>
        <v>Juniperus osteosperma:Achnatherum hymenoides:Halogeton glomeratus:Sphaeralcea coccinea ssp. coccinea:Sarcobatus vermiculatus:Salsola tragus:Cleome serrulata</v>
      </c>
      <c r="S88" t="str">
        <f t="shared" si="19"/>
        <v>Y</v>
      </c>
      <c r="T88" s="5" t="str">
        <f>IF(Master[[#This Row],[Note (Accession Source - Collector)]]="","",Master[[#This Row],[Note (Accession Source - Collector)]])</f>
        <v>Clark, M., Beale, A.</v>
      </c>
      <c r="U88" s="3"/>
      <c r="W88" s="3"/>
      <c r="Y88" s="3"/>
    </row>
    <row r="89" spans="2:25" x14ac:dyDescent="0.25">
      <c r="B89" t="str">
        <f>Master[[#This Row],[Accession Prefix (NPGS)]]&amp;" "&amp;Master[[#This Row],[Accession Number -Assigned]]</f>
        <v>W6 59675</v>
      </c>
      <c r="C89" t="str">
        <f t="shared" si="16"/>
        <v>Collection source event</v>
      </c>
      <c r="D89" t="str">
        <f t="shared" si="17"/>
        <v>mm/dd/yyyy</v>
      </c>
      <c r="E89" s="77">
        <f>IF(IF(Master[[#This Row],[Date Collected or Developed]]="",Master[[#This Row],[Received Date -received by site]],Master[[#This Row],[Date Collected or Developed]])="","",(IF(Master[[#This Row],[Date Collected or Developed]]="",Master[[#This Row],[Received Date -received by site]],Master[[#This Row],[Date Collected or Developed]])))</f>
        <v>44069</v>
      </c>
      <c r="F89" s="76" t="str">
        <f>IF(Master[[#This Row],[Geography (Collection) -Lookup Picker in GRIN]]="","",Master[[#This Row],[Geography (Collection) -Lookup Picker in GRIN]])</f>
        <v>United States, Utah, Unitah</v>
      </c>
      <c r="G89" t="str">
        <f t="shared" si="18"/>
        <v>Y</v>
      </c>
      <c r="H89" s="45" t="str">
        <f>IF(Master[[#This Row],[Collecting or Acquisition Source - List]]="","",Master[[#This Row],[Collecting or Acquisition Source - List]])</f>
        <v/>
      </c>
      <c r="I89" t="str">
        <f>IF(Master[[#This Row],[Inventory Type - Lookup Picker]]="","",Master[[#This Row],[Inventory Type - Lookup Picker]])</f>
        <v>SD</v>
      </c>
      <c r="J89" s="4">
        <f>IF(Master[[#This Row],[Number Plants Sampled]]="","",Master[[#This Row],[Number Plants Sampled]])</f>
        <v>75</v>
      </c>
      <c r="K89" s="4" t="str">
        <f>IF(Master[[#This Row],[Environment Description]]="","",Master[[#This Row],[Environment Description]])</f>
        <v/>
      </c>
      <c r="L89" s="4" t="str">
        <f>IF(Master[[#This Row],[Collector Verbatim Locality]]="","",Master[[#This Row],[Collector Verbatim Locality]])</f>
        <v>Old Bonanza Highway/ Deadman Bench Divide/ From Jensen, take hwy 40 E to Old Bonanza Hwy / 3150 Rd. for 11 mi. Travel S for 6.5 mi. Before Deadman Bench Divide is a wash to the E, from Pinyon-Juniper Hills. Populations occur along the newly burned wash.</v>
      </c>
      <c r="M89" s="4">
        <f>IF(Master[[#This Row],[Elevation (meters)]]=0,"",Master[[#This Row],[Elevation (meters)]])</f>
        <v>1743.4560000000001</v>
      </c>
      <c r="N89" s="55">
        <f>IF(Master[[#This Row],[Latitude -decimal degrees]]="","",Master[[#This Row],[Latitude -decimal degrees]])</f>
        <v>40.206659999999999</v>
      </c>
      <c r="O89" s="55">
        <f>IF(Master[[#This Row],[Longitude -decimal degrees]]="","",Master[[#This Row],[Longitude -decimal degrees]])</f>
        <v>-109.12582999999999</v>
      </c>
      <c r="P89" s="5" t="str">
        <f>IF(Master[[#This Row],[Georeference Datum]]="","",Master[[#This Row],[Georeference Datum]])</f>
        <v>WGS84</v>
      </c>
      <c r="Q89" s="5" t="str">
        <f>IF(Master[[#This Row],[Georeference Protocol - Lookup Picker]]="","",Master[[#This Row],[Georeference Protocol - Lookup Picker]])</f>
        <v>Lat/lon determined by GPS</v>
      </c>
      <c r="R89" s="5" t="str">
        <f>IF(Master[[#This Row],[Associated Species]]="","",Master[[#This Row],[Associated Species]])</f>
        <v>Juniperus osteosperma:Hesperostipa comata ssp. comata:Achnatherum hymenoides:Sphaeralcea parvifolia:Sphaeralcea coccinea ssp. coccinea:Salsola tragus:Cleome lutea</v>
      </c>
      <c r="S89" t="str">
        <f t="shared" si="19"/>
        <v>Y</v>
      </c>
      <c r="T89" s="5" t="str">
        <f>IF(Master[[#This Row],[Note (Accession Source - Collector)]]="","",Master[[#This Row],[Note (Accession Source - Collector)]])</f>
        <v>Clark, M., Beale, A.</v>
      </c>
      <c r="U89" s="3"/>
      <c r="W89" s="3"/>
      <c r="Y89" s="3"/>
    </row>
    <row r="90" spans="2:25" x14ac:dyDescent="0.25">
      <c r="B90" t="str">
        <f>Master[[#This Row],[Accession Prefix (NPGS)]]&amp;" "&amp;Master[[#This Row],[Accession Number -Assigned]]</f>
        <v>W6 59676</v>
      </c>
      <c r="C90" t="str">
        <f t="shared" si="16"/>
        <v>Collection source event</v>
      </c>
      <c r="D90" t="str">
        <f t="shared" si="17"/>
        <v>mm/dd/yyyy</v>
      </c>
      <c r="E90" s="77">
        <f>IF(IF(Master[[#This Row],[Date Collected or Developed]]="",Master[[#This Row],[Received Date -received by site]],Master[[#This Row],[Date Collected or Developed]])="","",(IF(Master[[#This Row],[Date Collected or Developed]]="",Master[[#This Row],[Received Date -received by site]],Master[[#This Row],[Date Collected or Developed]])))</f>
        <v>44063</v>
      </c>
      <c r="F90" s="76" t="str">
        <f>IF(Master[[#This Row],[Geography (Collection) -Lookup Picker in GRIN]]="","",Master[[#This Row],[Geography (Collection) -Lookup Picker in GRIN]])</f>
        <v>United States, Utah, Unitah</v>
      </c>
      <c r="G90" t="str">
        <f t="shared" si="18"/>
        <v>Y</v>
      </c>
      <c r="H90" s="45" t="str">
        <f>IF(Master[[#This Row],[Collecting or Acquisition Source - List]]="","",Master[[#This Row],[Collecting or Acquisition Source - List]])</f>
        <v/>
      </c>
      <c r="I90" t="str">
        <f>IF(Master[[#This Row],[Inventory Type - Lookup Picker]]="","",Master[[#This Row],[Inventory Type - Lookup Picker]])</f>
        <v>SD</v>
      </c>
      <c r="J90" s="4">
        <f>IF(Master[[#This Row],[Number Plants Sampled]]="","",Master[[#This Row],[Number Plants Sampled]])</f>
        <v>100</v>
      </c>
      <c r="K90" s="4" t="str">
        <f>IF(Master[[#This Row],[Environment Description]]="","",Master[[#This Row],[Environment Description]])</f>
        <v/>
      </c>
      <c r="L90" s="4" t="str">
        <f>IF(Master[[#This Row],[Collector Verbatim Locality]]="","",Master[[#This Row],[Collector Verbatim Locality]])</f>
        <v>Red Wash/ Red Wash Road/ From Jensen at the Green River, travel 10 miles east on Hwy 40. Population is scatttered along either roadside.</v>
      </c>
      <c r="M90" s="4">
        <f>IF(Master[[#This Row],[Elevation (meters)]]=0,"",Master[[#This Row],[Elevation (meters)]])</f>
        <v>1441.7040000000002</v>
      </c>
      <c r="N90" s="55">
        <f>IF(Master[[#This Row],[Latitude -decimal degrees]]="","",Master[[#This Row],[Latitude -decimal degrees]])</f>
        <v>40.299160000000001</v>
      </c>
      <c r="O90" s="55">
        <f>IF(Master[[#This Row],[Longitude -decimal degrees]]="","",Master[[#This Row],[Longitude -decimal degrees]])</f>
        <v>-109.40443999999999</v>
      </c>
      <c r="P90" s="5" t="str">
        <f>IF(Master[[#This Row],[Georeference Datum]]="","",Master[[#This Row],[Georeference Datum]])</f>
        <v>WGS84</v>
      </c>
      <c r="Q90" s="5" t="str">
        <f>IF(Master[[#This Row],[Georeference Protocol - Lookup Picker]]="","",Master[[#This Row],[Georeference Protocol - Lookup Picker]])</f>
        <v>Lat/lon determined by GPS</v>
      </c>
      <c r="R90" s="5" t="str">
        <f>IF(Master[[#This Row],[Associated Species]]="","",Master[[#This Row],[Associated Species]])</f>
        <v>Bassia scoparia:Grindelia squarrosa:Salsola tragus:Bromus tectorum:Pascopyrum smithii:Sarcobatus vermiculatus:Halogeton glomeratus:Ambrosia acanthicarpa</v>
      </c>
      <c r="S90" t="str">
        <f t="shared" si="19"/>
        <v>Y</v>
      </c>
      <c r="T90" s="5" t="str">
        <f>IF(Master[[#This Row],[Note (Accession Source - Collector)]]="","",Master[[#This Row],[Note (Accession Source - Collector)]])</f>
        <v>Clark, M., Beale, A.</v>
      </c>
      <c r="U90" s="3"/>
      <c r="W90" s="3"/>
      <c r="Y90" s="3"/>
    </row>
    <row r="91" spans="2:25" x14ac:dyDescent="0.25">
      <c r="B91" t="str">
        <f>Master[[#This Row],[Accession Prefix (NPGS)]]&amp;" "&amp;Master[[#This Row],[Accession Number -Assigned]]</f>
        <v>W6 59677</v>
      </c>
      <c r="C91" t="str">
        <f t="shared" si="16"/>
        <v>Collection source event</v>
      </c>
      <c r="D91" t="str">
        <f t="shared" si="17"/>
        <v>mm/dd/yyyy</v>
      </c>
      <c r="E91" s="77">
        <f>IF(IF(Master[[#This Row],[Date Collected or Developed]]="",Master[[#This Row],[Received Date -received by site]],Master[[#This Row],[Date Collected or Developed]])="","",(IF(Master[[#This Row],[Date Collected or Developed]]="",Master[[#This Row],[Received Date -received by site]],Master[[#This Row],[Date Collected or Developed]])))</f>
        <v>44063</v>
      </c>
      <c r="F91" s="76" t="str">
        <f>IF(Master[[#This Row],[Geography (Collection) -Lookup Picker in GRIN]]="","",Master[[#This Row],[Geography (Collection) -Lookup Picker in GRIN]])</f>
        <v>United States, Utah, Unitah</v>
      </c>
      <c r="G91" t="str">
        <f t="shared" si="18"/>
        <v>Y</v>
      </c>
      <c r="H91" s="45" t="str">
        <f>IF(Master[[#This Row],[Collecting or Acquisition Source - List]]="","",Master[[#This Row],[Collecting or Acquisition Source - List]])</f>
        <v/>
      </c>
      <c r="I91" t="str">
        <f>IF(Master[[#This Row],[Inventory Type - Lookup Picker]]="","",Master[[#This Row],[Inventory Type - Lookup Picker]])</f>
        <v>SD</v>
      </c>
      <c r="J91" s="4">
        <f>IF(Master[[#This Row],[Number Plants Sampled]]="","",Master[[#This Row],[Number Plants Sampled]])</f>
        <v>100</v>
      </c>
      <c r="K91" s="4" t="str">
        <f>IF(Master[[#This Row],[Environment Description]]="","",Master[[#This Row],[Environment Description]])</f>
        <v/>
      </c>
      <c r="L91" s="4" t="str">
        <f>IF(Master[[#This Row],[Collector Verbatim Locality]]="","",Master[[#This Row],[Collector Verbatim Locality]])</f>
        <v>Red Wash/ Red Wash Rd/ From Jensen, take Hwy 40 east, turn south onto Red Wash Road and continue for 7 miles. Plants are along the E side of the road.</v>
      </c>
      <c r="M91" s="4">
        <f>IF(Master[[#This Row],[Elevation (meters)]]=0,"",Master[[#This Row],[Elevation (meters)]])</f>
        <v>1441.7040000000002</v>
      </c>
      <c r="N91" s="55">
        <f>IF(Master[[#This Row],[Latitude -decimal degrees]]="","",Master[[#This Row],[Latitude -decimal degrees]])</f>
        <v>40.299160000000001</v>
      </c>
      <c r="O91" s="55">
        <f>IF(Master[[#This Row],[Longitude -decimal degrees]]="","",Master[[#This Row],[Longitude -decimal degrees]])</f>
        <v>-109.40443999999999</v>
      </c>
      <c r="P91" s="5" t="str">
        <f>IF(Master[[#This Row],[Georeference Datum]]="","",Master[[#This Row],[Georeference Datum]])</f>
        <v>WGS84</v>
      </c>
      <c r="Q91" s="5" t="str">
        <f>IF(Master[[#This Row],[Georeference Protocol - Lookup Picker]]="","",Master[[#This Row],[Georeference Protocol - Lookup Picker]])</f>
        <v>Lat/lon determined by GPS</v>
      </c>
      <c r="R91" s="5" t="str">
        <f>IF(Master[[#This Row],[Associated Species]]="","",Master[[#This Row],[Associated Species]])</f>
        <v>Bassia scoparia:Grindelia squarrosa:Salsola tragus:Bromus tectorum:Pascopyrum smithii:Sarcobatus vermiculatus:Halogeton glomeratus:Ambrosia acanthicarpa</v>
      </c>
      <c r="S91" t="str">
        <f t="shared" si="19"/>
        <v>Y</v>
      </c>
      <c r="T91" s="5" t="str">
        <f>IF(Master[[#This Row],[Note (Accession Source - Collector)]]="","",Master[[#This Row],[Note (Accession Source - Collector)]])</f>
        <v>Clark, M., Beale, A.</v>
      </c>
      <c r="U91" s="3"/>
      <c r="W91" s="3"/>
      <c r="Y91" s="3"/>
    </row>
    <row r="92" spans="2:25" x14ac:dyDescent="0.25">
      <c r="B92" t="str">
        <f>Master[[#This Row],[Accession Prefix (NPGS)]]&amp;" "&amp;Master[[#This Row],[Accession Number -Assigned]]</f>
        <v>W6 59678</v>
      </c>
      <c r="C92" t="str">
        <f t="shared" si="16"/>
        <v>Collection source event</v>
      </c>
      <c r="D92" t="str">
        <f t="shared" si="17"/>
        <v>mm/dd/yyyy</v>
      </c>
      <c r="E92" s="77">
        <f>IF(IF(Master[[#This Row],[Date Collected or Developed]]="",Master[[#This Row],[Received Date -received by site]],Master[[#This Row],[Date Collected or Developed]])="","",(IF(Master[[#This Row],[Date Collected or Developed]]="",Master[[#This Row],[Received Date -received by site]],Master[[#This Row],[Date Collected or Developed]])))</f>
        <v>44105</v>
      </c>
      <c r="F92" s="76" t="str">
        <f>IF(Master[[#This Row],[Geography (Collection) -Lookup Picker in GRIN]]="","",Master[[#This Row],[Geography (Collection) -Lookup Picker in GRIN]])</f>
        <v>United States, Utah, Unitah</v>
      </c>
      <c r="G92" t="str">
        <f t="shared" si="18"/>
        <v>Y</v>
      </c>
      <c r="H92" s="45" t="str">
        <f>IF(Master[[#This Row],[Collecting or Acquisition Source - List]]="","",Master[[#This Row],[Collecting or Acquisition Source - List]])</f>
        <v/>
      </c>
      <c r="I92" t="str">
        <f>IF(Master[[#This Row],[Inventory Type - Lookup Picker]]="","",Master[[#This Row],[Inventory Type - Lookup Picker]])</f>
        <v>SD</v>
      </c>
      <c r="J92" s="4">
        <f>IF(Master[[#This Row],[Number Plants Sampled]]="","",Master[[#This Row],[Number Plants Sampled]])</f>
        <v>50</v>
      </c>
      <c r="K92" s="4" t="str">
        <f>IF(Master[[#This Row],[Environment Description]]="","",Master[[#This Row],[Environment Description]])</f>
        <v/>
      </c>
      <c r="L92" s="4" t="str">
        <f>IF(Master[[#This Row],[Collector Verbatim Locality]]="","",Master[[#This Row],[Collector Verbatim Locality]])</f>
        <v>Pelican Lake/ Pelican Lake Campground entrance/ From Vernal, 12.4 miles W on Highway 40/191, 7 miles S on Highway 88, right onto 5500 S for 2.2 miles, left onto 14500E for 1.5 miles continuing onto Pelican Lake road towards the campground. Plants on either side of road</v>
      </c>
      <c r="M92" s="4">
        <f>IF(Master[[#This Row],[Elevation (meters)]]=0,"",Master[[#This Row],[Elevation (meters)]])</f>
        <v>1481.328</v>
      </c>
      <c r="N92" s="55">
        <f>IF(Master[[#This Row],[Latitude -decimal degrees]]="","",Master[[#This Row],[Latitude -decimal degrees]])</f>
        <v>40.182969999999997</v>
      </c>
      <c r="O92" s="55">
        <f>IF(Master[[#This Row],[Longitude -decimal degrees]]="","",Master[[#This Row],[Longitude -decimal degrees]])</f>
        <v>-109.70644</v>
      </c>
      <c r="P92" s="5" t="str">
        <f>IF(Master[[#This Row],[Georeference Datum]]="","",Master[[#This Row],[Georeference Datum]])</f>
        <v>WGS84</v>
      </c>
      <c r="Q92" s="5" t="str">
        <f>IF(Master[[#This Row],[Georeference Protocol - Lookup Picker]]="","",Master[[#This Row],[Georeference Protocol - Lookup Picker]])</f>
        <v>Lat/lon determined by GPS</v>
      </c>
      <c r="R92" s="5" t="str">
        <f>IF(Master[[#This Row],[Associated Species]]="","",Master[[#This Row],[Associated Species]])</f>
        <v>Grayia spinosa:Ericameria nauseosa:Sporobolus cryptandrus:Tephrosia spicata:Gutierrezia sarothrae:Eriogonum microthecum</v>
      </c>
      <c r="S92" t="str">
        <f t="shared" si="19"/>
        <v>Y</v>
      </c>
      <c r="T92" s="5" t="str">
        <f>IF(Master[[#This Row],[Note (Accession Source - Collector)]]="","",Master[[#This Row],[Note (Accession Source - Collector)]])</f>
        <v>Clark, M., Beale, A.</v>
      </c>
      <c r="U92" s="3"/>
      <c r="W92" s="3"/>
      <c r="Y92" s="3"/>
    </row>
    <row r="93" spans="2:25" x14ac:dyDescent="0.25">
      <c r="B93" t="str">
        <f>Master[[#This Row],[Accession Prefix (NPGS)]]&amp;" "&amp;Master[[#This Row],[Accession Number -Assigned]]</f>
        <v>W6 59679</v>
      </c>
      <c r="C93" t="str">
        <f t="shared" si="16"/>
        <v>Collection source event</v>
      </c>
      <c r="D93" t="str">
        <f t="shared" si="17"/>
        <v>mm/dd/yyyy</v>
      </c>
      <c r="E93" s="77">
        <f>IF(IF(Master[[#This Row],[Date Collected or Developed]]="",Master[[#This Row],[Received Date -received by site]],Master[[#This Row],[Date Collected or Developed]])="","",(IF(Master[[#This Row],[Date Collected or Developed]]="",Master[[#This Row],[Received Date -received by site]],Master[[#This Row],[Date Collected or Developed]])))</f>
        <v>44104</v>
      </c>
      <c r="F93" s="76" t="str">
        <f>IF(Master[[#This Row],[Geography (Collection) -Lookup Picker in GRIN]]="","",Master[[#This Row],[Geography (Collection) -Lookup Picker in GRIN]])</f>
        <v>United States, Utah, Unitah</v>
      </c>
      <c r="G93" t="str">
        <f t="shared" si="18"/>
        <v>Y</v>
      </c>
      <c r="H93" s="45" t="str">
        <f>IF(Master[[#This Row],[Collecting or Acquisition Source - List]]="","",Master[[#This Row],[Collecting or Acquisition Source - List]])</f>
        <v/>
      </c>
      <c r="I93" t="str">
        <f>IF(Master[[#This Row],[Inventory Type - Lookup Picker]]="","",Master[[#This Row],[Inventory Type - Lookup Picker]])</f>
        <v>SD</v>
      </c>
      <c r="J93" s="4">
        <f>IF(Master[[#This Row],[Number Plants Sampled]]="","",Master[[#This Row],[Number Plants Sampled]])</f>
        <v>300</v>
      </c>
      <c r="K93" s="4" t="str">
        <f>IF(Master[[#This Row],[Environment Description]]="","",Master[[#This Row],[Environment Description]])</f>
        <v>Grazed</v>
      </c>
      <c r="L93" s="4" t="str">
        <f>IF(Master[[#This Row],[Collector Verbatim Locality]]="","",Master[[#This Row],[Collector Verbatim Locality]])</f>
        <v>Snake John Reef/ Highway 40/ From Vernal, ~30 miles E on highway 40 plants south of roadside near CO border</v>
      </c>
      <c r="M93" s="4">
        <f>IF(Master[[#This Row],[Elevation (meters)]]=0,"",Master[[#This Row],[Elevation (meters)]])</f>
        <v>1694.6880000000001</v>
      </c>
      <c r="N93" s="55">
        <f>IF(Master[[#This Row],[Latitude -decimal degrees]]="","",Master[[#This Row],[Latitude -decimal degrees]])</f>
        <v>40.27722</v>
      </c>
      <c r="O93" s="55">
        <f>IF(Master[[#This Row],[Longitude -decimal degrees]]="","",Master[[#This Row],[Longitude -decimal degrees]])</f>
        <v>-109.05694</v>
      </c>
      <c r="P93" s="5" t="str">
        <f>IF(Master[[#This Row],[Georeference Datum]]="","",Master[[#This Row],[Georeference Datum]])</f>
        <v>WGS84</v>
      </c>
      <c r="Q93" s="5" t="str">
        <f>IF(Master[[#This Row],[Georeference Protocol - Lookup Picker]]="","",Master[[#This Row],[Georeference Protocol - Lookup Picker]])</f>
        <v>Lat/lon determined by GPS</v>
      </c>
      <c r="R93" s="5" t="str">
        <f>IF(Master[[#This Row],[Associated Species]]="","",Master[[#This Row],[Associated Species]])</f>
        <v>Ericameria nauseosa:Gutierrezia sarothrae:Grindelia squarrosa:Artemisia tridentata:Sphaeralcea parvifolia:Salsola tragus:Sarcobatus vermiculatus:Ambrosia acanthicarpa</v>
      </c>
      <c r="S93" t="str">
        <f t="shared" si="19"/>
        <v>Y</v>
      </c>
      <c r="T93" s="5" t="str">
        <f>IF(Master[[#This Row],[Note (Accession Source - Collector)]]="","",Master[[#This Row],[Note (Accession Source - Collector)]])</f>
        <v>Clark, M., Beale, A.</v>
      </c>
      <c r="U93" s="3"/>
      <c r="W93" s="3"/>
      <c r="Y93" s="3"/>
    </row>
    <row r="94" spans="2:25" x14ac:dyDescent="0.25">
      <c r="B94" t="str">
        <f>Master[[#This Row],[Accession Prefix (NPGS)]]&amp;" "&amp;Master[[#This Row],[Accession Number -Assigned]]</f>
        <v>W6 59680</v>
      </c>
      <c r="C94" t="str">
        <f t="shared" si="16"/>
        <v>Collection source event</v>
      </c>
      <c r="D94" t="str">
        <f t="shared" si="17"/>
        <v>mm/dd/yyyy</v>
      </c>
      <c r="E94" s="77">
        <f>IF(IF(Master[[#This Row],[Date Collected or Developed]]="",Master[[#This Row],[Received Date -received by site]],Master[[#This Row],[Date Collected or Developed]])="","",(IF(Master[[#This Row],[Date Collected or Developed]]="",Master[[#This Row],[Received Date -received by site]],Master[[#This Row],[Date Collected or Developed]])))</f>
        <v>44105</v>
      </c>
      <c r="F94" s="76" t="str">
        <f>IF(Master[[#This Row],[Geography (Collection) -Lookup Picker in GRIN]]="","",Master[[#This Row],[Geography (Collection) -Lookup Picker in GRIN]])</f>
        <v>United States, Utah, Unitah</v>
      </c>
      <c r="G94" t="str">
        <f t="shared" si="18"/>
        <v>Y</v>
      </c>
      <c r="H94" s="45" t="str">
        <f>IF(Master[[#This Row],[Collecting or Acquisition Source - List]]="","",Master[[#This Row],[Collecting or Acquisition Source - List]])</f>
        <v/>
      </c>
      <c r="I94" t="str">
        <f>IF(Master[[#This Row],[Inventory Type - Lookup Picker]]="","",Master[[#This Row],[Inventory Type - Lookup Picker]])</f>
        <v>SD</v>
      </c>
      <c r="J94" s="4">
        <f>IF(Master[[#This Row],[Number Plants Sampled]]="","",Master[[#This Row],[Number Plants Sampled]])</f>
        <v>50</v>
      </c>
      <c r="K94" s="4" t="str">
        <f>IF(Master[[#This Row],[Environment Description]]="","",Master[[#This Row],[Environment Description]])</f>
        <v/>
      </c>
      <c r="L94" s="4" t="str">
        <f>IF(Master[[#This Row],[Collector Verbatim Locality]]="","",Master[[#This Row],[Collector Verbatim Locality]])</f>
        <v>Glen Bench/ Glen Bench/oil Road/ From Naples, 20 mi S on hwy 45, 8 mi W on Glen Bench rd., right (N) onto oil road for .5-1 mile, plants lining roadside</v>
      </c>
      <c r="M94" s="4">
        <f>IF(Master[[#This Row],[Elevation (meters)]]=0,"",Master[[#This Row],[Elevation (meters)]])</f>
        <v>1545.0312000000001</v>
      </c>
      <c r="N94" s="55">
        <f>IF(Master[[#This Row],[Latitude -decimal degrees]]="","",Master[[#This Row],[Latitude -decimal degrees]])</f>
        <v>40.1205</v>
      </c>
      <c r="O94" s="55">
        <f>IF(Master[[#This Row],[Longitude -decimal degrees]]="","",Master[[#This Row],[Longitude -decimal degrees]])</f>
        <v>-109.42469</v>
      </c>
      <c r="P94" s="5" t="str">
        <f>IF(Master[[#This Row],[Georeference Datum]]="","",Master[[#This Row],[Georeference Datum]])</f>
        <v>WGS84</v>
      </c>
      <c r="Q94" s="5" t="str">
        <f>IF(Master[[#This Row],[Georeference Protocol - Lookup Picker]]="","",Master[[#This Row],[Georeference Protocol - Lookup Picker]])</f>
        <v>Lat/lon determined by GPS</v>
      </c>
      <c r="R94" s="5" t="str">
        <f>IF(Master[[#This Row],[Associated Species]]="","",Master[[#This Row],[Associated Species]])</f>
        <v>Atriplex canescens:Bromus tectorum:Salsola tragus:Achnatherum hymenoides:Cryptantha flava:Lepidium montanum:Alyssum alyssoides:Hesperostipa comata:Aristida purpurea:Pleuraphis jamesii:Sphaeralcea parvifolia:Chrysothamnus greenei</v>
      </c>
      <c r="S94" t="str">
        <f t="shared" si="19"/>
        <v>Y</v>
      </c>
      <c r="T94" s="5" t="str">
        <f>IF(Master[[#This Row],[Note (Accession Source - Collector)]]="","",Master[[#This Row],[Note (Accession Source - Collector)]])</f>
        <v>Clark, M., Beale,A.</v>
      </c>
      <c r="U94" s="3"/>
      <c r="W94" s="3"/>
      <c r="Y94" s="3"/>
    </row>
    <row r="95" spans="2:25" x14ac:dyDescent="0.25">
      <c r="B95" t="str">
        <f>Master[[#This Row],[Accession Prefix (NPGS)]]&amp;" "&amp;Master[[#This Row],[Accession Number -Assigned]]</f>
        <v>W6 59681</v>
      </c>
      <c r="C95" t="str">
        <f t="shared" si="16"/>
        <v>Collection source event</v>
      </c>
      <c r="D95" t="str">
        <f t="shared" si="17"/>
        <v>mm/dd/yyyy</v>
      </c>
      <c r="E95" s="77">
        <f>IF(IF(Master[[#This Row],[Date Collected or Developed]]="",Master[[#This Row],[Received Date -received by site]],Master[[#This Row],[Date Collected or Developed]])="","",(IF(Master[[#This Row],[Date Collected or Developed]]="",Master[[#This Row],[Received Date -received by site]],Master[[#This Row],[Date Collected or Developed]])))</f>
        <v>44058</v>
      </c>
      <c r="F95" s="76" t="str">
        <f>IF(Master[[#This Row],[Geography (Collection) -Lookup Picker in GRIN]]="","",Master[[#This Row],[Geography (Collection) -Lookup Picker in GRIN]])</f>
        <v>United States, Utah, Unitah</v>
      </c>
      <c r="G95" t="str">
        <f t="shared" si="18"/>
        <v>Y</v>
      </c>
      <c r="H95" s="45" t="str">
        <f>IF(Master[[#This Row],[Collecting or Acquisition Source - List]]="","",Master[[#This Row],[Collecting or Acquisition Source - List]])</f>
        <v/>
      </c>
      <c r="I95" t="str">
        <f>IF(Master[[#This Row],[Inventory Type - Lookup Picker]]="","",Master[[#This Row],[Inventory Type - Lookup Picker]])</f>
        <v>SD</v>
      </c>
      <c r="J95" s="4">
        <f>IF(Master[[#This Row],[Number Plants Sampled]]="","",Master[[#This Row],[Number Plants Sampled]])</f>
        <v>50</v>
      </c>
      <c r="K95" s="4" t="str">
        <f>IF(Master[[#This Row],[Environment Description]]="","",Master[[#This Row],[Environment Description]])</f>
        <v/>
      </c>
      <c r="L95" s="4" t="str">
        <f>IF(Master[[#This Row],[Collector Verbatim Locality]]="","",Master[[#This Row],[Collector Verbatim Locality]])</f>
        <v>Cottonwood Wash/ Seep Ridge Road/ From Vernal, 12 miles W to Highway 88, 36 miles S on Highway 88/Seep Ridge Rd, plants on either side of highway</v>
      </c>
      <c r="M95" s="4">
        <f>IF(Master[[#This Row],[Elevation (meters)]]=0,"",Master[[#This Row],[Elevation (meters)]])</f>
        <v>1758.6960000000001</v>
      </c>
      <c r="N95" s="55">
        <f>IF(Master[[#This Row],[Latitude -decimal degrees]]="","",Master[[#This Row],[Latitude -decimal degrees]])</f>
        <v>39.837020000000003</v>
      </c>
      <c r="O95" s="55">
        <f>IF(Master[[#This Row],[Longitude -decimal degrees]]="","",Master[[#This Row],[Longitude -decimal degrees]])</f>
        <v>-109.59516000000001</v>
      </c>
      <c r="P95" s="5" t="str">
        <f>IF(Master[[#This Row],[Georeference Datum]]="","",Master[[#This Row],[Georeference Datum]])</f>
        <v>WGS84</v>
      </c>
      <c r="Q95" s="5" t="str">
        <f>IF(Master[[#This Row],[Georeference Protocol - Lookup Picker]]="","",Master[[#This Row],[Georeference Protocol - Lookup Picker]])</f>
        <v>Lat/lon determined by GPS</v>
      </c>
      <c r="R95" s="5" t="str">
        <f>IF(Master[[#This Row],[Associated Species]]="","",Master[[#This Row],[Associated Species]])</f>
        <v>Sarcobatus vermiculatus:Artemisia nova:Atriplex confertifolia:Gutierrezia sarothrae:Ericameria nauseosa:Halogeton glomeratus:Bromus tectorum:Salsola tragus</v>
      </c>
      <c r="S95" t="str">
        <f t="shared" si="19"/>
        <v>Y</v>
      </c>
      <c r="T95" s="5" t="str">
        <f>IF(Master[[#This Row],[Note (Accession Source - Collector)]]="","",Master[[#This Row],[Note (Accession Source - Collector)]])</f>
        <v>Clark, M., Beale, A.</v>
      </c>
      <c r="U95" s="3"/>
      <c r="W95" s="3"/>
      <c r="Y95" s="3"/>
    </row>
    <row r="96" spans="2:25" x14ac:dyDescent="0.25">
      <c r="B96" t="str">
        <f>Master[[#This Row],[Accession Prefix (NPGS)]]&amp;" "&amp;Master[[#This Row],[Accession Number -Assigned]]</f>
        <v>W6 59682</v>
      </c>
      <c r="C96" t="str">
        <f t="shared" si="16"/>
        <v>Collection source event</v>
      </c>
      <c r="D96" t="str">
        <f t="shared" si="17"/>
        <v>mm/dd/yyyy</v>
      </c>
      <c r="E96" s="77">
        <f>IF(IF(Master[[#This Row],[Date Collected or Developed]]="",Master[[#This Row],[Received Date -received by site]],Master[[#This Row],[Date Collected or Developed]])="","",(IF(Master[[#This Row],[Date Collected or Developed]]="",Master[[#This Row],[Received Date -received by site]],Master[[#This Row],[Date Collected or Developed]])))</f>
        <v>44104</v>
      </c>
      <c r="F96" s="76" t="str">
        <f>IF(Master[[#This Row],[Geography (Collection) -Lookup Picker in GRIN]]="","",Master[[#This Row],[Geography (Collection) -Lookup Picker in GRIN]])</f>
        <v>United States, Utah, Unitah</v>
      </c>
      <c r="G96" t="str">
        <f t="shared" si="18"/>
        <v>Y</v>
      </c>
      <c r="H96" s="45" t="str">
        <f>IF(Master[[#This Row],[Collecting or Acquisition Source - List]]="","",Master[[#This Row],[Collecting or Acquisition Source - List]])</f>
        <v/>
      </c>
      <c r="I96" t="str">
        <f>IF(Master[[#This Row],[Inventory Type - Lookup Picker]]="","",Master[[#This Row],[Inventory Type - Lookup Picker]])</f>
        <v>SD</v>
      </c>
      <c r="J96" s="4">
        <f>IF(Master[[#This Row],[Number Plants Sampled]]="","",Master[[#This Row],[Number Plants Sampled]])</f>
        <v>150</v>
      </c>
      <c r="K96" s="4" t="str">
        <f>IF(Master[[#This Row],[Environment Description]]="","",Master[[#This Row],[Environment Description]])</f>
        <v/>
      </c>
      <c r="L96" s="4" t="str">
        <f>IF(Master[[#This Row],[Collector Verbatim Locality]]="","",Master[[#This Row],[Collector Verbatim Locality]])</f>
        <v>Musket Shot Springs/ Hwy 40/overlook/ From Vernal, 20 miles E on hwy 40 to Musket Shot Springs overlook. Plants on roadside</v>
      </c>
      <c r="M96" s="4">
        <f>IF(Master[[#This Row],[Elevation (meters)]]=0,"",Master[[#This Row],[Elevation (meters)]])</f>
        <v>1557.528</v>
      </c>
      <c r="N96" s="55">
        <f>IF(Master[[#This Row],[Latitude -decimal degrees]]="","",Master[[#This Row],[Latitude -decimal degrees]])</f>
        <v>40.316110000000002</v>
      </c>
      <c r="O96" s="55">
        <f>IF(Master[[#This Row],[Longitude -decimal degrees]]="","",Master[[#This Row],[Longitude -decimal degrees]])</f>
        <v>-109.23138</v>
      </c>
      <c r="P96" s="5" t="str">
        <f>IF(Master[[#This Row],[Georeference Datum]]="","",Master[[#This Row],[Georeference Datum]])</f>
        <v>WGS84</v>
      </c>
      <c r="Q96" s="5" t="str">
        <f>IF(Master[[#This Row],[Georeference Protocol - Lookup Picker]]="","",Master[[#This Row],[Georeference Protocol - Lookup Picker]])</f>
        <v>Lat/lon determined by GPS</v>
      </c>
      <c r="R96" s="5" t="str">
        <f>IF(Master[[#This Row],[Associated Species]]="","",Master[[#This Row],[Associated Species]])</f>
        <v>Melilotus officinalis:Helianthus annuus:Poa secunda:Ericameria nauseosa:Sarcobatus vermiculatus:Bromus tectorum:Gutierrezia sarothrae:Bassia scoparia:Ambrosia acanthicarpa:Hesperostipa comata:Pascopyrum smithii:Agropyron cristatum</v>
      </c>
      <c r="S96" t="str">
        <f t="shared" si="19"/>
        <v>Y</v>
      </c>
      <c r="T96" s="5" t="str">
        <f>IF(Master[[#This Row],[Note (Accession Source - Collector)]]="","",Master[[#This Row],[Note (Accession Source - Collector)]])</f>
        <v>Clark, M., Beale, A.</v>
      </c>
      <c r="U96" s="3"/>
      <c r="W96" s="3"/>
      <c r="Y96" s="3"/>
    </row>
    <row r="97" spans="2:20" x14ac:dyDescent="0.25">
      <c r="B97" t="str">
        <f>Master[[#This Row],[Accession Prefix (NPGS)]]&amp;" "&amp;Master[[#This Row],[Accession Number -Assigned]]</f>
        <v>W6 59683</v>
      </c>
      <c r="C97" t="str">
        <f t="shared" si="16"/>
        <v>Collection source event</v>
      </c>
      <c r="D97" t="str">
        <f t="shared" si="17"/>
        <v>mm/dd/yyyy</v>
      </c>
      <c r="E97" s="77">
        <f>IF(IF(Master[[#This Row],[Date Collected or Developed]]="",Master[[#This Row],[Received Date -received by site]],Master[[#This Row],[Date Collected or Developed]])="","",(IF(Master[[#This Row],[Date Collected or Developed]]="",Master[[#This Row],[Received Date -received by site]],Master[[#This Row],[Date Collected or Developed]])))</f>
        <v>44020</v>
      </c>
      <c r="F97" s="76" t="str">
        <f>IF(Master[[#This Row],[Geography (Collection) -Lookup Picker in GRIN]]="","",Master[[#This Row],[Geography (Collection) -Lookup Picker in GRIN]])</f>
        <v>United States, Wyoming, Fremont</v>
      </c>
      <c r="G97" t="str">
        <f t="shared" si="18"/>
        <v>Y</v>
      </c>
      <c r="H97" s="45" t="str">
        <f>IF(Master[[#This Row],[Collecting or Acquisition Source - List]]="","",Master[[#This Row],[Collecting or Acquisition Source - List]])</f>
        <v/>
      </c>
      <c r="I97" t="str">
        <f>IF(Master[[#This Row],[Inventory Type - Lookup Picker]]="","",Master[[#This Row],[Inventory Type - Lookup Picker]])</f>
        <v>SD</v>
      </c>
      <c r="J97" s="4">
        <f>IF(Master[[#This Row],[Number Plants Sampled]]="","",Master[[#This Row],[Number Plants Sampled]])</f>
        <v>1000</v>
      </c>
      <c r="K97" s="4" t="str">
        <f>IF(Master[[#This Row],[Environment Description]]="","",Master[[#This Row],[Environment Description]])</f>
        <v/>
      </c>
      <c r="L97" s="4" t="str">
        <f>IF(Master[[#This Row],[Collector Verbatim Locality]]="","",Master[[#This Row],[Collector Verbatim Locality]])</f>
        <v>BLM Lander Field Office/ Red Canyon ACEC/ Barrett Cree, approximately 1 air mile northwest of Pine Spring in T31N R99W sec. 31, SE 1/4.</v>
      </c>
      <c r="M97" s="4">
        <f>IF(Master[[#This Row],[Elevation (meters)]]=0,"",Master[[#This Row],[Elevation (meters)]])</f>
        <v>2500</v>
      </c>
      <c r="N97" s="55">
        <f>IF(Master[[#This Row],[Latitude -decimal degrees]]="","",Master[[#This Row],[Latitude -decimal degrees]])</f>
        <v>42.61309</v>
      </c>
      <c r="O97" s="55">
        <f>IF(Master[[#This Row],[Longitude -decimal degrees]]="","",Master[[#This Row],[Longitude -decimal degrees]])</f>
        <v>-108.7028</v>
      </c>
      <c r="P97" s="5" t="str">
        <f>IF(Master[[#This Row],[Georeference Datum]]="","",Master[[#This Row],[Georeference Datum]])</f>
        <v>WGS84</v>
      </c>
      <c r="Q97" s="5" t="str">
        <f>IF(Master[[#This Row],[Georeference Protocol - Lookup Picker]]="","",Master[[#This Row],[Georeference Protocol - Lookup Picker]])</f>
        <v>Lat/lon determined by GPS</v>
      </c>
      <c r="R97" s="5" t="str">
        <f>IF(Master[[#This Row],[Associated Species]]="","",Master[[#This Row],[Associated Species]])</f>
        <v>Amelanchier utahensis:Balsamorhiza sagittata:Cerastium arvense:Lupinus argenteus:Linum lewisii:Comandra umbellata</v>
      </c>
      <c r="S97" t="str">
        <f t="shared" si="19"/>
        <v>Y</v>
      </c>
      <c r="T97" s="5" t="str">
        <f>IF(Master[[#This Row],[Note (Accession Source - Collector)]]="","",Master[[#This Row],[Note (Accession Source - Collector)]])</f>
        <v>Emma Freeland, Rebecca Cross, John Ference</v>
      </c>
    </row>
    <row r="98" spans="2:20" x14ac:dyDescent="0.25">
      <c r="B98" t="str">
        <f>Master[[#This Row],[Accession Prefix (NPGS)]]&amp;" "&amp;Master[[#This Row],[Accession Number -Assigned]]</f>
        <v>W6 59684</v>
      </c>
      <c r="C98" t="str">
        <f t="shared" si="16"/>
        <v>Collection source event</v>
      </c>
      <c r="D98" t="str">
        <f t="shared" si="17"/>
        <v>mm/dd/yyyy</v>
      </c>
      <c r="E98" s="77">
        <f>IF(IF(Master[[#This Row],[Date Collected or Developed]]="",Master[[#This Row],[Received Date -received by site]],Master[[#This Row],[Date Collected or Developed]])="","",(IF(Master[[#This Row],[Date Collected or Developed]]="",Master[[#This Row],[Received Date -received by site]],Master[[#This Row],[Date Collected or Developed]])))</f>
        <v>43997</v>
      </c>
      <c r="F98" s="76" t="str">
        <f>IF(Master[[#This Row],[Geography (Collection) -Lookup Picker in GRIN]]="","",Master[[#This Row],[Geography (Collection) -Lookup Picker in GRIN]])</f>
        <v>United States, Wyoming, Johnson</v>
      </c>
      <c r="G98" t="str">
        <f t="shared" si="18"/>
        <v>Y</v>
      </c>
      <c r="H98" s="45" t="str">
        <f>IF(Master[[#This Row],[Collecting or Acquisition Source - List]]="","",Master[[#This Row],[Collecting or Acquisition Source - List]])</f>
        <v/>
      </c>
      <c r="I98" t="str">
        <f>IF(Master[[#This Row],[Inventory Type - Lookup Picker]]="","",Master[[#This Row],[Inventory Type - Lookup Picker]])</f>
        <v>SD</v>
      </c>
      <c r="J98" s="4">
        <f>IF(Master[[#This Row],[Number Plants Sampled]]="","",Master[[#This Row],[Number Plants Sampled]])</f>
        <v>606</v>
      </c>
      <c r="K98" s="4" t="str">
        <f>IF(Master[[#This Row],[Environment Description]]="","",Master[[#This Row],[Environment Description]])</f>
        <v/>
      </c>
      <c r="L98" s="4" t="str">
        <f>IF(Master[[#This Row],[Collector Verbatim Locality]]="","",Master[[#This Row],[Collector Verbatim Locality]])</f>
        <v>Bighorn National Forest/ Circle Park/ From Buffalo BLM field office, travel West on Hwy 16 for 13.4 miles, then turn right onto Circle Park Road for .2 miles. Collection was taken on hills within 200 feet of road on both sides, and in flat area near first campsites as you continue on road for 0.5 miles.</v>
      </c>
      <c r="M98" s="4">
        <f>IF(Master[[#This Row],[Elevation (meters)]]=0,"",Master[[#This Row],[Elevation (meters)]])</f>
        <v>2419.8072000000002</v>
      </c>
      <c r="N98" s="55">
        <f>IF(Master[[#This Row],[Latitude -decimal degrees]]="","",Master[[#This Row],[Latitude -decimal degrees]])</f>
        <v>44.289879999999997</v>
      </c>
      <c r="O98" s="55">
        <f>IF(Master[[#This Row],[Longitude -decimal degrees]]="","",Master[[#This Row],[Longitude -decimal degrees]])</f>
        <v>-106.95376</v>
      </c>
      <c r="P98" s="5" t="str">
        <f>IF(Master[[#This Row],[Georeference Datum]]="","",Master[[#This Row],[Georeference Datum]])</f>
        <v>NAD83</v>
      </c>
      <c r="Q98" s="5" t="str">
        <f>IF(Master[[#This Row],[Georeference Protocol - Lookup Picker]]="","",Master[[#This Row],[Georeference Protocol - Lookup Picker]])</f>
        <v>Lat/lon determined by GPS</v>
      </c>
      <c r="R98" s="5" t="str">
        <f>IF(Master[[#This Row],[Associated Species]]="","",Master[[#This Row],[Associated Species]])</f>
        <v>Pulsatilla patens:Geum triflorum:Lupinus wyethii:Balsamorhiza incana:Achillea millefolium:Arenaria hookeri:Antennaria umbrinella:Bromus carinatus:Cerastium beeringianum:Oxytropis parryi</v>
      </c>
      <c r="S98" t="str">
        <f t="shared" si="19"/>
        <v>Y</v>
      </c>
      <c r="T98" s="5" t="str">
        <f>IF(Master[[#This Row],[Note (Accession Source - Collector)]]="","",Master[[#This Row],[Note (Accession Source - Collector)]])</f>
        <v>Miller, A; Arnold, A; Mirkes, M</v>
      </c>
    </row>
    <row r="99" spans="2:20" x14ac:dyDescent="0.25">
      <c r="B99" t="str">
        <f>Master[[#This Row],[Accession Prefix (NPGS)]]&amp;" "&amp;Master[[#This Row],[Accession Number -Assigned]]</f>
        <v>W6 59685</v>
      </c>
      <c r="C99" t="str">
        <f t="shared" si="16"/>
        <v>Collection source event</v>
      </c>
      <c r="D99" t="str">
        <f t="shared" si="17"/>
        <v>mm/dd/yyyy</v>
      </c>
      <c r="E99" s="77">
        <f>IF(IF(Master[[#This Row],[Date Collected or Developed]]="",Master[[#This Row],[Received Date -received by site]],Master[[#This Row],[Date Collected or Developed]])="","",(IF(Master[[#This Row],[Date Collected or Developed]]="",Master[[#This Row],[Received Date -received by site]],Master[[#This Row],[Date Collected or Developed]])))</f>
        <v>43998</v>
      </c>
      <c r="F99" s="76" t="str">
        <f>IF(Master[[#This Row],[Geography (Collection) -Lookup Picker in GRIN]]="","",Master[[#This Row],[Geography (Collection) -Lookup Picker in GRIN]])</f>
        <v>United States, Wyoming, Campbell</v>
      </c>
      <c r="G99" t="str">
        <f t="shared" si="18"/>
        <v>Y</v>
      </c>
      <c r="H99" s="45" t="str">
        <f>IF(Master[[#This Row],[Collecting or Acquisition Source - List]]="","",Master[[#This Row],[Collecting or Acquisition Source - List]])</f>
        <v/>
      </c>
      <c r="I99" t="str">
        <f>IF(Master[[#This Row],[Inventory Type - Lookup Picker]]="","",Master[[#This Row],[Inventory Type - Lookup Picker]])</f>
        <v>SD</v>
      </c>
      <c r="J99" s="4">
        <f>IF(Master[[#This Row],[Number Plants Sampled]]="","",Master[[#This Row],[Number Plants Sampled]])</f>
        <v>147</v>
      </c>
      <c r="K99" s="4" t="str">
        <f>IF(Master[[#This Row],[Environment Description]]="","",Master[[#This Row],[Environment Description]])</f>
        <v>Grazed</v>
      </c>
      <c r="L99" s="4" t="str">
        <f>IF(Master[[#This Row],[Collector Verbatim Locality]]="","",Master[[#This Row],[Collector Verbatim Locality]])</f>
        <v>Burnt Hollow/ Cedar Draw/ From I-90, take exit 124 and turn north on WY50/Skyline Drive and continue .3 miles to the intersection with Hwy 14/16/59. Turn left onto highway 14/16/59 and travel 6.8 miles toward Gillete Regional Airport. When routes divide, turn right onto Highway 59 North. Continue along Highway 59 for 13.4 miles, and turn right into parking area for South BLM unit. Collection occurred within 1000 ft NE of parking area.</v>
      </c>
      <c r="M99" s="4">
        <f>IF(Master[[#This Row],[Elevation (meters)]]=0,"",Master[[#This Row],[Elevation (meters)]])</f>
        <v>1247.8512000000001</v>
      </c>
      <c r="N99" s="55">
        <f>IF(Master[[#This Row],[Latitude -decimal degrees]]="","",Master[[#This Row],[Latitude -decimal degrees]])</f>
        <v>44.517339999999997</v>
      </c>
      <c r="O99" s="55">
        <f>IF(Master[[#This Row],[Longitude -decimal degrees]]="","",Master[[#This Row],[Longitude -decimal degrees]])</f>
        <v>-105.44013</v>
      </c>
      <c r="P99" s="5" t="str">
        <f>IF(Master[[#This Row],[Georeference Datum]]="","",Master[[#This Row],[Georeference Datum]])</f>
        <v>NAD83</v>
      </c>
      <c r="Q99" s="5" t="str">
        <f>IF(Master[[#This Row],[Georeference Protocol - Lookup Picker]]="","",Master[[#This Row],[Georeference Protocol - Lookup Picker]])</f>
        <v>Lat/lon determined by GPS</v>
      </c>
      <c r="R99" s="5" t="str">
        <f>IF(Master[[#This Row],[Associated Species]]="","",Master[[#This Row],[Associated Species]])</f>
        <v>Opuntia polyacantha:Artemisia tridentata:Chrysothamnus viscidiflorus:Bromus tectorum:Hesperostipa comata:Gutierrezia sarothrae:Heterotheca villosa:Pascopyrum smithii:Sphaeralcea coccinea:Achillea millefolium:Koeleria macrantha:Bouteloua gracilis:Bromus japonicus</v>
      </c>
      <c r="S99" t="str">
        <f t="shared" si="19"/>
        <v>Y</v>
      </c>
      <c r="T99" s="5" t="str">
        <f>IF(Master[[#This Row],[Note (Accession Source - Collector)]]="","",Master[[#This Row],[Note (Accession Source - Collector)]])</f>
        <v>Miller, A; Arnold, A; Mirkes, M</v>
      </c>
    </row>
    <row r="100" spans="2:20" x14ac:dyDescent="0.25">
      <c r="B100" t="str">
        <f>Master[[#This Row],[Accession Prefix (NPGS)]]&amp;" "&amp;Master[[#This Row],[Accession Number -Assigned]]</f>
        <v>W6 59686</v>
      </c>
      <c r="C100" t="str">
        <f t="shared" si="16"/>
        <v>Collection source event</v>
      </c>
      <c r="D100" t="str">
        <f t="shared" si="17"/>
        <v>mm/dd/yyyy</v>
      </c>
      <c r="E100" s="77">
        <f>IF(IF(Master[[#This Row],[Date Collected or Developed]]="",Master[[#This Row],[Received Date -received by site]],Master[[#This Row],[Date Collected or Developed]])="","",(IF(Master[[#This Row],[Date Collected or Developed]]="",Master[[#This Row],[Received Date -received by site]],Master[[#This Row],[Date Collected or Developed]])))</f>
        <v>43999</v>
      </c>
      <c r="F100" s="76" t="str">
        <f>IF(Master[[#This Row],[Geography (Collection) -Lookup Picker in GRIN]]="","",Master[[#This Row],[Geography (Collection) -Lookup Picker in GRIN]])</f>
        <v>United States, Wyoming, Campbell</v>
      </c>
      <c r="G100" t="str">
        <f t="shared" si="18"/>
        <v>Y</v>
      </c>
      <c r="H100" s="45" t="str">
        <f>IF(Master[[#This Row],[Collecting or Acquisition Source - List]]="","",Master[[#This Row],[Collecting or Acquisition Source - List]])</f>
        <v/>
      </c>
      <c r="I100" t="str">
        <f>IF(Master[[#This Row],[Inventory Type - Lookup Picker]]="","",Master[[#This Row],[Inventory Type - Lookup Picker]])</f>
        <v>SD</v>
      </c>
      <c r="J100" s="4">
        <f>IF(Master[[#This Row],[Number Plants Sampled]]="","",Master[[#This Row],[Number Plants Sampled]])</f>
        <v>58</v>
      </c>
      <c r="K100" s="4" t="str">
        <f>IF(Master[[#This Row],[Environment Description]]="","",Master[[#This Row],[Environment Description]])</f>
        <v>Grazed</v>
      </c>
      <c r="L100" s="4" t="str">
        <f>IF(Master[[#This Row],[Collector Verbatim Locality]]="","",Master[[#This Row],[Collector Verbatim Locality]])</f>
        <v>N/A/ Cut Across Road/ From I-90, take exit 102 toward Barber Creek Road, and head south on Barber Creek road for about 1.8 miles. Turn right (headed southwest) onto Buffalo Cut-Across Road/Schoonover Road and continue for 5.1 miles. Plants collected within 0.2 square miles of the road on both sides.</v>
      </c>
      <c r="M100" s="4">
        <f>IF(Master[[#This Row],[Elevation (meters)]]=0,"",Master[[#This Row],[Elevation (meters)]])</f>
        <v>1381.3536000000001</v>
      </c>
      <c r="N100" s="55">
        <f>IF(Master[[#This Row],[Latitude -decimal degrees]]="","",Master[[#This Row],[Latitude -decimal degrees]])</f>
        <v>44.128050000000002</v>
      </c>
      <c r="O100" s="55">
        <f>IF(Master[[#This Row],[Longitude -decimal degrees]]="","",Master[[#This Row],[Longitude -decimal degrees]])</f>
        <v>-105.96939999999999</v>
      </c>
      <c r="P100" s="5" t="str">
        <f>IF(Master[[#This Row],[Georeference Datum]]="","",Master[[#This Row],[Georeference Datum]])</f>
        <v>NAD83</v>
      </c>
      <c r="Q100" s="5" t="str">
        <f>IF(Master[[#This Row],[Georeference Protocol - Lookup Picker]]="","",Master[[#This Row],[Georeference Protocol - Lookup Picker]])</f>
        <v>Lat/lon determined by GPS</v>
      </c>
      <c r="R100" s="5" t="str">
        <f>IF(Master[[#This Row],[Associated Species]]="","",Master[[#This Row],[Associated Species]])</f>
        <v>Artemisia tridentata:Opuntia polyacantha:Arenaria hookeri:Bromus tectorum:Sphaeralcea coccinea:Astragalus purshii:Koeleria macrantha:Tragopogon dubius:Comandra umbellata:Bouteloua gracilis:Gutierrezia sarothrae</v>
      </c>
      <c r="S100" t="str">
        <f t="shared" si="19"/>
        <v>Y</v>
      </c>
      <c r="T100" s="5" t="str">
        <f>IF(Master[[#This Row],[Note (Accession Source - Collector)]]="","",Master[[#This Row],[Note (Accession Source - Collector)]])</f>
        <v>Miller, A; Arnold, A; Mirkes, M</v>
      </c>
    </row>
    <row r="101" spans="2:20" x14ac:dyDescent="0.25">
      <c r="B101" t="str">
        <f>Master[[#This Row],[Accession Prefix (NPGS)]]&amp;" "&amp;Master[[#This Row],[Accession Number -Assigned]]</f>
        <v>W6 59687</v>
      </c>
      <c r="C101" t="str">
        <f t="shared" si="16"/>
        <v>Collection source event</v>
      </c>
      <c r="D101" t="str">
        <f t="shared" si="17"/>
        <v>mm/dd/yyyy</v>
      </c>
      <c r="E101" s="77">
        <f>IF(IF(Master[[#This Row],[Date Collected or Developed]]="",Master[[#This Row],[Received Date -received by site]],Master[[#This Row],[Date Collected or Developed]])="","",(IF(Master[[#This Row],[Date Collected or Developed]]="",Master[[#This Row],[Received Date -received by site]],Master[[#This Row],[Date Collected or Developed]])))</f>
        <v>44005</v>
      </c>
      <c r="F101" s="76" t="str">
        <f>IF(Master[[#This Row],[Geography (Collection) -Lookup Picker in GRIN]]="","",Master[[#This Row],[Geography (Collection) -Lookup Picker in GRIN]])</f>
        <v>United States, Wyoming, Campbell</v>
      </c>
      <c r="G101" t="str">
        <f t="shared" si="18"/>
        <v>Y</v>
      </c>
      <c r="H101" s="45" t="str">
        <f>IF(Master[[#This Row],[Collecting or Acquisition Source - List]]="","",Master[[#This Row],[Collecting or Acquisition Source - List]])</f>
        <v/>
      </c>
      <c r="I101" t="str">
        <f>IF(Master[[#This Row],[Inventory Type - Lookup Picker]]="","",Master[[#This Row],[Inventory Type - Lookup Picker]])</f>
        <v>SD</v>
      </c>
      <c r="J101" s="4">
        <f>IF(Master[[#This Row],[Number Plants Sampled]]="","",Master[[#This Row],[Number Plants Sampled]])</f>
        <v>122</v>
      </c>
      <c r="K101" s="4" t="str">
        <f>IF(Master[[#This Row],[Environment Description]]="","",Master[[#This Row],[Environment Description]])</f>
        <v>Grazed</v>
      </c>
      <c r="L101" s="4" t="str">
        <f>IF(Master[[#This Row],[Collector Verbatim Locality]]="","",Master[[#This Row],[Collector Verbatim Locality]])</f>
        <v>Thunder Basin National Grassland/ N/A/ From Wright, head south on WY-59/Douglas Hwy. Turn Left to go East onto WY-450 E for 15.5 miles. Turn Right (South) onto School Creek Road and follow road for 5.75 miles. The collection area is on the left (Northeast) side of the road, before the rock cairn on the hilltop, past the barbed wire fence approximately 100 ft.</v>
      </c>
      <c r="M101" s="4">
        <f>IF(Master[[#This Row],[Elevation (meters)]]=0,"",Master[[#This Row],[Elevation (meters)]])</f>
        <v>1516.6848</v>
      </c>
      <c r="N101" s="55">
        <f>IF(Master[[#This Row],[Latitude -decimal degrees]]="","",Master[[#This Row],[Latitude -decimal degrees]])</f>
        <v>43.603189999999998</v>
      </c>
      <c r="O101" s="55">
        <f>IF(Master[[#This Row],[Longitude -decimal degrees]]="","",Master[[#This Row],[Longitude -decimal degrees]])</f>
        <v>-105.15515000000001</v>
      </c>
      <c r="P101" s="5" t="str">
        <f>IF(Master[[#This Row],[Georeference Datum]]="","",Master[[#This Row],[Georeference Datum]])</f>
        <v>NAD83</v>
      </c>
      <c r="Q101" s="5" t="str">
        <f>IF(Master[[#This Row],[Georeference Protocol - Lookup Picker]]="","",Master[[#This Row],[Georeference Protocol - Lookup Picker]])</f>
        <v>Lat/lon determined by GPS</v>
      </c>
      <c r="R101" s="5" t="str">
        <f>IF(Master[[#This Row],[Associated Species]]="","",Master[[#This Row],[Associated Species]])</f>
        <v>Artemisia tridentata:Tragopogon dubius:Koeleria macrantha:Astragalus purshii:Hesperostipa comata:Agropyron cristatum:Artemisia frigida:Opuntia polyacantha:Bromus tectorum:Bouteloua gracilis:Antennaria sp.:Yucca glauca:Heterotheca villosa:Sphaeralcea coccinea:Achillea millefolium:Pascopyrum smithii:Allium textile:Bromus japonicus</v>
      </c>
      <c r="S101" t="str">
        <f t="shared" si="19"/>
        <v>Y</v>
      </c>
      <c r="T101" s="5" t="str">
        <f>IF(Master[[#This Row],[Note (Accession Source - Collector)]]="","",Master[[#This Row],[Note (Accession Source - Collector)]])</f>
        <v>Miller, A; Arnold, A; Mirkes, M</v>
      </c>
    </row>
    <row r="102" spans="2:20" x14ac:dyDescent="0.25">
      <c r="B102" t="str">
        <f>Master[[#This Row],[Accession Prefix (NPGS)]]&amp;" "&amp;Master[[#This Row],[Accession Number -Assigned]]</f>
        <v>W6 59688</v>
      </c>
      <c r="C102" t="str">
        <f t="shared" si="16"/>
        <v>Collection source event</v>
      </c>
      <c r="D102" t="str">
        <f t="shared" si="17"/>
        <v>mm/dd/yyyy</v>
      </c>
      <c r="E102" s="77">
        <f>IF(IF(Master[[#This Row],[Date Collected or Developed]]="",Master[[#This Row],[Received Date -received by site]],Master[[#This Row],[Date Collected or Developed]])="","",(IF(Master[[#This Row],[Date Collected or Developed]]="",Master[[#This Row],[Received Date -received by site]],Master[[#This Row],[Date Collected or Developed]])))</f>
        <v>44007</v>
      </c>
      <c r="F102" s="76" t="str">
        <f>IF(Master[[#This Row],[Geography (Collection) -Lookup Picker in GRIN]]="","",Master[[#This Row],[Geography (Collection) -Lookup Picker in GRIN]])</f>
        <v>United States, Wyoming, Johnson</v>
      </c>
      <c r="G102" t="str">
        <f t="shared" si="18"/>
        <v>Y</v>
      </c>
      <c r="H102" s="45" t="str">
        <f>IF(Master[[#This Row],[Collecting or Acquisition Source - List]]="","",Master[[#This Row],[Collecting or Acquisition Source - List]])</f>
        <v/>
      </c>
      <c r="I102" t="str">
        <f>IF(Master[[#This Row],[Inventory Type - Lookup Picker]]="","",Master[[#This Row],[Inventory Type - Lookup Picker]])</f>
        <v>SD</v>
      </c>
      <c r="J102" s="4">
        <f>IF(Master[[#This Row],[Number Plants Sampled]]="","",Master[[#This Row],[Number Plants Sampled]])</f>
        <v>116</v>
      </c>
      <c r="K102" s="4" t="str">
        <f>IF(Master[[#This Row],[Environment Description]]="","",Master[[#This Row],[Environment Description]])</f>
        <v>Grazed</v>
      </c>
      <c r="L102" s="4" t="str">
        <f>IF(Master[[#This Row],[Collector Verbatim Locality]]="","",Master[[#This Row],[Collector Verbatim Locality]])</f>
        <v>Dry Creek Petrified Tree Environmental Education Area/ N/A/ To access the area from Interstate 90, take the Red Hills/Tipperary Road (Exit 65). Cross under the interstate and head northeast on Tipperary Road for 6 miles. Turn left onto the Petrified Tree access road, directly across the road from a ranch house. This two-track will cross a cattle guard and continue about 0.6 mile to the parking area. Walk along trail to GPS point, on downhill side of trail.</v>
      </c>
      <c r="M102" s="4">
        <f>IF(Master[[#This Row],[Elevation (meters)]]=0,"",Master[[#This Row],[Elevation (meters)]])</f>
        <v>1405.1280000000002</v>
      </c>
      <c r="N102" s="55">
        <f>IF(Master[[#This Row],[Latitude -decimal degrees]]="","",Master[[#This Row],[Latitude -decimal degrees]])</f>
        <v>44.35022</v>
      </c>
      <c r="O102" s="55">
        <f>IF(Master[[#This Row],[Longitude -decimal degrees]]="","",Master[[#This Row],[Longitude -decimal degrees]])</f>
        <v>-106.53149999999999</v>
      </c>
      <c r="P102" s="5" t="str">
        <f>IF(Master[[#This Row],[Georeference Datum]]="","",Master[[#This Row],[Georeference Datum]])</f>
        <v>NAD83</v>
      </c>
      <c r="Q102" s="5" t="str">
        <f>IF(Master[[#This Row],[Georeference Protocol - Lookup Picker]]="","",Master[[#This Row],[Georeference Protocol - Lookup Picker]])</f>
        <v>Lat/lon determined by GPS</v>
      </c>
      <c r="R102" s="5" t="str">
        <f>IF(Master[[#This Row],[Associated Species]]="","",Master[[#This Row],[Associated Species]])</f>
        <v>Gutierrezia sarothrae:Artemisia tridentata:Koeleria macrantha:Vicia americana:Calochortus nuttallii:Bromus tectorum:Sphaeralcea coccinea:Melilotus officinalis:Hesperostipa comata:Pascopyrum smithii:Artemisia frigida:Opuntia polyacantha:Krascheninnikovia lanata:Pediomelum esculentum:Arenaria hookeri:Allium textile</v>
      </c>
      <c r="S102" t="str">
        <f t="shared" si="19"/>
        <v>Y</v>
      </c>
      <c r="T102" s="5" t="str">
        <f>IF(Master[[#This Row],[Note (Accession Source - Collector)]]="","",Master[[#This Row],[Note (Accession Source - Collector)]])</f>
        <v>Miller, A; Arnold, A; Mirkes, M</v>
      </c>
    </row>
    <row r="103" spans="2:20" x14ac:dyDescent="0.25">
      <c r="B103" t="str">
        <f>Master[[#This Row],[Accession Prefix (NPGS)]]&amp;" "&amp;Master[[#This Row],[Accession Number -Assigned]]</f>
        <v>W6 59689</v>
      </c>
      <c r="C103" t="str">
        <f t="shared" si="16"/>
        <v>Collection source event</v>
      </c>
      <c r="D103" t="str">
        <f t="shared" si="17"/>
        <v>mm/dd/yyyy</v>
      </c>
      <c r="E103" s="77">
        <f>IF(IF(Master[[#This Row],[Date Collected or Developed]]="",Master[[#This Row],[Received Date -received by site]],Master[[#This Row],[Date Collected or Developed]])="","",(IF(Master[[#This Row],[Date Collected or Developed]]="",Master[[#This Row],[Received Date -received by site]],Master[[#This Row],[Date Collected or Developed]])))</f>
        <v>44012</v>
      </c>
      <c r="F103" s="76" t="str">
        <f>IF(Master[[#This Row],[Geography (Collection) -Lookup Picker in GRIN]]="","",Master[[#This Row],[Geography (Collection) -Lookup Picker in GRIN]])</f>
        <v>United States, Wyoming, Johnson</v>
      </c>
      <c r="G103" t="str">
        <f t="shared" si="18"/>
        <v>Y</v>
      </c>
      <c r="H103" s="45" t="str">
        <f>IF(Master[[#This Row],[Collecting or Acquisition Source - List]]="","",Master[[#This Row],[Collecting or Acquisition Source - List]])</f>
        <v/>
      </c>
      <c r="I103" t="str">
        <f>IF(Master[[#This Row],[Inventory Type - Lookup Picker]]="","",Master[[#This Row],[Inventory Type - Lookup Picker]])</f>
        <v>SD</v>
      </c>
      <c r="J103" s="4">
        <f>IF(Master[[#This Row],[Number Plants Sampled]]="","",Master[[#This Row],[Number Plants Sampled]])</f>
        <v>870</v>
      </c>
      <c r="K103" s="4" t="str">
        <f>IF(Master[[#This Row],[Environment Description]]="","",Master[[#This Row],[Environment Description]])</f>
        <v>Grazed</v>
      </c>
      <c r="L103" s="4" t="str">
        <f>IF(Master[[#This Row],[Collector Verbatim Locality]]="","",Master[[#This Row],[Collector Verbatim Locality]])</f>
        <v>/ Schoonover Road/ From Buffalo, head east on I90 E for about 19 miles, then exit Southeast onto Schoonover road, and continue for 8.9 miles. Turn South, passing through a cattle gate then stay right. Turn left off gravel road onto dirt road and continue to point. Plants collected on both sides of road within 500 feet.</v>
      </c>
      <c r="M103" s="4">
        <f>IF(Master[[#This Row],[Elevation (meters)]]=0,"",Master[[#This Row],[Elevation (meters)]])</f>
        <v>1384.4016000000001</v>
      </c>
      <c r="N103" s="55">
        <f>IF(Master[[#This Row],[Latitude -decimal degrees]]="","",Master[[#This Row],[Latitude -decimal degrees]])</f>
        <v>44.118580000000001</v>
      </c>
      <c r="O103" s="55">
        <f>IF(Master[[#This Row],[Longitude -decimal degrees]]="","",Master[[#This Row],[Longitude -decimal degrees]])</f>
        <v>-106.2422</v>
      </c>
      <c r="P103" s="5" t="str">
        <f>IF(Master[[#This Row],[Georeference Datum]]="","",Master[[#This Row],[Georeference Datum]])</f>
        <v>NAD83</v>
      </c>
      <c r="Q103" s="5" t="str">
        <f>IF(Master[[#This Row],[Georeference Protocol - Lookup Picker]]="","",Master[[#This Row],[Georeference Protocol - Lookup Picker]])</f>
        <v>Lat/lon determined by GPS</v>
      </c>
      <c r="R103" s="5" t="str">
        <f>IF(Master[[#This Row],[Associated Species]]="","",Master[[#This Row],[Associated Species]])</f>
        <v>Astragalus purshii:Arenaria hookeri:Artemisia frigida:Artemisia tridentata:Hesperostipa comata:Gutierrezia sarothrae:Comandra umbellata:Bouteloua gracilis:Heterotheca villosa:Lygodesmia juncea</v>
      </c>
      <c r="S103" t="str">
        <f t="shared" si="19"/>
        <v>Y</v>
      </c>
      <c r="T103" s="5" t="str">
        <f>IF(Master[[#This Row],[Note (Accession Source - Collector)]]="","",Master[[#This Row],[Note (Accession Source - Collector)]])</f>
        <v>Miller, A; Arnold, A; Mirkes, M</v>
      </c>
    </row>
    <row r="104" spans="2:20" x14ac:dyDescent="0.25">
      <c r="B104" t="str">
        <f>Master[[#This Row],[Accession Prefix (NPGS)]]&amp;" "&amp;Master[[#This Row],[Accession Number -Assigned]]</f>
        <v>W6 59690</v>
      </c>
      <c r="C104" t="str">
        <f t="shared" si="16"/>
        <v>Collection source event</v>
      </c>
      <c r="D104" t="str">
        <f t="shared" si="17"/>
        <v>mm/dd/yyyy</v>
      </c>
      <c r="E104" s="77">
        <f>IF(IF(Master[[#This Row],[Date Collected or Developed]]="",Master[[#This Row],[Received Date -received by site]],Master[[#This Row],[Date Collected or Developed]])="","",(IF(Master[[#This Row],[Date Collected or Developed]]="",Master[[#This Row],[Received Date -received by site]],Master[[#This Row],[Date Collected or Developed]])))</f>
        <v>44012</v>
      </c>
      <c r="F104" s="76" t="str">
        <f>IF(Master[[#This Row],[Geography (Collection) -Lookup Picker in GRIN]]="","",Master[[#This Row],[Geography (Collection) -Lookup Picker in GRIN]])</f>
        <v>United States, Wyoming, Johnson</v>
      </c>
      <c r="G104" t="str">
        <f t="shared" si="18"/>
        <v>Y</v>
      </c>
      <c r="H104" s="45" t="str">
        <f>IF(Master[[#This Row],[Collecting or Acquisition Source - List]]="","",Master[[#This Row],[Collecting or Acquisition Source - List]])</f>
        <v/>
      </c>
      <c r="I104" t="str">
        <f>IF(Master[[#This Row],[Inventory Type - Lookup Picker]]="","",Master[[#This Row],[Inventory Type - Lookup Picker]])</f>
        <v>SD</v>
      </c>
      <c r="J104" s="4">
        <f>IF(Master[[#This Row],[Number Plants Sampled]]="","",Master[[#This Row],[Number Plants Sampled]])</f>
        <v>1150</v>
      </c>
      <c r="K104" s="4" t="str">
        <f>IF(Master[[#This Row],[Environment Description]]="","",Master[[#This Row],[Environment Description]])</f>
        <v>Grazed</v>
      </c>
      <c r="L104" s="4" t="str">
        <f>IF(Master[[#This Row],[Collector Verbatim Locality]]="","",Master[[#This Row],[Collector Verbatim Locality]])</f>
        <v>/ / From the town of Buffalo, drive about 19 miles Southeast on I90 E, take exit 77 onto Dry Creek Road. Head Northwest on Dry Creek Road for 2.1 miles, then turn right through the gate and continue about 0.3 miles to site. Collection within 100 feet on both sides of road.</v>
      </c>
      <c r="M104" s="4">
        <f>IF(Master[[#This Row],[Elevation (meters)]]=0,"",Master[[#This Row],[Elevation (meters)]])</f>
        <v>1392.6312</v>
      </c>
      <c r="N104" s="55">
        <f>IF(Master[[#This Row],[Latitude -decimal degrees]]="","",Master[[#This Row],[Latitude -decimal degrees]])</f>
        <v>44.240299999999998</v>
      </c>
      <c r="O104" s="55">
        <f>IF(Master[[#This Row],[Longitude -decimal degrees]]="","",Master[[#This Row],[Longitude -decimal degrees]])</f>
        <v>-106.38482</v>
      </c>
      <c r="P104" s="5" t="str">
        <f>IF(Master[[#This Row],[Georeference Datum]]="","",Master[[#This Row],[Georeference Datum]])</f>
        <v>NAD83</v>
      </c>
      <c r="Q104" s="5" t="str">
        <f>IF(Master[[#This Row],[Georeference Protocol - Lookup Picker]]="","",Master[[#This Row],[Georeference Protocol - Lookup Picker]])</f>
        <v>Lat/lon determined by GPS</v>
      </c>
      <c r="R104" s="5" t="str">
        <f>IF(Master[[#This Row],[Associated Species]]="","",Master[[#This Row],[Associated Species]])</f>
        <v>Krascheninnikovia lanata:Sphaeralcea coccinea:Bromus tectorum:Comandra umbellata:Gutierrezia sarothrae:Bouteloua gracilis:Arenaria hookeri:Hesperostipa comata:Artemisia tridentata:Chrysothamnus viscidiflorus:Artemisia frigida:Agropyron spicatum</v>
      </c>
      <c r="S104" t="str">
        <f t="shared" si="19"/>
        <v>Y</v>
      </c>
      <c r="T104" s="5" t="str">
        <f>IF(Master[[#This Row],[Note (Accession Source - Collector)]]="","",Master[[#This Row],[Note (Accession Source - Collector)]])</f>
        <v>Miller, A; Arnold, A; Mirkes, M</v>
      </c>
    </row>
    <row r="105" spans="2:20" x14ac:dyDescent="0.25">
      <c r="B105" t="str">
        <f>Master[[#This Row],[Accession Prefix (NPGS)]]&amp;" "&amp;Master[[#This Row],[Accession Number -Assigned]]</f>
        <v>W6 59691</v>
      </c>
      <c r="C105" t="str">
        <f t="shared" si="16"/>
        <v>Collection source event</v>
      </c>
      <c r="D105" t="str">
        <f t="shared" si="17"/>
        <v>mm/dd/yyyy</v>
      </c>
      <c r="E105" s="77">
        <f>IF(IF(Master[[#This Row],[Date Collected or Developed]]="",Master[[#This Row],[Received Date -received by site]],Master[[#This Row],[Date Collected or Developed]])="","",(IF(Master[[#This Row],[Date Collected or Developed]]="",Master[[#This Row],[Received Date -received by site]],Master[[#This Row],[Date Collected or Developed]])))</f>
        <v>44019</v>
      </c>
      <c r="F105" s="76" t="str">
        <f>IF(Master[[#This Row],[Geography (Collection) -Lookup Picker in GRIN]]="","",Master[[#This Row],[Geography (Collection) -Lookup Picker in GRIN]])</f>
        <v>United States, Wyoming, Johnson</v>
      </c>
      <c r="G105" t="str">
        <f t="shared" si="18"/>
        <v>Y</v>
      </c>
      <c r="H105" s="45" t="str">
        <f>IF(Master[[#This Row],[Collecting or Acquisition Source - List]]="","",Master[[#This Row],[Collecting or Acquisition Source - List]])</f>
        <v/>
      </c>
      <c r="I105" t="str">
        <f>IF(Master[[#This Row],[Inventory Type - Lookup Picker]]="","",Master[[#This Row],[Inventory Type - Lookup Picker]])</f>
        <v>SD</v>
      </c>
      <c r="J105" s="4">
        <f>IF(Master[[#This Row],[Number Plants Sampled]]="","",Master[[#This Row],[Number Plants Sampled]])</f>
        <v>837</v>
      </c>
      <c r="K105" s="4" t="str">
        <f>IF(Master[[#This Row],[Environment Description]]="","",Master[[#This Row],[Environment Description]])</f>
        <v>Grazed</v>
      </c>
      <c r="L105" s="4" t="str">
        <f>IF(Master[[#This Row],[Collector Verbatim Locality]]="","",Master[[#This Row],[Collector Verbatim Locality]])</f>
        <v>/ TW Road/ From Buffalo, WY, follow I-90 Business Loop east for three miles to 204/TW road. Take TW road for 10 miles east. Seeds collected within three acres of the road on the north side.</v>
      </c>
      <c r="M105" s="4">
        <f>IF(Master[[#This Row],[Elevation (meters)]]=0,"",Master[[#This Row],[Elevation (meters)]])</f>
        <v>1423.7208000000001</v>
      </c>
      <c r="N105" s="55">
        <f>IF(Master[[#This Row],[Latitude -decimal degrees]]="","",Master[[#This Row],[Latitude -decimal degrees]])</f>
        <v>44.308410000000002</v>
      </c>
      <c r="O105" s="55">
        <f>IF(Master[[#This Row],[Longitude -decimal degrees]]="","",Master[[#This Row],[Longitude -decimal degrees]])</f>
        <v>-106.49035000000001</v>
      </c>
      <c r="P105" s="5" t="str">
        <f>IF(Master[[#This Row],[Georeference Datum]]="","",Master[[#This Row],[Georeference Datum]])</f>
        <v>NAD83</v>
      </c>
      <c r="Q105" s="5" t="str">
        <f>IF(Master[[#This Row],[Georeference Protocol - Lookup Picker]]="","",Master[[#This Row],[Georeference Protocol - Lookup Picker]])</f>
        <v>Lat/lon determined by GPS</v>
      </c>
      <c r="R105" s="5" t="str">
        <f>IF(Master[[#This Row],[Associated Species]]="","",Master[[#This Row],[Associated Species]])</f>
        <v>Bromus tectorum:Tragopogon dubius:Artemisia tridentata:Artemisia frigida:Artemisia frigida:Gutierrezia sarothrae:Hesperostipa comata:Erigeron caespitosus:Achillea millefolium:Arenaria hookeri:Grindelia squarrosa:Chrysothamnus viscidiflorus:Pascopyrum smithii:Bouteloua gracilis</v>
      </c>
      <c r="S105" t="str">
        <f t="shared" si="19"/>
        <v>Y</v>
      </c>
      <c r="T105" s="5" t="str">
        <f>IF(Master[[#This Row],[Note (Accession Source - Collector)]]="","",Master[[#This Row],[Note (Accession Source - Collector)]])</f>
        <v>Miller, A; Arnold, A; Mirkes, M</v>
      </c>
    </row>
    <row r="106" spans="2:20" x14ac:dyDescent="0.25">
      <c r="B106" t="str">
        <f>Master[[#This Row],[Accession Prefix (NPGS)]]&amp;" "&amp;Master[[#This Row],[Accession Number -Assigned]]</f>
        <v>W6 59692</v>
      </c>
      <c r="C106" t="str">
        <f t="shared" si="16"/>
        <v>Collection source event</v>
      </c>
      <c r="D106" t="str">
        <f t="shared" si="17"/>
        <v>mm/dd/yyyy</v>
      </c>
      <c r="E106" s="77">
        <f>IF(IF(Master[[#This Row],[Date Collected or Developed]]="",Master[[#This Row],[Received Date -received by site]],Master[[#This Row],[Date Collected or Developed]])="","",(IF(Master[[#This Row],[Date Collected or Developed]]="",Master[[#This Row],[Received Date -received by site]],Master[[#This Row],[Date Collected or Developed]])))</f>
        <v>44020</v>
      </c>
      <c r="F106" s="76" t="str">
        <f>IF(Master[[#This Row],[Geography (Collection) -Lookup Picker in GRIN]]="","",Master[[#This Row],[Geography (Collection) -Lookup Picker in GRIN]])</f>
        <v>United States, Wyoming, Johnson</v>
      </c>
      <c r="G106" t="str">
        <f t="shared" si="18"/>
        <v>Y</v>
      </c>
      <c r="H106" s="45" t="str">
        <f>IF(Master[[#This Row],[Collecting or Acquisition Source - List]]="","",Master[[#This Row],[Collecting or Acquisition Source - List]])</f>
        <v/>
      </c>
      <c r="I106" t="str">
        <f>IF(Master[[#This Row],[Inventory Type - Lookup Picker]]="","",Master[[#This Row],[Inventory Type - Lookup Picker]])</f>
        <v>SD</v>
      </c>
      <c r="J106" s="4">
        <f>IF(Master[[#This Row],[Number Plants Sampled]]="","",Master[[#This Row],[Number Plants Sampled]])</f>
        <v>1565</v>
      </c>
      <c r="K106" s="4" t="str">
        <f>IF(Master[[#This Row],[Environment Description]]="","",Master[[#This Row],[Environment Description]])</f>
        <v>None</v>
      </c>
      <c r="L106" s="4" t="str">
        <f>IF(Master[[#This Row],[Collector Verbatim Locality]]="","",Master[[#This Row],[Collector Verbatim Locality]])</f>
        <v>Middle Fork Powder River Management Area/ Outlaw Cave/ From Interstate 90, take exit 254 for Kaycee. Head west on Highway 191 for about 1 mile. Turn left onto Highway 190W for about 16 miles to Barnum. Turn left onto Bar C Road and continue for 21.1 miles (following signs for Middle Fork Powder River Management Area) . This road is an improved all-weather access road and travels directly through the headquarters of the Hole-in-the-Wall ranch. Collection was taken just past the fence entrance within 200 feet of either side of road, along 500 feet of road.</v>
      </c>
      <c r="M106" s="4">
        <f>IF(Master[[#This Row],[Elevation (meters)]]=0,"",Master[[#This Row],[Elevation (meters)]])</f>
        <v>1614.8304000000001</v>
      </c>
      <c r="N106" s="55">
        <f>IF(Master[[#This Row],[Latitude -decimal degrees]]="","",Master[[#This Row],[Latitude -decimal degrees]])</f>
        <v>43.59693</v>
      </c>
      <c r="O106" s="55">
        <f>IF(Master[[#This Row],[Longitude -decimal degrees]]="","",Master[[#This Row],[Longitude -decimal degrees]])</f>
        <v>-106.89928</v>
      </c>
      <c r="P106" s="5" t="str">
        <f>IF(Master[[#This Row],[Georeference Datum]]="","",Master[[#This Row],[Georeference Datum]])</f>
        <v>NAD83</v>
      </c>
      <c r="Q106" s="5" t="str">
        <f>IF(Master[[#This Row],[Georeference Protocol - Lookup Picker]]="","",Master[[#This Row],[Georeference Protocol - Lookup Picker]])</f>
        <v>Lat/lon determined by GPS</v>
      </c>
      <c r="R106" s="5" t="str">
        <f>IF(Master[[#This Row],[Associated Species]]="","",Master[[#This Row],[Associated Species]])</f>
        <v>Gutierrezia sarothrae:Hesperostipa comata:Bromus tectorum:Grindelia squarrosa:Artemisia frigida:Sphaeralcea coccinea:Tragopogon dubius:Yucca glauca:Astragalus purshii:Psoralidium tenuiflorum:Lygodesmia texana</v>
      </c>
      <c r="S106" t="str">
        <f t="shared" si="19"/>
        <v>Y</v>
      </c>
      <c r="T106" s="5" t="str">
        <f>IF(Master[[#This Row],[Note (Accession Source - Collector)]]="","",Master[[#This Row],[Note (Accession Source - Collector)]])</f>
        <v>Miller, A; Arnold, A; Mirkes, M</v>
      </c>
    </row>
    <row r="107" spans="2:20" x14ac:dyDescent="0.25">
      <c r="B107" t="str">
        <f>Master[[#This Row],[Accession Prefix (NPGS)]]&amp;" "&amp;Master[[#This Row],[Accession Number -Assigned]]</f>
        <v>W6 59693</v>
      </c>
      <c r="C107" t="str">
        <f t="shared" si="16"/>
        <v>Collection source event</v>
      </c>
      <c r="D107" t="str">
        <f t="shared" si="17"/>
        <v>mm/dd/yyyy</v>
      </c>
      <c r="E107" s="77">
        <f>IF(IF(Master[[#This Row],[Date Collected or Developed]]="",Master[[#This Row],[Received Date -received by site]],Master[[#This Row],[Date Collected or Developed]])="","",(IF(Master[[#This Row],[Date Collected or Developed]]="",Master[[#This Row],[Received Date -received by site]],Master[[#This Row],[Date Collected or Developed]])))</f>
        <v>44021</v>
      </c>
      <c r="F107" s="76" t="str">
        <f>IF(Master[[#This Row],[Geography (Collection) -Lookup Picker in GRIN]]="","",Master[[#This Row],[Geography (Collection) -Lookup Picker in GRIN]])</f>
        <v>United States, Wyoming, Johnson</v>
      </c>
      <c r="G107" t="str">
        <f t="shared" si="18"/>
        <v>Y</v>
      </c>
      <c r="H107" s="45" t="str">
        <f>IF(Master[[#This Row],[Collecting or Acquisition Source - List]]="","",Master[[#This Row],[Collecting or Acquisition Source - List]])</f>
        <v/>
      </c>
      <c r="I107" t="str">
        <f>IF(Master[[#This Row],[Inventory Type - Lookup Picker]]="","",Master[[#This Row],[Inventory Type - Lookup Picker]])</f>
        <v>SD</v>
      </c>
      <c r="J107" s="4">
        <f>IF(Master[[#This Row],[Number Plants Sampled]]="","",Master[[#This Row],[Number Plants Sampled]])</f>
        <v>720</v>
      </c>
      <c r="K107" s="4" t="str">
        <f>IF(Master[[#This Row],[Environment Description]]="","",Master[[#This Row],[Environment Description]])</f>
        <v>Grazed</v>
      </c>
      <c r="L107" s="4" t="str">
        <f>IF(Master[[#This Row],[Collector Verbatim Locality]]="","",Master[[#This Row],[Collector Verbatim Locality]])</f>
        <v>Dry Creek Petrified Tree Environmental Education Area/ N/A/ To access the area from Interstate 90, take the Red Hills/Tipperary Road (Exit 65). Cross under the interstate and head northeast on Tipperary Road for 6 miles. Turn left onto the Petrified Tree access road, directly across the road from a ranch house. This two-track will cross a cattle guard and continue about 0.6 mile to the parking area. Walk along trail to GPS point, on downhill side of trail.</v>
      </c>
      <c r="M107" s="4">
        <f>IF(Master[[#This Row],[Elevation (meters)]]=0,"",Master[[#This Row],[Elevation (meters)]])</f>
        <v>1405.1280000000002</v>
      </c>
      <c r="N107" s="55">
        <f>IF(Master[[#This Row],[Latitude -decimal degrees]]="","",Master[[#This Row],[Latitude -decimal degrees]])</f>
        <v>44.350610000000003</v>
      </c>
      <c r="O107" s="55">
        <f>IF(Master[[#This Row],[Longitude -decimal degrees]]="","",Master[[#This Row],[Longitude -decimal degrees]])</f>
        <v>-106.5326</v>
      </c>
      <c r="P107" s="5" t="str">
        <f>IF(Master[[#This Row],[Georeference Datum]]="","",Master[[#This Row],[Georeference Datum]])</f>
        <v>NAD83</v>
      </c>
      <c r="Q107" s="5" t="str">
        <f>IF(Master[[#This Row],[Georeference Protocol - Lookup Picker]]="","",Master[[#This Row],[Georeference Protocol - Lookup Picker]])</f>
        <v>Lat/lon determined by GPS</v>
      </c>
      <c r="R107" s="5" t="str">
        <f>IF(Master[[#This Row],[Associated Species]]="","",Master[[#This Row],[Associated Species]])</f>
        <v>Gutierrezia sarothrae:Artemisia tridentata:Erigeron caespitosus:Vicia americana:Calochortus nuttallii:Bromus tectorum:Bromus tectorum:Sphaeralcea coccinea:Melilotus officinalis:Hesperostipa comata:Pascopyrum smithii:Artemisia frigida:Opuntia polyacantha:Krascheninnikovia lanata:Pediomelum esculentum:Arenaria hookeri:Allium textile</v>
      </c>
      <c r="S107" t="str">
        <f t="shared" si="19"/>
        <v>Y</v>
      </c>
      <c r="T107" s="5" t="str">
        <f>IF(Master[[#This Row],[Note (Accession Source - Collector)]]="","",Master[[#This Row],[Note (Accession Source - Collector)]])</f>
        <v>Miller, A; Arnold, A; Mirkes, M</v>
      </c>
    </row>
    <row r="108" spans="2:20" x14ac:dyDescent="0.25">
      <c r="B108" t="str">
        <f>Master[[#This Row],[Accession Prefix (NPGS)]]&amp;" "&amp;Master[[#This Row],[Accession Number -Assigned]]</f>
        <v>W6 59694</v>
      </c>
      <c r="C108" t="str">
        <f t="shared" si="16"/>
        <v>Collection source event</v>
      </c>
      <c r="D108" t="str">
        <f t="shared" si="17"/>
        <v>mm/dd/yyyy</v>
      </c>
      <c r="E108" s="77">
        <f>IF(IF(Master[[#This Row],[Date Collected or Developed]]="",Master[[#This Row],[Received Date -received by site]],Master[[#This Row],[Date Collected or Developed]])="","",(IF(Master[[#This Row],[Date Collected or Developed]]="",Master[[#This Row],[Received Date -received by site]],Master[[#This Row],[Date Collected or Developed]])))</f>
        <v>44025</v>
      </c>
      <c r="F108" s="76" t="str">
        <f>IF(Master[[#This Row],[Geography (Collection) -Lookup Picker in GRIN]]="","",Master[[#This Row],[Geography (Collection) -Lookup Picker in GRIN]])</f>
        <v>United States, Wyoming, Johnson</v>
      </c>
      <c r="G108" t="str">
        <f t="shared" si="18"/>
        <v>Y</v>
      </c>
      <c r="H108" s="45" t="str">
        <f>IF(Master[[#This Row],[Collecting or Acquisition Source - List]]="","",Master[[#This Row],[Collecting or Acquisition Source - List]])</f>
        <v/>
      </c>
      <c r="I108" t="str">
        <f>IF(Master[[#This Row],[Inventory Type - Lookup Picker]]="","",Master[[#This Row],[Inventory Type - Lookup Picker]])</f>
        <v>SD</v>
      </c>
      <c r="J108" s="4">
        <f>IF(Master[[#This Row],[Number Plants Sampled]]="","",Master[[#This Row],[Number Plants Sampled]])</f>
        <v>715</v>
      </c>
      <c r="K108" s="4" t="str">
        <f>IF(Master[[#This Row],[Environment Description]]="","",Master[[#This Row],[Environment Description]])</f>
        <v/>
      </c>
      <c r="L108" s="4" t="str">
        <f>IF(Master[[#This Row],[Collector Verbatim Locality]]="","",Master[[#This Row],[Collector Verbatim Locality]])</f>
        <v>/ Schoonover Road/ From Buffalo, head east on I90 E for about 19 miles, then exit Southeast onto Schoonover road, and continue for 13.1 miles. Collection taken within 200 feet of both sides of the road.</v>
      </c>
      <c r="M108" s="4">
        <f>IF(Master[[#This Row],[Elevation (meters)]]=0,"",Master[[#This Row],[Elevation (meters)]])</f>
        <v>1338.9864</v>
      </c>
      <c r="N108" s="55">
        <f>IF(Master[[#This Row],[Latitude -decimal degrees]]="","",Master[[#This Row],[Latitude -decimal degrees]])</f>
        <v>44.14734</v>
      </c>
      <c r="O108" s="55">
        <f>IF(Master[[#This Row],[Longitude -decimal degrees]]="","",Master[[#This Row],[Longitude -decimal degrees]])</f>
        <v>-106.18277999999999</v>
      </c>
      <c r="P108" s="5" t="str">
        <f>IF(Master[[#This Row],[Georeference Datum]]="","",Master[[#This Row],[Georeference Datum]])</f>
        <v>NAD83</v>
      </c>
      <c r="Q108" s="5" t="str">
        <f>IF(Master[[#This Row],[Georeference Protocol - Lookup Picker]]="","",Master[[#This Row],[Georeference Protocol - Lookup Picker]])</f>
        <v>Lat/lon determined by GPS</v>
      </c>
      <c r="R108" s="5" t="str">
        <f>IF(Master[[#This Row],[Associated Species]]="","",Master[[#This Row],[Associated Species]])</f>
        <v>Hesperostipa comata:Opuntia polyacantha:Artemisia frigida:Gutierrezia sarothrae:Bromus tectorum:Artemisia tridentata:Psoralidium tenuiflorum:Chrysothamnus viscidiflorus:Krascheninnikovia lanata:Heterotheca villosa:Arenaria hookeri:Bromus japonicus:Agropyron cristatum:Yucca glauca</v>
      </c>
      <c r="S108" t="str">
        <f t="shared" si="19"/>
        <v>Y</v>
      </c>
      <c r="T108" s="5" t="str">
        <f>IF(Master[[#This Row],[Note (Accession Source - Collector)]]="","",Master[[#This Row],[Note (Accession Source - Collector)]])</f>
        <v>Miller, A; Arnold, A; Mirkes, M</v>
      </c>
    </row>
    <row r="109" spans="2:20" x14ac:dyDescent="0.25">
      <c r="B109" t="str">
        <f>Master[[#This Row],[Accession Prefix (NPGS)]]&amp;" "&amp;Master[[#This Row],[Accession Number -Assigned]]</f>
        <v>W6 59695</v>
      </c>
      <c r="C109" t="str">
        <f t="shared" si="16"/>
        <v>Collection source event</v>
      </c>
      <c r="D109" t="str">
        <f t="shared" si="17"/>
        <v>mm/dd/yyyy</v>
      </c>
      <c r="E109" s="77">
        <f>IF(IF(Master[[#This Row],[Date Collected or Developed]]="",Master[[#This Row],[Received Date -received by site]],Master[[#This Row],[Date Collected or Developed]])="","",(IF(Master[[#This Row],[Date Collected or Developed]]="",Master[[#This Row],[Received Date -received by site]],Master[[#This Row],[Date Collected or Developed]])))</f>
        <v>44026</v>
      </c>
      <c r="F109" s="76" t="str">
        <f>IF(Master[[#This Row],[Geography (Collection) -Lookup Picker in GRIN]]="","",Master[[#This Row],[Geography (Collection) -Lookup Picker in GRIN]])</f>
        <v>United States, Wyoming, Campbell</v>
      </c>
      <c r="G109" t="str">
        <f t="shared" si="18"/>
        <v>Y</v>
      </c>
      <c r="H109" s="45" t="str">
        <f>IF(Master[[#This Row],[Collecting or Acquisition Source - List]]="","",Master[[#This Row],[Collecting or Acquisition Source - List]])</f>
        <v/>
      </c>
      <c r="I109" t="str">
        <f>IF(Master[[#This Row],[Inventory Type - Lookup Picker]]="","",Master[[#This Row],[Inventory Type - Lookup Picker]])</f>
        <v>SD</v>
      </c>
      <c r="J109" s="4">
        <f>IF(Master[[#This Row],[Number Plants Sampled]]="","",Master[[#This Row],[Number Plants Sampled]])</f>
        <v>964</v>
      </c>
      <c r="K109" s="4" t="str">
        <f>IF(Master[[#This Row],[Environment Description]]="","",Master[[#This Row],[Environment Description]])</f>
        <v>Grazed</v>
      </c>
      <c r="L109" s="4" t="str">
        <f>IF(Master[[#This Row],[Collector Verbatim Locality]]="","",Master[[#This Row],[Collector Verbatim Locality]])</f>
        <v>Thunder Basin National Grassland/ N/A/ From Wright, head south on WY-59/Douglas Hwy. Turn Left to go East onto WY-450 E for 15.5 miles. Turn Right (South) onto School Creek Road and follow road for about 8.6 miles to T intersection, then turn right and continue for about 1000 ft. Collections took place on both sides of road. Collections within 300 feet on the South side of road, and on North side of road from flat grassy area continuing to the top of the plateaus and hillslopes.</v>
      </c>
      <c r="M109" s="4">
        <f>IF(Master[[#This Row],[Elevation (meters)]]=0,"",Master[[#This Row],[Elevation (meters)]])</f>
        <v>1493.2152000000001</v>
      </c>
      <c r="N109" s="55">
        <f>IF(Master[[#This Row],[Latitude -decimal degrees]]="","",Master[[#This Row],[Latitude -decimal degrees]])</f>
        <v>43.572519999999997</v>
      </c>
      <c r="O109" s="55">
        <f>IF(Master[[#This Row],[Longitude -decimal degrees]]="","",Master[[#This Row],[Longitude -decimal degrees]])</f>
        <v>-105.16502</v>
      </c>
      <c r="P109" s="5" t="str">
        <f>IF(Master[[#This Row],[Georeference Datum]]="","",Master[[#This Row],[Georeference Datum]])</f>
        <v>NAD83</v>
      </c>
      <c r="Q109" s="5" t="str">
        <f>IF(Master[[#This Row],[Georeference Protocol - Lookup Picker]]="","",Master[[#This Row],[Georeference Protocol - Lookup Picker]])</f>
        <v>Lat/lon determined by GPS</v>
      </c>
      <c r="R109" s="5" t="str">
        <f>IF(Master[[#This Row],[Associated Species]]="","",Master[[#This Row],[Associated Species]])</f>
        <v>Achillea millefolium:Bromus tectorum:Artemisia tridentata:Opuntia polyacantha:Agropyron cristatum:Artemisia frigida:Sphaeralcea coccinea:Bromus japonicus:Tragopogon dubius</v>
      </c>
      <c r="S109" t="str">
        <f t="shared" si="19"/>
        <v>Y</v>
      </c>
      <c r="T109" s="5" t="str">
        <f>IF(Master[[#This Row],[Note (Accession Source - Collector)]]="","",Master[[#This Row],[Note (Accession Source - Collector)]])</f>
        <v>Miller, A; Arnold, A; Mirkes, M</v>
      </c>
    </row>
    <row r="110" spans="2:20" x14ac:dyDescent="0.25">
      <c r="B110" t="str">
        <f>Master[[#This Row],[Accession Prefix (NPGS)]]&amp;" "&amp;Master[[#This Row],[Accession Number -Assigned]]</f>
        <v>W6 59696</v>
      </c>
      <c r="C110" t="str">
        <f t="shared" si="16"/>
        <v>Collection source event</v>
      </c>
      <c r="D110" t="str">
        <f t="shared" si="17"/>
        <v>mm/dd/yyyy</v>
      </c>
      <c r="E110" s="77">
        <f>IF(IF(Master[[#This Row],[Date Collected or Developed]]="",Master[[#This Row],[Received Date -received by site]],Master[[#This Row],[Date Collected or Developed]])="","",(IF(Master[[#This Row],[Date Collected or Developed]]="",Master[[#This Row],[Received Date -received by site]],Master[[#This Row],[Date Collected or Developed]])))</f>
        <v>44027</v>
      </c>
      <c r="F110" s="76" t="str">
        <f>IF(Master[[#This Row],[Geography (Collection) -Lookup Picker in GRIN]]="","",Master[[#This Row],[Geography (Collection) -Lookup Picker in GRIN]])</f>
        <v>United States, Wyoming, Natrona</v>
      </c>
      <c r="G110" t="str">
        <f t="shared" si="18"/>
        <v>Y</v>
      </c>
      <c r="H110" s="45" t="str">
        <f>IF(Master[[#This Row],[Collecting or Acquisition Source - List]]="","",Master[[#This Row],[Collecting or Acquisition Source - List]])</f>
        <v/>
      </c>
      <c r="I110" t="str">
        <f>IF(Master[[#This Row],[Inventory Type - Lookup Picker]]="","",Master[[#This Row],[Inventory Type - Lookup Picker]])</f>
        <v>SD</v>
      </c>
      <c r="J110" s="4">
        <f>IF(Master[[#This Row],[Number Plants Sampled]]="","",Master[[#This Row],[Number Plants Sampled]])</f>
        <v>624</v>
      </c>
      <c r="K110" s="4" t="str">
        <f>IF(Master[[#This Row],[Environment Description]]="","",Master[[#This Row],[Environment Description]])</f>
        <v>Grazed</v>
      </c>
      <c r="L110" s="4" t="str">
        <f>IF(Master[[#This Row],[Collector Verbatim Locality]]="","",Master[[#This Row],[Collector Verbatim Locality]])</f>
        <v>/ McDougal Gulch/ From Casper, head Southwest on WY-220 for about 48 miles. Turn right (Northwest) onto N Dry Creek Road and continue for 17 miles. Turn right onto dirt road and continue across bridge at McDougal Gulch. Park in parking area. Seed collected from 10 acres to the east of the road.</v>
      </c>
      <c r="M110" s="4">
        <f>IF(Master[[#This Row],[Elevation (meters)]]=0,"",Master[[#This Row],[Elevation (meters)]])</f>
        <v>2086.6608000000001</v>
      </c>
      <c r="N110" s="55">
        <f>IF(Master[[#This Row],[Latitude -decimal degrees]]="","",Master[[#This Row],[Latitude -decimal degrees]])</f>
        <v>42.700060000000001</v>
      </c>
      <c r="O110" s="55">
        <f>IF(Master[[#This Row],[Longitude -decimal degrees]]="","",Master[[#This Row],[Longitude -decimal degrees]])</f>
        <v>-107.3147</v>
      </c>
      <c r="P110" s="5" t="str">
        <f>IF(Master[[#This Row],[Georeference Datum]]="","",Master[[#This Row],[Georeference Datum]])</f>
        <v>NAD83</v>
      </c>
      <c r="Q110" s="5" t="str">
        <f>IF(Master[[#This Row],[Georeference Protocol - Lookup Picker]]="","",Master[[#This Row],[Georeference Protocol - Lookup Picker]])</f>
        <v>Lat/lon determined by GPS</v>
      </c>
      <c r="R110" s="5" t="str">
        <f>IF(Master[[#This Row],[Associated Species]]="","",Master[[#This Row],[Associated Species]])</f>
        <v>Artemisia tridentata:Chrysothamnus viscidiflorus:Opuntia polyacantha:Bouteloua gracilis:Gutierrezia sarothrae:Artemisia frigida:Erigeron caespitosus</v>
      </c>
      <c r="S110" t="str">
        <f t="shared" si="19"/>
        <v>Y</v>
      </c>
      <c r="T110" s="5" t="str">
        <f>IF(Master[[#This Row],[Note (Accession Source - Collector)]]="","",Master[[#This Row],[Note (Accession Source - Collector)]])</f>
        <v>Miller, A; Arnold, A; Mirkes, M</v>
      </c>
    </row>
    <row r="111" spans="2:20" x14ac:dyDescent="0.25">
      <c r="B111" t="str">
        <f>Master[[#This Row],[Accession Prefix (NPGS)]]&amp;" "&amp;Master[[#This Row],[Accession Number -Assigned]]</f>
        <v>W6 59697</v>
      </c>
      <c r="C111" t="str">
        <f t="shared" si="16"/>
        <v>Collection source event</v>
      </c>
      <c r="D111" t="str">
        <f t="shared" si="17"/>
        <v>mm/dd/yyyy</v>
      </c>
      <c r="E111" s="77">
        <f>IF(IF(Master[[#This Row],[Date Collected or Developed]]="",Master[[#This Row],[Received Date -received by site]],Master[[#This Row],[Date Collected or Developed]])="","",(IF(Master[[#This Row],[Date Collected or Developed]]="",Master[[#This Row],[Received Date -received by site]],Master[[#This Row],[Date Collected or Developed]])))</f>
        <v>44027</v>
      </c>
      <c r="F111" s="76" t="str">
        <f>IF(Master[[#This Row],[Geography (Collection) -Lookup Picker in GRIN]]="","",Master[[#This Row],[Geography (Collection) -Lookup Picker in GRIN]])</f>
        <v>United States, Wyoming, Washakie</v>
      </c>
      <c r="G111" t="str">
        <f t="shared" si="18"/>
        <v>Y</v>
      </c>
      <c r="H111" s="45" t="str">
        <f>IF(Master[[#This Row],[Collecting or Acquisition Source - List]]="","",Master[[#This Row],[Collecting or Acquisition Source - List]])</f>
        <v/>
      </c>
      <c r="I111" t="str">
        <f>IF(Master[[#This Row],[Inventory Type - Lookup Picker]]="","",Master[[#This Row],[Inventory Type - Lookup Picker]])</f>
        <v>SD</v>
      </c>
      <c r="J111" s="4">
        <f>IF(Master[[#This Row],[Number Plants Sampled]]="","",Master[[#This Row],[Number Plants Sampled]])</f>
        <v>659</v>
      </c>
      <c r="K111" s="4" t="str">
        <f>IF(Master[[#This Row],[Environment Description]]="","",Master[[#This Row],[Environment Description]])</f>
        <v>None</v>
      </c>
      <c r="L111" s="4" t="str">
        <f>IF(Master[[#This Row],[Collector Verbatim Locality]]="","",Master[[#This Row],[Collector Verbatim Locality]])</f>
        <v>Robert's Draw/ Rd 321/ From Casper, head Southwest on WY-220 W for about 48 miles. Turn right (Northwest) onto N Dry Creek Road for 7.4 miles. As you approach the large rock formations, several hundred feet after passing through a cattle gate, turn left onto a two track leading towards the rock formations. Drive until you reach the rocks, and collect plants on East side of rock faces.</v>
      </c>
      <c r="M111" s="4">
        <f>IF(Master[[#This Row],[Elevation (meters)]]=0,"",Master[[#This Row],[Elevation (meters)]])</f>
        <v>1984.8576</v>
      </c>
      <c r="N111" s="55">
        <f>IF(Master[[#This Row],[Latitude -decimal degrees]]="","",Master[[#This Row],[Latitude -decimal degrees]])</f>
        <v>43.614460000000001</v>
      </c>
      <c r="O111" s="55">
        <f>IF(Master[[#This Row],[Longitude -decimal degrees]]="","",Master[[#This Row],[Longitude -decimal degrees]])</f>
        <v>-107.18858</v>
      </c>
      <c r="P111" s="5" t="str">
        <f>IF(Master[[#This Row],[Georeference Datum]]="","",Master[[#This Row],[Georeference Datum]])</f>
        <v>NAD83</v>
      </c>
      <c r="Q111" s="5" t="str">
        <f>IF(Master[[#This Row],[Georeference Protocol - Lookup Picker]]="","",Master[[#This Row],[Georeference Protocol - Lookup Picker]])</f>
        <v>Lat/lon determined by GPS</v>
      </c>
      <c r="R111" s="5" t="str">
        <f>IF(Master[[#This Row],[Associated Species]]="","",Master[[#This Row],[Associated Species]])</f>
        <v>Koeleria macrantha:Artemisia tridentata:Chrysothamnus viscidiflorus:Arenaria hookeri:Bromus tectorum:Gutierrezia sarothrae:Bouteloua gracilis:Juniperus scopulorum</v>
      </c>
      <c r="S111" t="str">
        <f t="shared" si="19"/>
        <v>Y</v>
      </c>
      <c r="T111" s="5" t="str">
        <f>IF(Master[[#This Row],[Note (Accession Source - Collector)]]="","",Master[[#This Row],[Note (Accession Source - Collector)]])</f>
        <v>Miller, A; Arnold, A; Mirkes, M</v>
      </c>
    </row>
    <row r="112" spans="2:20" x14ac:dyDescent="0.25">
      <c r="B112" t="str">
        <f>Master[[#This Row],[Accession Prefix (NPGS)]]&amp;" "&amp;Master[[#This Row],[Accession Number -Assigned]]</f>
        <v>W6 59698</v>
      </c>
      <c r="C112" t="str">
        <f t="shared" si="16"/>
        <v>Collection source event</v>
      </c>
      <c r="D112" t="str">
        <f t="shared" si="17"/>
        <v>mm/dd/yyyy</v>
      </c>
      <c r="E112" s="77">
        <f>IF(IF(Master[[#This Row],[Date Collected or Developed]]="",Master[[#This Row],[Received Date -received by site]],Master[[#This Row],[Date Collected or Developed]])="","",(IF(Master[[#This Row],[Date Collected or Developed]]="",Master[[#This Row],[Received Date -received by site]],Master[[#This Row],[Date Collected or Developed]])))</f>
        <v>44028</v>
      </c>
      <c r="F112" s="76" t="str">
        <f>IF(Master[[#This Row],[Geography (Collection) -Lookup Picker in GRIN]]="","",Master[[#This Row],[Geography (Collection) -Lookup Picker in GRIN]])</f>
        <v>United States, Wyoming, Natrona</v>
      </c>
      <c r="G112" t="str">
        <f t="shared" si="18"/>
        <v>Y</v>
      </c>
      <c r="H112" s="45" t="str">
        <f>IF(Master[[#This Row],[Collecting or Acquisition Source - List]]="","",Master[[#This Row],[Collecting or Acquisition Source - List]])</f>
        <v/>
      </c>
      <c r="I112" t="str">
        <f>IF(Master[[#This Row],[Inventory Type - Lookup Picker]]="","",Master[[#This Row],[Inventory Type - Lookup Picker]])</f>
        <v>SD</v>
      </c>
      <c r="J112" s="4">
        <f>IF(Master[[#This Row],[Number Plants Sampled]]="","",Master[[#This Row],[Number Plants Sampled]])</f>
        <v>507</v>
      </c>
      <c r="K112" s="4" t="str">
        <f>IF(Master[[#This Row],[Environment Description]]="","",Master[[#This Row],[Environment Description]])</f>
        <v>Grazed</v>
      </c>
      <c r="L112" s="4" t="str">
        <f>IF(Master[[#This Row],[Collector Verbatim Locality]]="","",Master[[#This Row],[Collector Verbatim Locality]])</f>
        <v>N/A/ Long Canyon Road/ From Hwy 25, about 19 miles south of Kaycee, take exit 235 onto Tisdale Mountain Road heading SW. Drive 0.4 miles and turn left to continue on Tisdale Mountain Road for 0.1 miles, then continue onto Long Canyon Road for 2.4 miles. Collected immediately along both sides of the road for 1 mile.</v>
      </c>
      <c r="M112" s="4">
        <f>IF(Master[[#This Row],[Elevation (meters)]]=0,"",Master[[#This Row],[Elevation (meters)]])</f>
        <v>1516.9896000000001</v>
      </c>
      <c r="N112" s="55">
        <f>IF(Master[[#This Row],[Latitude -decimal degrees]]="","",Master[[#This Row],[Latitude -decimal degrees]])</f>
        <v>43.459600000000002</v>
      </c>
      <c r="O112" s="55">
        <f>IF(Master[[#This Row],[Longitude -decimal degrees]]="","",Master[[#This Row],[Longitude -decimal degrees]])</f>
        <v>-106.46531</v>
      </c>
      <c r="P112" s="5" t="str">
        <f>IF(Master[[#This Row],[Georeference Datum]]="","",Master[[#This Row],[Georeference Datum]])</f>
        <v>NAD83</v>
      </c>
      <c r="Q112" s="5" t="str">
        <f>IF(Master[[#This Row],[Georeference Protocol - Lookup Picker]]="","",Master[[#This Row],[Georeference Protocol - Lookup Picker]])</f>
        <v>Lat/lon determined by GPS</v>
      </c>
      <c r="R112" s="5" t="str">
        <f>IF(Master[[#This Row],[Associated Species]]="","",Master[[#This Row],[Associated Species]])</f>
        <v>Melilotus officinalis:Bromus tectorum:Koeleria macrantha:Artemisia tridentata:Bromus japonicus:Opuntia polyacantha</v>
      </c>
      <c r="S112" t="str">
        <f t="shared" si="19"/>
        <v>Y</v>
      </c>
      <c r="T112" s="5" t="str">
        <f>IF(Master[[#This Row],[Note (Accession Source - Collector)]]="","",Master[[#This Row],[Note (Accession Source - Collector)]])</f>
        <v>Miller, A; Arnold, A; Mirkes, M</v>
      </c>
    </row>
    <row r="113" spans="2:20" x14ac:dyDescent="0.25">
      <c r="B113" t="str">
        <f>Master[[#This Row],[Accession Prefix (NPGS)]]&amp;" "&amp;Master[[#This Row],[Accession Number -Assigned]]</f>
        <v>W6 59699</v>
      </c>
      <c r="C113" t="str">
        <f t="shared" si="16"/>
        <v>Collection source event</v>
      </c>
      <c r="D113" t="str">
        <f t="shared" si="17"/>
        <v>mm/dd/yyyy</v>
      </c>
      <c r="E113" s="77">
        <f>IF(IF(Master[[#This Row],[Date Collected or Developed]]="",Master[[#This Row],[Received Date -received by site]],Master[[#This Row],[Date Collected or Developed]])="","",(IF(Master[[#This Row],[Date Collected or Developed]]="",Master[[#This Row],[Received Date -received by site]],Master[[#This Row],[Date Collected or Developed]])))</f>
        <v>44039</v>
      </c>
      <c r="F113" s="76" t="str">
        <f>IF(Master[[#This Row],[Geography (Collection) -Lookup Picker in GRIN]]="","",Master[[#This Row],[Geography (Collection) -Lookup Picker in GRIN]])</f>
        <v>United States, Wyoming, Johnson</v>
      </c>
      <c r="G113" t="str">
        <f t="shared" si="18"/>
        <v>Y</v>
      </c>
      <c r="H113" s="45" t="str">
        <f>IF(Master[[#This Row],[Collecting or Acquisition Source - List]]="","",Master[[#This Row],[Collecting or Acquisition Source - List]])</f>
        <v/>
      </c>
      <c r="I113" t="str">
        <f>IF(Master[[#This Row],[Inventory Type - Lookup Picker]]="","",Master[[#This Row],[Inventory Type - Lookup Picker]])</f>
        <v>SD</v>
      </c>
      <c r="J113" s="4">
        <f>IF(Master[[#This Row],[Number Plants Sampled]]="","",Master[[#This Row],[Number Plants Sampled]])</f>
        <v>1037</v>
      </c>
      <c r="K113" s="4" t="str">
        <f>IF(Master[[#This Row],[Environment Description]]="","",Master[[#This Row],[Environment Description]])</f>
        <v>None</v>
      </c>
      <c r="L113" s="4" t="str">
        <f>IF(Master[[#This Row],[Collector Verbatim Locality]]="","",Master[[#This Row],[Collector Verbatim Locality]])</f>
        <v>Gardner Mountain/ Slip Road/ From Kaycee, head Northwest on WY-191 N for 14 miles, then take a slight left (West) onto Slip Road for 1.4 miles. Collection taken on North side of road up to fenceline.</v>
      </c>
      <c r="M113" s="4">
        <f>IF(Master[[#This Row],[Elevation (meters)]]=0,"",Master[[#This Row],[Elevation (meters)]])</f>
        <v>1747.7232000000001</v>
      </c>
      <c r="N113" s="55">
        <f>IF(Master[[#This Row],[Latitude -decimal degrees]]="","",Master[[#This Row],[Latitude -decimal degrees]])</f>
        <v>43.837730000000001</v>
      </c>
      <c r="O113" s="55">
        <f>IF(Master[[#This Row],[Longitude -decimal degrees]]="","",Master[[#This Row],[Longitude -decimal degrees]])</f>
        <v>-106.86485</v>
      </c>
      <c r="P113" s="5" t="str">
        <f>IF(Master[[#This Row],[Georeference Datum]]="","",Master[[#This Row],[Georeference Datum]])</f>
        <v>NAD83</v>
      </c>
      <c r="Q113" s="5" t="str">
        <f>IF(Master[[#This Row],[Georeference Protocol - Lookup Picker]]="","",Master[[#This Row],[Georeference Protocol - Lookup Picker]])</f>
        <v>Lat/lon determined by GPS</v>
      </c>
      <c r="R113" s="5" t="str">
        <f>IF(Master[[#This Row],[Associated Species]]="","",Master[[#This Row],[Associated Species]])</f>
        <v>Psoralidium tenuiflorum:Yucca glauca:Bouteloua gracilis:Artemisia frigida:Gutierrezia sarothrae:Artemisia tridentata:Hesperostipa comata:Bromus tectorum:Heterotheca villosa:Sphaeralcea coccinea:Grindelia squarrosa:Pseudoroegneria spicata</v>
      </c>
      <c r="S113" t="str">
        <f t="shared" si="19"/>
        <v>Y</v>
      </c>
      <c r="T113" s="5" t="str">
        <f>IF(Master[[#This Row],[Note (Accession Source - Collector)]]="","",Master[[#This Row],[Note (Accession Source - Collector)]])</f>
        <v>Miller, A; Arnold, A; Mirkes, M</v>
      </c>
    </row>
    <row r="114" spans="2:20" x14ac:dyDescent="0.25">
      <c r="B114" t="str">
        <f>Master[[#This Row],[Accession Prefix (NPGS)]]&amp;" "&amp;Master[[#This Row],[Accession Number -Assigned]]</f>
        <v>W6 59700</v>
      </c>
      <c r="C114" t="str">
        <f t="shared" si="16"/>
        <v>Collection source event</v>
      </c>
      <c r="D114" t="str">
        <f t="shared" si="17"/>
        <v>mm/dd/yyyy</v>
      </c>
      <c r="E114" s="77">
        <f>IF(IF(Master[[#This Row],[Date Collected or Developed]]="",Master[[#This Row],[Received Date -received by site]],Master[[#This Row],[Date Collected or Developed]])="","",(IF(Master[[#This Row],[Date Collected or Developed]]="",Master[[#This Row],[Received Date -received by site]],Master[[#This Row],[Date Collected or Developed]])))</f>
        <v>44046</v>
      </c>
      <c r="F114" s="76" t="str">
        <f>IF(Master[[#This Row],[Geography (Collection) -Lookup Picker in GRIN]]="","",Master[[#This Row],[Geography (Collection) -Lookup Picker in GRIN]])</f>
        <v>United States, Wyoming, Johnson</v>
      </c>
      <c r="G114" t="str">
        <f t="shared" si="18"/>
        <v>Y</v>
      </c>
      <c r="H114" s="45" t="str">
        <f>IF(Master[[#This Row],[Collecting or Acquisition Source - List]]="","",Master[[#This Row],[Collecting or Acquisition Source - List]])</f>
        <v/>
      </c>
      <c r="I114" t="str">
        <f>IF(Master[[#This Row],[Inventory Type - Lookup Picker]]="","",Master[[#This Row],[Inventory Type - Lookup Picker]])</f>
        <v>SD</v>
      </c>
      <c r="J114" s="4">
        <f>IF(Master[[#This Row],[Number Plants Sampled]]="","",Master[[#This Row],[Number Plants Sampled]])</f>
        <v>1582</v>
      </c>
      <c r="K114" s="4" t="str">
        <f>IF(Master[[#This Row],[Environment Description]]="","",Master[[#This Row],[Environment Description]])</f>
        <v>Burned</v>
      </c>
      <c r="L114" s="4" t="str">
        <f>IF(Master[[#This Row],[Collector Verbatim Locality]]="","",Master[[#This Row],[Collector Verbatim Locality]])</f>
        <v>/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 along trail and throughout large clearing on hillside, continuing along ridge.</v>
      </c>
      <c r="M114" s="4">
        <f>IF(Master[[#This Row],[Elevation (meters)]]=0,"",Master[[#This Row],[Elevation (meters)]])</f>
        <v>2291.4864000000002</v>
      </c>
      <c r="N114" s="55">
        <f>IF(Master[[#This Row],[Latitude -decimal degrees]]="","",Master[[#This Row],[Latitude -decimal degrees]])</f>
        <v>44.091619999999999</v>
      </c>
      <c r="O114" s="55">
        <f>IF(Master[[#This Row],[Longitude -decimal degrees]]="","",Master[[#This Row],[Longitude -decimal degrees]])</f>
        <v>-106.84506</v>
      </c>
      <c r="P114" s="5" t="str">
        <f>IF(Master[[#This Row],[Georeference Datum]]="","",Master[[#This Row],[Georeference Datum]])</f>
        <v>NAD83</v>
      </c>
      <c r="Q114" s="5" t="str">
        <f>IF(Master[[#This Row],[Georeference Protocol - Lookup Picker]]="","",Master[[#This Row],[Georeference Protocol - Lookup Picker]])</f>
        <v>Lat/lon determined by GPS</v>
      </c>
      <c r="R114" s="5" t="str">
        <f>IF(Master[[#This Row],[Associated Species]]="","",Master[[#This Row],[Associated Species]])</f>
        <v>Campanula sp.:Anemone cylindrica:Pinus ponderosa:Gentiana affinis:Potentilla arguta:Allium textile:Koeleria macrantha:Galium boreale:Solidago sp.:Heterotheca villosa:Lupinus sp.:Pulsatilla patens ssp. multifida:Pulsatilla patens ssp. multifida</v>
      </c>
      <c r="S114" t="str">
        <f t="shared" si="19"/>
        <v>Y</v>
      </c>
      <c r="T114" s="5" t="str">
        <f>IF(Master[[#This Row],[Note (Accession Source - Collector)]]="","",Master[[#This Row],[Note (Accession Source - Collector)]])</f>
        <v>Miller, A; Arnold, A; Mirkes, M</v>
      </c>
    </row>
    <row r="115" spans="2:20" x14ac:dyDescent="0.25">
      <c r="B115" t="str">
        <f>Master[[#This Row],[Accession Prefix (NPGS)]]&amp;" "&amp;Master[[#This Row],[Accession Number -Assigned]]</f>
        <v>W6 59701</v>
      </c>
      <c r="C115" t="str">
        <f t="shared" si="16"/>
        <v>Collection source event</v>
      </c>
      <c r="D115" t="str">
        <f t="shared" si="17"/>
        <v>mm/dd/yyyy</v>
      </c>
      <c r="E115" s="77">
        <f>IF(IF(Master[[#This Row],[Date Collected or Developed]]="",Master[[#This Row],[Received Date -received by site]],Master[[#This Row],[Date Collected or Developed]])="","",(IF(Master[[#This Row],[Date Collected or Developed]]="",Master[[#This Row],[Received Date -received by site]],Master[[#This Row],[Date Collected or Developed]])))</f>
        <v>44048</v>
      </c>
      <c r="F115" s="76" t="str">
        <f>IF(Master[[#This Row],[Geography (Collection) -Lookup Picker in GRIN]]="","",Master[[#This Row],[Geography (Collection) -Lookup Picker in GRIN]])</f>
        <v>United States, Wyoming, Campbell</v>
      </c>
      <c r="G115" t="str">
        <f t="shared" si="18"/>
        <v>Y</v>
      </c>
      <c r="H115" s="45" t="str">
        <f>IF(Master[[#This Row],[Collecting or Acquisition Source - List]]="","",Master[[#This Row],[Collecting or Acquisition Source - List]])</f>
        <v/>
      </c>
      <c r="I115" t="str">
        <f>IF(Master[[#This Row],[Inventory Type - Lookup Picker]]="","",Master[[#This Row],[Inventory Type - Lookup Picker]])</f>
        <v>SD</v>
      </c>
      <c r="J115" s="4">
        <f>IF(Master[[#This Row],[Number Plants Sampled]]="","",Master[[#This Row],[Number Plants Sampled]])</f>
        <v>1133</v>
      </c>
      <c r="K115" s="4" t="str">
        <f>IF(Master[[#This Row],[Environment Description]]="","",Master[[#This Row],[Environment Description]])</f>
        <v>Grazed</v>
      </c>
      <c r="L115" s="4" t="str">
        <f>IF(Master[[#This Row],[Collector Verbatim Locality]]="","",Master[[#This Row],[Collector Verbatim Locality]])</f>
        <v>Thunder Basin National Grassland/ Weston Hills/ From Gillette, head north on US-14 W for 8 miles, then turn right (East) onto WY-59 N for 25 miles. Turn West on road across from Heald Road, and drive for about 1 mile until you reach a parking area with a pit toilet on left. Plants collected around the pond area and within 400 feet of fence to the Southeast.</v>
      </c>
      <c r="M115" s="4">
        <f>IF(Master[[#This Row],[Elevation (meters)]]=0,"",Master[[#This Row],[Elevation (meters)]])</f>
        <v>1263.396</v>
      </c>
      <c r="N115" s="55">
        <f>IF(Master[[#This Row],[Latitude -decimal degrees]]="","",Master[[#This Row],[Latitude -decimal degrees]])</f>
        <v>44.635289999999998</v>
      </c>
      <c r="O115" s="55">
        <f>IF(Master[[#This Row],[Longitude -decimal degrees]]="","",Master[[#This Row],[Longitude -decimal degrees]])</f>
        <v>-105.35576</v>
      </c>
      <c r="P115" s="5" t="str">
        <f>IF(Master[[#This Row],[Georeference Datum]]="","",Master[[#This Row],[Georeference Datum]])</f>
        <v>NAD83</v>
      </c>
      <c r="Q115" s="5" t="str">
        <f>IF(Master[[#This Row],[Georeference Protocol - Lookup Picker]]="","",Master[[#This Row],[Georeference Protocol - Lookup Picker]])</f>
        <v>Lat/lon determined by GPS</v>
      </c>
      <c r="R115" s="5" t="str">
        <f>IF(Master[[#This Row],[Associated Species]]="","",Master[[#This Row],[Associated Species]])</f>
        <v>Bouteloua gracilis:Bromus tectorum:Heterotheca villosa:Koeleria macrantha:Artemisia tridentata:Achillea millefolium:Opuntia polyacantha:Pascopyrum smithii:Grindelia squarrosa:Erigeron caespitosus:Gutierrezia sarothrae</v>
      </c>
      <c r="S115" t="str">
        <f t="shared" si="19"/>
        <v>Y</v>
      </c>
      <c r="T115" s="5" t="str">
        <f>IF(Master[[#This Row],[Note (Accession Source - Collector)]]="","",Master[[#This Row],[Note (Accession Source - Collector)]])</f>
        <v>Miller, A; Arnold, A; Mirkes, M</v>
      </c>
    </row>
    <row r="116" spans="2:20" x14ac:dyDescent="0.25">
      <c r="B116" t="str">
        <f>Master[[#This Row],[Accession Prefix (NPGS)]]&amp;" "&amp;Master[[#This Row],[Accession Number -Assigned]]</f>
        <v>W6 59702</v>
      </c>
      <c r="C116" t="str">
        <f t="shared" si="16"/>
        <v>Collection source event</v>
      </c>
      <c r="D116" t="str">
        <f t="shared" si="17"/>
        <v>mm/dd/yyyy</v>
      </c>
      <c r="E116" s="77">
        <f>IF(IF(Master[[#This Row],[Date Collected or Developed]]="",Master[[#This Row],[Received Date -received by site]],Master[[#This Row],[Date Collected or Developed]])="","",(IF(Master[[#This Row],[Date Collected or Developed]]="",Master[[#This Row],[Received Date -received by site]],Master[[#This Row],[Date Collected or Developed]])))</f>
        <v>44048</v>
      </c>
      <c r="F116" s="76" t="str">
        <f>IF(Master[[#This Row],[Geography (Collection) -Lookup Picker in GRIN]]="","",Master[[#This Row],[Geography (Collection) -Lookup Picker in GRIN]])</f>
        <v>United States, Wyoming, Campbell</v>
      </c>
      <c r="G116" t="str">
        <f t="shared" si="18"/>
        <v>Y</v>
      </c>
      <c r="H116" s="45" t="str">
        <f>IF(Master[[#This Row],[Collecting or Acquisition Source - List]]="","",Master[[#This Row],[Collecting or Acquisition Source - List]])</f>
        <v/>
      </c>
      <c r="I116" t="str">
        <f>IF(Master[[#This Row],[Inventory Type - Lookup Picker]]="","",Master[[#This Row],[Inventory Type - Lookup Picker]])</f>
        <v>SD</v>
      </c>
      <c r="J116" s="4">
        <f>IF(Master[[#This Row],[Number Plants Sampled]]="","",Master[[#This Row],[Number Plants Sampled]])</f>
        <v>1065</v>
      </c>
      <c r="K116" s="4" t="str">
        <f>IF(Master[[#This Row],[Environment Description]]="","",Master[[#This Row],[Environment Description]])</f>
        <v>Grazed</v>
      </c>
      <c r="L116" s="4" t="str">
        <f>IF(Master[[#This Row],[Collector Verbatim Locality]]="","",Master[[#This Row],[Collector Verbatim Locality]])</f>
        <v>/ Burnt Hollow/ From Gillette, head north on US-14 W for 8 miles. When routes divide, turn right onto Highway 59 North. Continue along Highway 59 for 13.4 miles, and turn right into parking area for South BLM unit, signs for Burnt Hollow. Collection taken mostly along dry creekbed areas.</v>
      </c>
      <c r="M116" s="4">
        <f>IF(Master[[#This Row],[Elevation (meters)]]=0,"",Master[[#This Row],[Elevation (meters)]])</f>
        <v>1247.8512000000001</v>
      </c>
      <c r="N116" s="55">
        <f>IF(Master[[#This Row],[Latitude -decimal degrees]]="","",Master[[#This Row],[Latitude -decimal degrees]])</f>
        <v>44.516919999999999</v>
      </c>
      <c r="O116" s="55">
        <f>IF(Master[[#This Row],[Longitude -decimal degrees]]="","",Master[[#This Row],[Longitude -decimal degrees]])</f>
        <v>-105.44336</v>
      </c>
      <c r="P116" s="5" t="str">
        <f>IF(Master[[#This Row],[Georeference Datum]]="","",Master[[#This Row],[Georeference Datum]])</f>
        <v>NAD83</v>
      </c>
      <c r="Q116" s="5" t="str">
        <f>IF(Master[[#This Row],[Georeference Protocol - Lookup Picker]]="","",Master[[#This Row],[Georeference Protocol - Lookup Picker]])</f>
        <v>Lat/lon determined by GPS</v>
      </c>
      <c r="R116" s="5" t="str">
        <f>IF(Master[[#This Row],[Associated Species]]="","",Master[[#This Row],[Associated Species]])</f>
        <v>Opuntia polyacantha:Artemisia tridentata:Chrysothamnus viscidiflorus:Bromus tectorum:Hesperostipa comata:Gutierrezia sarothrae:Heterotheca villosa:Pascopyrum smithii:Sphaeralcea coccinea:Achillea millefolium:Koeleria macrantha:Bouteloua gracilis:Bromus japonicus:Erigeron caespitosus</v>
      </c>
      <c r="S116" t="str">
        <f t="shared" si="19"/>
        <v>Y</v>
      </c>
      <c r="T116" s="5" t="str">
        <f>IF(Master[[#This Row],[Note (Accession Source - Collector)]]="","",Master[[#This Row],[Note (Accession Source - Collector)]])</f>
        <v>Miller, A; Arnold, A; Mirkes, M</v>
      </c>
    </row>
    <row r="117" spans="2:20" x14ac:dyDescent="0.25">
      <c r="B117" t="str">
        <f>Master[[#This Row],[Accession Prefix (NPGS)]]&amp;" "&amp;Master[[#This Row],[Accession Number -Assigned]]</f>
        <v>W6 59703</v>
      </c>
      <c r="C117" t="str">
        <f t="shared" si="16"/>
        <v>Collection source event</v>
      </c>
      <c r="D117" t="str">
        <f t="shared" si="17"/>
        <v>mm/dd/yyyy</v>
      </c>
      <c r="E117" s="77">
        <f>IF(IF(Master[[#This Row],[Date Collected or Developed]]="",Master[[#This Row],[Received Date -received by site]],Master[[#This Row],[Date Collected or Developed]])="","",(IF(Master[[#This Row],[Date Collected or Developed]]="",Master[[#This Row],[Received Date -received by site]],Master[[#This Row],[Date Collected or Developed]])))</f>
        <v>44049</v>
      </c>
      <c r="F117" s="76" t="str">
        <f>IF(Master[[#This Row],[Geography (Collection) -Lookup Picker in GRIN]]="","",Master[[#This Row],[Geography (Collection) -Lookup Picker in GRIN]])</f>
        <v>United States, Wyoming, Johnson</v>
      </c>
      <c r="G117" t="str">
        <f t="shared" si="18"/>
        <v>Y</v>
      </c>
      <c r="H117" s="45" t="str">
        <f>IF(Master[[#This Row],[Collecting or Acquisition Source - List]]="","",Master[[#This Row],[Collecting or Acquisition Source - List]])</f>
        <v/>
      </c>
      <c r="I117" t="str">
        <f>IF(Master[[#This Row],[Inventory Type - Lookup Picker]]="","",Master[[#This Row],[Inventory Type - Lookup Picker]])</f>
        <v>SD</v>
      </c>
      <c r="J117" s="4">
        <f>IF(Master[[#This Row],[Number Plants Sampled]]="","",Master[[#This Row],[Number Plants Sampled]])</f>
        <v>1197</v>
      </c>
      <c r="K117" s="4" t="str">
        <f>IF(Master[[#This Row],[Environment Description]]="","",Master[[#This Row],[Environment Description]])</f>
        <v>Grazed</v>
      </c>
      <c r="L117" s="4" t="str">
        <f>IF(Master[[#This Row],[Collector Verbatim Locality]]="","",Master[[#This Row],[Collector Verbatim Locality]])</f>
        <v>Middle Fork Powder River Management Area/ Outlaw Cave/ From the I25 exit in Kaycee, head west on Highway 191 for about 1 mile. Turn left onto Highway 190W for about 16 miles to Barnum. Turn left onto Bar C Road and continue for 23.15 miles (following signs for Middle Fork Powder River Management Area) . This road travels directly through the headquarters of the Hole-in-the-Wall ranch. The collection was to the north/northeast side of the road, mostly in a rocky reclaimed old road, and continued along the old road for about a half mile.</v>
      </c>
      <c r="M117" s="4">
        <f>IF(Master[[#This Row],[Elevation (meters)]]=0,"",Master[[#This Row],[Elevation (meters)]])</f>
        <v>1906.2192</v>
      </c>
      <c r="N117" s="55">
        <f>IF(Master[[#This Row],[Latitude -decimal degrees]]="","",Master[[#This Row],[Latitude -decimal degrees]])</f>
        <v>43.586930000000002</v>
      </c>
      <c r="O117" s="55">
        <f>IF(Master[[#This Row],[Longitude -decimal degrees]]="","",Master[[#This Row],[Longitude -decimal degrees]])</f>
        <v>-106.93411999999999</v>
      </c>
      <c r="P117" s="5" t="str">
        <f>IF(Master[[#This Row],[Georeference Datum]]="","",Master[[#This Row],[Georeference Datum]])</f>
        <v/>
      </c>
      <c r="Q117" s="5" t="str">
        <f>IF(Master[[#This Row],[Georeference Protocol - Lookup Picker]]="","",Master[[#This Row],[Georeference Protocol - Lookup Picker]])</f>
        <v/>
      </c>
      <c r="R117" s="5" t="str">
        <f>IF(Master[[#This Row],[Associated Species]]="","",Master[[#This Row],[Associated Species]])</f>
        <v>Grindelia squarrosa:Artemisia cana:Heterotheca villosa:Koeleria macrantha:Arenaria hookeri:Artemisia frigida:Linum lewisii:Gutierrezia sarothrae:Comandra umbellata:Liatris punctata:Agropyron cristatum</v>
      </c>
      <c r="S117" t="str">
        <f t="shared" si="19"/>
        <v>Y</v>
      </c>
      <c r="T117" s="5" t="str">
        <f>IF(Master[[#This Row],[Note (Accession Source - Collector)]]="","",Master[[#This Row],[Note (Accession Source - Collector)]])</f>
        <v>Miller, A; Arnold, A; Mirkes, M</v>
      </c>
    </row>
    <row r="118" spans="2:20" x14ac:dyDescent="0.25">
      <c r="B118" t="str">
        <f>Master[[#This Row],[Accession Prefix (NPGS)]]&amp;" "&amp;Master[[#This Row],[Accession Number -Assigned]]</f>
        <v>W6 59704</v>
      </c>
      <c r="C118" t="str">
        <f t="shared" ref="C118:C149" si="20">"Collection source event"</f>
        <v>Collection source event</v>
      </c>
      <c r="D118" t="str">
        <f t="shared" ref="D118:D149" si="21">"mm/dd/yyyy"</f>
        <v>mm/dd/yyyy</v>
      </c>
      <c r="E118" s="77">
        <f>IF(IF(Master[[#This Row],[Date Collected or Developed]]="",Master[[#This Row],[Received Date -received by site]],Master[[#This Row],[Date Collected or Developed]])="","",(IF(Master[[#This Row],[Date Collected or Developed]]="",Master[[#This Row],[Received Date -received by site]],Master[[#This Row],[Date Collected or Developed]])))</f>
        <v>44053</v>
      </c>
      <c r="F118" s="76" t="str">
        <f>IF(Master[[#This Row],[Geography (Collection) -Lookup Picker in GRIN]]="","",Master[[#This Row],[Geography (Collection) -Lookup Picker in GRIN]])</f>
        <v>United States, Wyoming, Johnson</v>
      </c>
      <c r="G118" t="str">
        <f t="shared" ref="G118:G149" si="22">"Y"</f>
        <v>Y</v>
      </c>
      <c r="H118" s="45" t="str">
        <f>IF(Master[[#This Row],[Collecting or Acquisition Source - List]]="","",Master[[#This Row],[Collecting or Acquisition Source - List]])</f>
        <v/>
      </c>
      <c r="I118" t="str">
        <f>IF(Master[[#This Row],[Inventory Type - Lookup Picker]]="","",Master[[#This Row],[Inventory Type - Lookup Picker]])</f>
        <v>SD</v>
      </c>
      <c r="J118" s="4">
        <f>IF(Master[[#This Row],[Number Plants Sampled]]="","",Master[[#This Row],[Number Plants Sampled]])</f>
        <v>1763</v>
      </c>
      <c r="K118" s="4" t="str">
        <f>IF(Master[[#This Row],[Environment Description]]="","",Master[[#This Row],[Environment Description]])</f>
        <v>Burned</v>
      </c>
      <c r="L118" s="4" t="str">
        <f>IF(Master[[#This Row],[Collector Verbatim Locality]]="","",Master[[#This Row],[Collector Verbatim Locality]])</f>
        <v>/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v>
      </c>
      <c r="M118" s="4">
        <f>IF(Master[[#This Row],[Elevation (meters)]]=0,"",Master[[#This Row],[Elevation (meters)]])</f>
        <v>2291.4864000000002</v>
      </c>
      <c r="N118" s="55">
        <f>IF(Master[[#This Row],[Latitude -decimal degrees]]="","",Master[[#This Row],[Latitude -decimal degrees]])</f>
        <v>44.091619999999999</v>
      </c>
      <c r="O118" s="55">
        <f>IF(Master[[#This Row],[Longitude -decimal degrees]]="","",Master[[#This Row],[Longitude -decimal degrees]])</f>
        <v>-106.84506</v>
      </c>
      <c r="P118" s="5" t="str">
        <f>IF(Master[[#This Row],[Georeference Datum]]="","",Master[[#This Row],[Georeference Datum]])</f>
        <v>NAD83</v>
      </c>
      <c r="Q118" s="5" t="str">
        <f>IF(Master[[#This Row],[Georeference Protocol - Lookup Picker]]="","",Master[[#This Row],[Georeference Protocol - Lookup Picker]])</f>
        <v>Lat/lon determined by GPS</v>
      </c>
      <c r="R118" s="5" t="str">
        <f>IF(Master[[#This Row],[Associated Species]]="","",Master[[#This Row],[Associated Species]])</f>
        <v>Campanula sp.:Anemone cylindrica:Pinus ponderosa:Gentiana affinis:Potentilla arguta:Allium textile:Koeleria macrantha:Galium boreale:Solidago sp.:Lupinus sp.:Pulsatilla patens ssp. multifida</v>
      </c>
      <c r="S118" t="str">
        <f t="shared" ref="S118:S149" si="23">"Y"</f>
        <v>Y</v>
      </c>
      <c r="T118" s="5" t="str">
        <f>IF(Master[[#This Row],[Note (Accession Source - Collector)]]="","",Master[[#This Row],[Note (Accession Source - Collector)]])</f>
        <v>Miller, A; Arnold, A; Mirkes, M</v>
      </c>
    </row>
    <row r="119" spans="2:20" x14ac:dyDescent="0.25">
      <c r="B119" t="str">
        <f>Master[[#This Row],[Accession Prefix (NPGS)]]&amp;" "&amp;Master[[#This Row],[Accession Number -Assigned]]</f>
        <v>W6 59705</v>
      </c>
      <c r="C119" t="str">
        <f t="shared" si="20"/>
        <v>Collection source event</v>
      </c>
      <c r="D119" t="str">
        <f t="shared" si="21"/>
        <v>mm/dd/yyyy</v>
      </c>
      <c r="E119" s="77">
        <f>IF(IF(Master[[#This Row],[Date Collected or Developed]]="",Master[[#This Row],[Received Date -received by site]],Master[[#This Row],[Date Collected or Developed]])="","",(IF(Master[[#This Row],[Date Collected or Developed]]="",Master[[#This Row],[Received Date -received by site]],Master[[#This Row],[Date Collected or Developed]])))</f>
        <v>44056</v>
      </c>
      <c r="F119" s="76" t="str">
        <f>IF(Master[[#This Row],[Geography (Collection) -Lookup Picker in GRIN]]="","",Master[[#This Row],[Geography (Collection) -Lookup Picker in GRIN]])</f>
        <v>United States, Wyoming, Johnson</v>
      </c>
      <c r="G119" t="str">
        <f t="shared" si="22"/>
        <v>Y</v>
      </c>
      <c r="H119" s="45" t="str">
        <f>IF(Master[[#This Row],[Collecting or Acquisition Source - List]]="","",Master[[#This Row],[Collecting or Acquisition Source - List]])</f>
        <v/>
      </c>
      <c r="I119" t="str">
        <f>IF(Master[[#This Row],[Inventory Type - Lookup Picker]]="","",Master[[#This Row],[Inventory Type - Lookup Picker]])</f>
        <v>SD</v>
      </c>
      <c r="J119" s="4">
        <f>IF(Master[[#This Row],[Number Plants Sampled]]="","",Master[[#This Row],[Number Plants Sampled]])</f>
        <v>1509</v>
      </c>
      <c r="K119" s="4" t="str">
        <f>IF(Master[[#This Row],[Environment Description]]="","",Master[[#This Row],[Environment Description]])</f>
        <v>Grazed</v>
      </c>
      <c r="L119" s="4" t="str">
        <f>IF(Master[[#This Row],[Collector Verbatim Locality]]="","",Master[[#This Row],[Collector Verbatim Locality]])</f>
        <v>Gardner Mountain/ Near Gardner Mountain Trail Head/ From Buffalo, head west on US-16 W for about 27 miles, then turn south onto Hazelton Road for 20 miles. Go straight to continue on Slip Road for 8.1 miles. Turn south onto a rough two-track, and follow two-track to left (before parking sign) to get to the collection area. Collect for several hundred feet on both sides of road.</v>
      </c>
      <c r="M119" s="4">
        <f>IF(Master[[#This Row],[Elevation (meters)]]=0,"",Master[[#This Row],[Elevation (meters)]])</f>
        <v>2438.0952000000002</v>
      </c>
      <c r="N119" s="55">
        <f>IF(Master[[#This Row],[Latitude -decimal degrees]]="","",Master[[#This Row],[Latitude -decimal degrees]])</f>
        <v>43.841180000000001</v>
      </c>
      <c r="O119" s="55">
        <f>IF(Master[[#This Row],[Longitude -decimal degrees]]="","",Master[[#This Row],[Longitude -decimal degrees]])</f>
        <v>-106.93975</v>
      </c>
      <c r="P119" s="5" t="str">
        <f>IF(Master[[#This Row],[Georeference Datum]]="","",Master[[#This Row],[Georeference Datum]])</f>
        <v>NAD83</v>
      </c>
      <c r="Q119" s="5" t="str">
        <f>IF(Master[[#This Row],[Georeference Protocol - Lookup Picker]]="","",Master[[#This Row],[Georeference Protocol - Lookup Picker]])</f>
        <v>Lat/lon determined by GPS</v>
      </c>
      <c r="R119" s="5" t="str">
        <f>IF(Master[[#This Row],[Associated Species]]="","",Master[[#This Row],[Associated Species]])</f>
        <v>Achillea millefolium:Koeleria macrantha:Juniperus communis:Pseudotsuga menziesii:Orbexilum lupinellum:Tragopogon dubius:Arenaria hookeri:Pseudoroegneria spicata:Solidago sp.:Artemisia tridentata:Ribes sp.</v>
      </c>
      <c r="S119" t="str">
        <f t="shared" si="23"/>
        <v>Y</v>
      </c>
      <c r="T119" s="5" t="str">
        <f>IF(Master[[#This Row],[Note (Accession Source - Collector)]]="","",Master[[#This Row],[Note (Accession Source - Collector)]])</f>
        <v>Miller, A; Arnold, A; Mirkes, M</v>
      </c>
    </row>
    <row r="120" spans="2:20" x14ac:dyDescent="0.25">
      <c r="B120" t="str">
        <f>Master[[#This Row],[Accession Prefix (NPGS)]]&amp;" "&amp;Master[[#This Row],[Accession Number -Assigned]]</f>
        <v>W6 59706</v>
      </c>
      <c r="C120" t="str">
        <f t="shared" si="20"/>
        <v>Collection source event</v>
      </c>
      <c r="D120" t="str">
        <f t="shared" si="21"/>
        <v>mm/dd/yyyy</v>
      </c>
      <c r="E120" s="77">
        <f>IF(IF(Master[[#This Row],[Date Collected or Developed]]="",Master[[#This Row],[Received Date -received by site]],Master[[#This Row],[Date Collected or Developed]])="","",(IF(Master[[#This Row],[Date Collected or Developed]]="",Master[[#This Row],[Received Date -received by site]],Master[[#This Row],[Date Collected or Developed]])))</f>
        <v>44060</v>
      </c>
      <c r="F120" s="76" t="str">
        <f>IF(Master[[#This Row],[Geography (Collection) -Lookup Picker in GRIN]]="","",Master[[#This Row],[Geography (Collection) -Lookup Picker in GRIN]])</f>
        <v>United States, Wyoming, Johnson</v>
      </c>
      <c r="G120" t="str">
        <f t="shared" si="22"/>
        <v>Y</v>
      </c>
      <c r="H120" s="45" t="str">
        <f>IF(Master[[#This Row],[Collecting or Acquisition Source - List]]="","",Master[[#This Row],[Collecting or Acquisition Source - List]])</f>
        <v/>
      </c>
      <c r="I120" t="str">
        <f>IF(Master[[#This Row],[Inventory Type - Lookup Picker]]="","",Master[[#This Row],[Inventory Type - Lookup Picker]])</f>
        <v>SD</v>
      </c>
      <c r="J120" s="4">
        <f>IF(Master[[#This Row],[Number Plants Sampled]]="","",Master[[#This Row],[Number Plants Sampled]])</f>
        <v>312</v>
      </c>
      <c r="K120" s="4" t="str">
        <f>IF(Master[[#This Row],[Environment Description]]="","",Master[[#This Row],[Environment Description]])</f>
        <v/>
      </c>
      <c r="L120" s="4" t="str">
        <f>IF(Master[[#This Row],[Collector Verbatim Locality]]="","",Master[[#This Row],[Collector Verbatim Locality]])</f>
        <v>Mosier Gulch/ Clear Creek Trail/ From Buffalo, head west onto US-16W for about 5 miles. Turn left (South) into Mosier Gulch Recreation Area. Drive all the way to the end of the road and park near turnaround. Walk over wooden bridge crossing creekbed, and collect in area within 100 feet of both sides of the trail.</v>
      </c>
      <c r="M120" s="4">
        <f>IF(Master[[#This Row],[Elevation (meters)]]=0,"",Master[[#This Row],[Elevation (meters)]])</f>
        <v>1659.0264000000002</v>
      </c>
      <c r="N120" s="55">
        <f>IF(Master[[#This Row],[Latitude -decimal degrees]]="","",Master[[#This Row],[Latitude -decimal degrees]])</f>
        <v>44.328679999999999</v>
      </c>
      <c r="O120" s="55">
        <f>IF(Master[[#This Row],[Longitude -decimal degrees]]="","",Master[[#This Row],[Longitude -decimal degrees]])</f>
        <v>-106.81099</v>
      </c>
      <c r="P120" s="5" t="str">
        <f>IF(Master[[#This Row],[Georeference Datum]]="","",Master[[#This Row],[Georeference Datum]])</f>
        <v>NAD83</v>
      </c>
      <c r="Q120" s="5" t="str">
        <f>IF(Master[[#This Row],[Georeference Protocol - Lookup Picker]]="","",Master[[#This Row],[Georeference Protocol - Lookup Picker]])</f>
        <v>Lat/lon determined by GPS</v>
      </c>
      <c r="R120" s="5" t="str">
        <f>IF(Master[[#This Row],[Associated Species]]="","",Master[[#This Row],[Associated Species]])</f>
        <v>Gutierrezia sarothrae:Grindelia squarrosa:Pascopyrum smithii:Bromus inermis:Toxicodendron radicans:Opuntia polyacantha:Pinus ponderosa:Tragopogon dubius:Achillea millefolium</v>
      </c>
      <c r="S120" t="str">
        <f t="shared" si="23"/>
        <v>Y</v>
      </c>
      <c r="T120" s="5" t="str">
        <f>IF(Master[[#This Row],[Note (Accession Source - Collector)]]="","",Master[[#This Row],[Note (Accession Source - Collector)]])</f>
        <v>Miller, A; Arnold, A; Mirkes, M</v>
      </c>
    </row>
    <row r="121" spans="2:20" x14ac:dyDescent="0.25">
      <c r="B121" t="str">
        <f>Master[[#This Row],[Accession Prefix (NPGS)]]&amp;" "&amp;Master[[#This Row],[Accession Number -Assigned]]</f>
        <v>W6 59707</v>
      </c>
      <c r="C121" t="str">
        <f t="shared" si="20"/>
        <v>Collection source event</v>
      </c>
      <c r="D121" t="str">
        <f t="shared" si="21"/>
        <v>mm/dd/yyyy</v>
      </c>
      <c r="E121" s="77">
        <f>IF(IF(Master[[#This Row],[Date Collected or Developed]]="",Master[[#This Row],[Received Date -received by site]],Master[[#This Row],[Date Collected or Developed]])="","",(IF(Master[[#This Row],[Date Collected or Developed]]="",Master[[#This Row],[Received Date -received by site]],Master[[#This Row],[Date Collected or Developed]])))</f>
        <v>44060</v>
      </c>
      <c r="F121" s="76" t="str">
        <f>IF(Master[[#This Row],[Geography (Collection) -Lookup Picker in GRIN]]="","",Master[[#This Row],[Geography (Collection) -Lookup Picker in GRIN]])</f>
        <v>United States, Wyoming, Johnson</v>
      </c>
      <c r="G121" t="str">
        <f t="shared" si="22"/>
        <v>Y</v>
      </c>
      <c r="H121" s="45" t="str">
        <f>IF(Master[[#This Row],[Collecting or Acquisition Source - List]]="","",Master[[#This Row],[Collecting or Acquisition Source - List]])</f>
        <v/>
      </c>
      <c r="I121" t="str">
        <f>IF(Master[[#This Row],[Inventory Type - Lookup Picker]]="","",Master[[#This Row],[Inventory Type - Lookup Picker]])</f>
        <v>SD</v>
      </c>
      <c r="J121" s="4">
        <f>IF(Master[[#This Row],[Number Plants Sampled]]="","",Master[[#This Row],[Number Plants Sampled]])</f>
        <v>985</v>
      </c>
      <c r="K121" s="4" t="str">
        <f>IF(Master[[#This Row],[Environment Description]]="","",Master[[#This Row],[Environment Description]])</f>
        <v>Grazed</v>
      </c>
      <c r="L121" s="4" t="str">
        <f>IF(Master[[#This Row],[Collector Verbatim Locality]]="","",Master[[#This Row],[Collector Verbatim Locality]])</f>
        <v>Gardner Mountain/ Slip Road/ From Kaycee, take WY-191 N for 12 miles. Continue straight on Mayworth Road for 3 miles, and slight left onto Slip Road for 8.5 miles. Collections occurred on both sides of the road for approximately 600 feet.</v>
      </c>
      <c r="M121" s="4">
        <f>IF(Master[[#This Row],[Elevation (meters)]]=0,"",Master[[#This Row],[Elevation (meters)]])</f>
        <v>2268.0168000000003</v>
      </c>
      <c r="N121" s="55">
        <f>IF(Master[[#This Row],[Latitude -decimal degrees]]="","",Master[[#This Row],[Latitude -decimal degrees]])</f>
        <v>43.860970000000002</v>
      </c>
      <c r="O121" s="55">
        <f>IF(Master[[#This Row],[Longitude -decimal degrees]]="","",Master[[#This Row],[Longitude -decimal degrees]])</f>
        <v>-106.96447999999999</v>
      </c>
      <c r="P121" s="5" t="str">
        <f>IF(Master[[#This Row],[Georeference Datum]]="","",Master[[#This Row],[Georeference Datum]])</f>
        <v>NAD83</v>
      </c>
      <c r="Q121" s="5" t="str">
        <f>IF(Master[[#This Row],[Georeference Protocol - Lookup Picker]]="","",Master[[#This Row],[Georeference Protocol - Lookup Picker]])</f>
        <v>Lat/lon determined by GPS</v>
      </c>
      <c r="R121" s="5" t="str">
        <f>IF(Master[[#This Row],[Associated Species]]="","",Master[[#This Row],[Associated Species]])</f>
        <v>Artemisia tridentata:Eurybia conspicua:Achillea millefolium:Koeleria macrantha:Arenaria hookeri:Bouteloua gracilis:Ribes sp.:Orthocarpus luteus:Gutierrezia sarothrae</v>
      </c>
      <c r="S121" t="str">
        <f t="shared" si="23"/>
        <v>Y</v>
      </c>
      <c r="T121" s="5" t="str">
        <f>IF(Master[[#This Row],[Note (Accession Source - Collector)]]="","",Master[[#This Row],[Note (Accession Source - Collector)]])</f>
        <v>Miller, A; Arnold, A; Mirkes, M</v>
      </c>
    </row>
    <row r="122" spans="2:20" x14ac:dyDescent="0.25">
      <c r="B122" t="str">
        <f>Master[[#This Row],[Accession Prefix (NPGS)]]&amp;" "&amp;Master[[#This Row],[Accession Number -Assigned]]</f>
        <v>W6 59708</v>
      </c>
      <c r="C122" t="str">
        <f t="shared" si="20"/>
        <v>Collection source event</v>
      </c>
      <c r="D122" t="str">
        <f t="shared" si="21"/>
        <v>mm/dd/yyyy</v>
      </c>
      <c r="E122" s="77">
        <f>IF(IF(Master[[#This Row],[Date Collected or Developed]]="",Master[[#This Row],[Received Date -received by site]],Master[[#This Row],[Date Collected or Developed]])="","",(IF(Master[[#This Row],[Date Collected or Developed]]="",Master[[#This Row],[Received Date -received by site]],Master[[#This Row],[Date Collected or Developed]])))</f>
        <v>44061</v>
      </c>
      <c r="F122" s="76" t="str">
        <f>IF(Master[[#This Row],[Geography (Collection) -Lookup Picker in GRIN]]="","",Master[[#This Row],[Geography (Collection) -Lookup Picker in GRIN]])</f>
        <v>United States, Wyoming, Campbell</v>
      </c>
      <c r="G122" t="str">
        <f t="shared" si="22"/>
        <v>Y</v>
      </c>
      <c r="H122" s="45" t="str">
        <f>IF(Master[[#This Row],[Collecting or Acquisition Source - List]]="","",Master[[#This Row],[Collecting or Acquisition Source - List]])</f>
        <v/>
      </c>
      <c r="I122" t="str">
        <f>IF(Master[[#This Row],[Inventory Type - Lookup Picker]]="","",Master[[#This Row],[Inventory Type - Lookup Picker]])</f>
        <v>SD</v>
      </c>
      <c r="J122" s="4">
        <f>IF(Master[[#This Row],[Number Plants Sampled]]="","",Master[[#This Row],[Number Plants Sampled]])</f>
        <v>813</v>
      </c>
      <c r="K122" s="4" t="str">
        <f>IF(Master[[#This Row],[Environment Description]]="","",Master[[#This Row],[Environment Description]])</f>
        <v>Grazed</v>
      </c>
      <c r="L122" s="4" t="str">
        <f>IF(Master[[#This Row],[Collector Verbatim Locality]]="","",Master[[#This Row],[Collector Verbatim Locality]])</f>
        <v>Burnt Hollow/ / From Gillette, head north on US-14 W for 8 miles, then turn Northeast onto WY-59 N for 16 miles. Turn right onto Oil Field Road, into parking lot. Park near gate, and collect in the grassy area Southwest of the parking area, in moist depressions and channels.</v>
      </c>
      <c r="M122" s="4">
        <f>IF(Master[[#This Row],[Elevation (meters)]]=0,"",Master[[#This Row],[Elevation (meters)]])</f>
        <v>1201.2168000000001</v>
      </c>
      <c r="N122" s="55">
        <f>IF(Master[[#This Row],[Latitude -decimal degrees]]="","",Master[[#This Row],[Latitude -decimal degrees]])</f>
        <v>44.53913</v>
      </c>
      <c r="O122" s="55">
        <f>IF(Master[[#This Row],[Longitude -decimal degrees]]="","",Master[[#This Row],[Longitude -decimal degrees]])</f>
        <v>-105.40682</v>
      </c>
      <c r="P122" s="5" t="str">
        <f>IF(Master[[#This Row],[Georeference Datum]]="","",Master[[#This Row],[Georeference Datum]])</f>
        <v>NAD83</v>
      </c>
      <c r="Q122" s="5" t="str">
        <f>IF(Master[[#This Row],[Georeference Protocol - Lookup Picker]]="","",Master[[#This Row],[Georeference Protocol - Lookup Picker]])</f>
        <v>Lat/lon determined by GPS</v>
      </c>
      <c r="R122" s="5" t="str">
        <f>IF(Master[[#This Row],[Associated Species]]="","",Master[[#This Row],[Associated Species]])</f>
        <v>Bouteloua gracilis:Bouteloua gracilis:Solidago sp.:Opuntia polyacantha:Achillea millefolium:Hesperostipa comata:Sphaeralcea coccinea:Gutierrezia sarothrae:Tragopogon dubius:Artemisia cana:Fragaria sp.</v>
      </c>
      <c r="S122" t="str">
        <f t="shared" si="23"/>
        <v>Y</v>
      </c>
      <c r="T122" s="5" t="str">
        <f>IF(Master[[#This Row],[Note (Accession Source - Collector)]]="","",Master[[#This Row],[Note (Accession Source - Collector)]])</f>
        <v>Miller, A; Arnold, A; Mirkes, M</v>
      </c>
    </row>
    <row r="123" spans="2:20" x14ac:dyDescent="0.25">
      <c r="B123" t="str">
        <f>Master[[#This Row],[Accession Prefix (NPGS)]]&amp;" "&amp;Master[[#This Row],[Accession Number -Assigned]]</f>
        <v>W6 59709</v>
      </c>
      <c r="C123" t="str">
        <f t="shared" si="20"/>
        <v>Collection source event</v>
      </c>
      <c r="D123" t="str">
        <f t="shared" si="21"/>
        <v>mm/dd/yyyy</v>
      </c>
      <c r="E123" s="77">
        <f>IF(IF(Master[[#This Row],[Date Collected or Developed]]="",Master[[#This Row],[Received Date -received by site]],Master[[#This Row],[Date Collected or Developed]])="","",(IF(Master[[#This Row],[Date Collected or Developed]]="",Master[[#This Row],[Received Date -received by site]],Master[[#This Row],[Date Collected or Developed]])))</f>
        <v>44062</v>
      </c>
      <c r="F123" s="76" t="str">
        <f>IF(Master[[#This Row],[Geography (Collection) -Lookup Picker in GRIN]]="","",Master[[#This Row],[Geography (Collection) -Lookup Picker in GRIN]])</f>
        <v>United States, Wyoming, Johnson</v>
      </c>
      <c r="G123" t="str">
        <f t="shared" si="22"/>
        <v>Y</v>
      </c>
      <c r="H123" s="45" t="str">
        <f>IF(Master[[#This Row],[Collecting or Acquisition Source - List]]="","",Master[[#This Row],[Collecting or Acquisition Source - List]])</f>
        <v/>
      </c>
      <c r="I123" t="str">
        <f>IF(Master[[#This Row],[Inventory Type - Lookup Picker]]="","",Master[[#This Row],[Inventory Type - Lookup Picker]])</f>
        <v>SD</v>
      </c>
      <c r="J123" s="4">
        <f>IF(Master[[#This Row],[Number Plants Sampled]]="","",Master[[#This Row],[Number Plants Sampled]])</f>
        <v>1727</v>
      </c>
      <c r="K123" s="4" t="str">
        <f>IF(Master[[#This Row],[Environment Description]]="","",Master[[#This Row],[Environment Description]])</f>
        <v>Burned</v>
      </c>
      <c r="L123" s="4" t="str">
        <f>IF(Master[[#This Row],[Collector Verbatim Locality]]="","",Master[[#This Row],[Collector Verbatim Locality]])</f>
        <v>Poison Creek Trail/ /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v>
      </c>
      <c r="M123" s="4">
        <f>IF(Master[[#This Row],[Elevation (meters)]]=0,"",Master[[#This Row],[Elevation (meters)]])</f>
        <v>2291.4864000000002</v>
      </c>
      <c r="N123" s="55">
        <f>IF(Master[[#This Row],[Latitude -decimal degrees]]="","",Master[[#This Row],[Latitude -decimal degrees]])</f>
        <v>44.091619999999999</v>
      </c>
      <c r="O123" s="55">
        <f>IF(Master[[#This Row],[Longitude -decimal degrees]]="","",Master[[#This Row],[Longitude -decimal degrees]])</f>
        <v>-106.84506</v>
      </c>
      <c r="P123" s="5" t="str">
        <f>IF(Master[[#This Row],[Georeference Datum]]="","",Master[[#This Row],[Georeference Datum]])</f>
        <v>NAD83</v>
      </c>
      <c r="Q123" s="5" t="str">
        <f>IF(Master[[#This Row],[Georeference Protocol - Lookup Picker]]="","",Master[[#This Row],[Georeference Protocol - Lookup Picker]])</f>
        <v>Lat/lon determined by GPS</v>
      </c>
      <c r="R123" s="5" t="str">
        <f>IF(Master[[#This Row],[Associated Species]]="","",Master[[#This Row],[Associated Species]])</f>
        <v>Campanula sp.:Anemone cylindrica:Pinus ponderosa:Gentiana affinis:Potentilla arguta ssp. arguta:Potentilla arguta:Allium textile:Koeleria macrantha:Galium boreale:Solidago sp.:Lupinus sp.:Pulsatilla patens ssp. multifida:Arenaria congesta var. congesta</v>
      </c>
      <c r="S123" t="str">
        <f t="shared" si="23"/>
        <v>Y</v>
      </c>
      <c r="T123" s="5" t="str">
        <f>IF(Master[[#This Row],[Note (Accession Source - Collector)]]="","",Master[[#This Row],[Note (Accession Source - Collector)]])</f>
        <v>Miller, A; Arnold, A; Mirkes, M</v>
      </c>
    </row>
    <row r="124" spans="2:20" x14ac:dyDescent="0.25">
      <c r="B124" t="str">
        <f>Master[[#This Row],[Accession Prefix (NPGS)]]&amp;" "&amp;Master[[#This Row],[Accession Number -Assigned]]</f>
        <v>W6 59710</v>
      </c>
      <c r="C124" t="str">
        <f t="shared" si="20"/>
        <v>Collection source event</v>
      </c>
      <c r="D124" t="str">
        <f t="shared" si="21"/>
        <v>mm/dd/yyyy</v>
      </c>
      <c r="E124" s="77">
        <f>IF(IF(Master[[#This Row],[Date Collected or Developed]]="",Master[[#This Row],[Received Date -received by site]],Master[[#This Row],[Date Collected or Developed]])="","",(IF(Master[[#This Row],[Date Collected or Developed]]="",Master[[#This Row],[Received Date -received by site]],Master[[#This Row],[Date Collected or Developed]])))</f>
        <v>44067</v>
      </c>
      <c r="F124" s="76" t="str">
        <f>IF(Master[[#This Row],[Geography (Collection) -Lookup Picker in GRIN]]="","",Master[[#This Row],[Geography (Collection) -Lookup Picker in GRIN]])</f>
        <v>United States, Wyoming, Sheridan</v>
      </c>
      <c r="G124" t="str">
        <f t="shared" si="22"/>
        <v>Y</v>
      </c>
      <c r="H124" s="45" t="str">
        <f>IF(Master[[#This Row],[Collecting or Acquisition Source - List]]="","",Master[[#This Row],[Collecting or Acquisition Source - List]])</f>
        <v/>
      </c>
      <c r="I124" t="str">
        <f>IF(Master[[#This Row],[Inventory Type - Lookup Picker]]="","",Master[[#This Row],[Inventory Type - Lookup Picker]])</f>
        <v>SD</v>
      </c>
      <c r="J124" s="4">
        <f>IF(Master[[#This Row],[Number Plants Sampled]]="","",Master[[#This Row],[Number Plants Sampled]])</f>
        <v>731</v>
      </c>
      <c r="K124" s="4" t="str">
        <f>IF(Master[[#This Row],[Environment Description]]="","",Master[[#This Row],[Environment Description]])</f>
        <v>None</v>
      </c>
      <c r="L124" s="4" t="str">
        <f>IF(Master[[#This Row],[Collector Verbatim Locality]]="","",Master[[#This Row],[Collector Verbatim Locality]])</f>
        <v>Bighorn National Forest/ Steamboat Point Trail/ From Sheridan, take I-90 W for 14.5 mi. Take exit for US-14 W towards Dayton, and follow for 19.3 miles. Parking area for Steamboat Point Trail located on right (north) side of road. Collection took place on slope following the trail, approximately 800 feet from the parking lot.</v>
      </c>
      <c r="M124" s="4">
        <f>IF(Master[[#This Row],[Elevation (meters)]]=0,"",Master[[#This Row],[Elevation (meters)]])</f>
        <v>2208.2760000000003</v>
      </c>
      <c r="N124" s="55">
        <f>IF(Master[[#This Row],[Latitude -decimal degrees]]="","",Master[[#This Row],[Latitude -decimal degrees]])</f>
        <v>44.803660000000001</v>
      </c>
      <c r="O124" s="55">
        <f>IF(Master[[#This Row],[Longitude -decimal degrees]]="","",Master[[#This Row],[Longitude -decimal degrees]])</f>
        <v>-107.36359</v>
      </c>
      <c r="P124" s="5" t="str">
        <f>IF(Master[[#This Row],[Georeference Datum]]="","",Master[[#This Row],[Georeference Datum]])</f>
        <v>NAD83</v>
      </c>
      <c r="Q124" s="5" t="str">
        <f>IF(Master[[#This Row],[Georeference Protocol - Lookup Picker]]="","",Master[[#This Row],[Georeference Protocol - Lookup Picker]])</f>
        <v>Lat/lon determined by GPS</v>
      </c>
      <c r="R124" s="5" t="str">
        <f>IF(Master[[#This Row],[Associated Species]]="","",Master[[#This Row],[Associated Species]])</f>
        <v>Phleum pratense:Achillea millefolium:Bromus inermis:Balsamorhiza sagittata:Balsamorhiza macrophylla:Solidago sp.:Lupinus sp.:Bromus tectorum:Linum lewisii:Arenaria hookeri:Tragopogon dubius</v>
      </c>
      <c r="S124" t="str">
        <f t="shared" si="23"/>
        <v>Y</v>
      </c>
      <c r="T124" s="5" t="str">
        <f>IF(Master[[#This Row],[Note (Accession Source - Collector)]]="","",Master[[#This Row],[Note (Accession Source - Collector)]])</f>
        <v>Miller, A; Arnold, A; Mirkes, M</v>
      </c>
    </row>
    <row r="125" spans="2:20" x14ac:dyDescent="0.25">
      <c r="B125" t="str">
        <f>Master[[#This Row],[Accession Prefix (NPGS)]]&amp;" "&amp;Master[[#This Row],[Accession Number -Assigned]]</f>
        <v>W6 59711</v>
      </c>
      <c r="C125" t="str">
        <f t="shared" si="20"/>
        <v>Collection source event</v>
      </c>
      <c r="D125" t="str">
        <f t="shared" si="21"/>
        <v>mm/dd/yyyy</v>
      </c>
      <c r="E125" s="77">
        <f>IF(IF(Master[[#This Row],[Date Collected or Developed]]="",Master[[#This Row],[Received Date -received by site]],Master[[#This Row],[Date Collected or Developed]])="","",(IF(Master[[#This Row],[Date Collected or Developed]]="",Master[[#This Row],[Received Date -received by site]],Master[[#This Row],[Date Collected or Developed]])))</f>
        <v>44070</v>
      </c>
      <c r="F125" s="76" t="str">
        <f>IF(Master[[#This Row],[Geography (Collection) -Lookup Picker in GRIN]]="","",Master[[#This Row],[Geography (Collection) -Lookup Picker in GRIN]])</f>
        <v>United States, Wyoming, Johnson</v>
      </c>
      <c r="G125" t="str">
        <f t="shared" si="22"/>
        <v>Y</v>
      </c>
      <c r="H125" s="45" t="str">
        <f>IF(Master[[#This Row],[Collecting or Acquisition Source - List]]="","",Master[[#This Row],[Collecting or Acquisition Source - List]])</f>
        <v/>
      </c>
      <c r="I125" t="str">
        <f>IF(Master[[#This Row],[Inventory Type - Lookup Picker]]="","",Master[[#This Row],[Inventory Type - Lookup Picker]])</f>
        <v>SD</v>
      </c>
      <c r="J125" s="4">
        <f>IF(Master[[#This Row],[Number Plants Sampled]]="","",Master[[#This Row],[Number Plants Sampled]])</f>
        <v>2556</v>
      </c>
      <c r="K125" s="4" t="str">
        <f>IF(Master[[#This Row],[Environment Description]]="","",Master[[#This Row],[Environment Description]])</f>
        <v>None</v>
      </c>
      <c r="L125" s="4" t="str">
        <f>IF(Master[[#This Row],[Collector Verbatim Locality]]="","",Master[[#This Row],[Collector Verbatim Locality]])</f>
        <v>Tie Hack Recreation Area/ / From Buffalo, head west on US-16 W for about 15 miles. Turn left (South) onto Tie Hack Road for 0.6 miles, then veer left to stay on Tie Hack Road for another mile until you reach the parking area nearest the reservoir. Follow the trail along the north side of the lake for 1500 feet, collecting near trail between the water and treeline.</v>
      </c>
      <c r="M125" s="4">
        <f>IF(Master[[#This Row],[Elevation (meters)]]=0,"",Master[[#This Row],[Elevation (meters)]])</f>
        <v>2232.9648000000002</v>
      </c>
      <c r="N125" s="55">
        <f>IF(Master[[#This Row],[Latitude -decimal degrees]]="","",Master[[#This Row],[Latitude -decimal degrees]])</f>
        <v>44.284910000000004</v>
      </c>
      <c r="O125" s="55">
        <f>IF(Master[[#This Row],[Longitude -decimal degrees]]="","",Master[[#This Row],[Longitude -decimal degrees]])</f>
        <v>-106.92558</v>
      </c>
      <c r="P125" s="5" t="str">
        <f>IF(Master[[#This Row],[Georeference Datum]]="","",Master[[#This Row],[Georeference Datum]])</f>
        <v>NAD83</v>
      </c>
      <c r="Q125" s="5" t="str">
        <f>IF(Master[[#This Row],[Georeference Protocol - Lookup Picker]]="","",Master[[#This Row],[Georeference Protocol - Lookup Picker]])</f>
        <v>Lat/lon determined by GPS</v>
      </c>
      <c r="R125" s="5" t="str">
        <f>IF(Master[[#This Row],[Associated Species]]="","",Master[[#This Row],[Associated Species]])</f>
        <v>Heterotheca villosa:Koeleria macrantha:Artemisia frigida:Juniperus horizontalis:Tragopogon dubius</v>
      </c>
      <c r="S125" t="str">
        <f t="shared" si="23"/>
        <v>Y</v>
      </c>
      <c r="T125" s="5" t="str">
        <f>IF(Master[[#This Row],[Note (Accession Source - Collector)]]="","",Master[[#This Row],[Note (Accession Source - Collector)]])</f>
        <v>Miller, A; Arnold, A; Mirkes, M</v>
      </c>
    </row>
    <row r="126" spans="2:20" x14ac:dyDescent="0.25">
      <c r="B126" t="str">
        <f>Master[[#This Row],[Accession Prefix (NPGS)]]&amp;" "&amp;Master[[#This Row],[Accession Number -Assigned]]</f>
        <v>W6 59712</v>
      </c>
      <c r="C126" t="str">
        <f t="shared" si="20"/>
        <v>Collection source event</v>
      </c>
      <c r="D126" t="str">
        <f t="shared" si="21"/>
        <v>mm/dd/yyyy</v>
      </c>
      <c r="E126" s="77">
        <f>IF(IF(Master[[#This Row],[Date Collected or Developed]]="",Master[[#This Row],[Received Date -received by site]],Master[[#This Row],[Date Collected or Developed]])="","",(IF(Master[[#This Row],[Date Collected or Developed]]="",Master[[#This Row],[Received Date -received by site]],Master[[#This Row],[Date Collected or Developed]])))</f>
        <v>44075</v>
      </c>
      <c r="F126" s="76" t="str">
        <f>IF(Master[[#This Row],[Geography (Collection) -Lookup Picker in GRIN]]="","",Master[[#This Row],[Geography (Collection) -Lookup Picker in GRIN]])</f>
        <v>United States, Wyoming, Sheridan</v>
      </c>
      <c r="G126" t="str">
        <f t="shared" si="22"/>
        <v>Y</v>
      </c>
      <c r="H126" s="45" t="str">
        <f>IF(Master[[#This Row],[Collecting or Acquisition Source - List]]="","",Master[[#This Row],[Collecting or Acquisition Source - List]])</f>
        <v/>
      </c>
      <c r="I126" t="str">
        <f>IF(Master[[#This Row],[Inventory Type - Lookup Picker]]="","",Master[[#This Row],[Inventory Type - Lookup Picker]])</f>
        <v>SD</v>
      </c>
      <c r="J126" s="4">
        <f>IF(Master[[#This Row],[Number Plants Sampled]]="","",Master[[#This Row],[Number Plants Sampled]])</f>
        <v>1753</v>
      </c>
      <c r="K126" s="4" t="str">
        <f>IF(Master[[#This Row],[Environment Description]]="","",Master[[#This Row],[Environment Description]])</f>
        <v>None</v>
      </c>
      <c r="L126" s="4" t="str">
        <f>IF(Master[[#This Row],[Collector Verbatim Locality]]="","",Master[[#This Row],[Collector Verbatim Locality]])</f>
        <v>Bighorn National Forest/ Steamboat Point Trail - #630/ From Sheridan, take I-90 W for 14.5 mi. Take exit for US-14 W towards Dayton, and follow for 19.3 miles. Parking area for Steamboat Point Trail located on right (north) side of road. Collection took place on slope following the trail, approximately 800 feet from the parking lot.</v>
      </c>
      <c r="M126" s="4">
        <f>IF(Master[[#This Row],[Elevation (meters)]]=0,"",Master[[#This Row],[Elevation (meters)]])</f>
        <v>2208.2760000000003</v>
      </c>
      <c r="N126" s="55">
        <f>IF(Master[[#This Row],[Latitude -decimal degrees]]="","",Master[[#This Row],[Latitude -decimal degrees]])</f>
        <v>44.803669999999997</v>
      </c>
      <c r="O126" s="55">
        <f>IF(Master[[#This Row],[Longitude -decimal degrees]]="","",Master[[#This Row],[Longitude -decimal degrees]])</f>
        <v>-107.36360000000001</v>
      </c>
      <c r="P126" s="5" t="str">
        <f>IF(Master[[#This Row],[Georeference Datum]]="","",Master[[#This Row],[Georeference Datum]])</f>
        <v>NAD83</v>
      </c>
      <c r="Q126" s="5" t="str">
        <f>IF(Master[[#This Row],[Georeference Protocol - Lookup Picker]]="","",Master[[#This Row],[Georeference Protocol - Lookup Picker]])</f>
        <v>Lat/lon determined by GPS</v>
      </c>
      <c r="R126" s="5" t="str">
        <f>IF(Master[[#This Row],[Associated Species]]="","",Master[[#This Row],[Associated Species]])</f>
        <v>Phleum pratense:Heterotheca villosa:Bromus inermis:Balsamorhiza sagittata:Balsamorhiza macrophylla:Balsamorhiza macrophylla:Solidago sp.:Lupinus sp.:Bromus tectorum:Linum lewisii:Arenaria hookeri:Tragopogon dubius</v>
      </c>
      <c r="S126" t="str">
        <f t="shared" si="23"/>
        <v>Y</v>
      </c>
      <c r="T126" s="5" t="str">
        <f>IF(Master[[#This Row],[Note (Accession Source - Collector)]]="","",Master[[#This Row],[Note (Accession Source - Collector)]])</f>
        <v>Miller, A; Arnold, A; Mirkes, M</v>
      </c>
    </row>
    <row r="127" spans="2:20" x14ac:dyDescent="0.25">
      <c r="B127" t="str">
        <f>Master[[#This Row],[Accession Prefix (NPGS)]]&amp;" "&amp;Master[[#This Row],[Accession Number -Assigned]]</f>
        <v>W6 59713</v>
      </c>
      <c r="C127" t="str">
        <f t="shared" si="20"/>
        <v>Collection source event</v>
      </c>
      <c r="D127" t="str">
        <f t="shared" si="21"/>
        <v>mm/dd/yyyy</v>
      </c>
      <c r="E127" s="77">
        <f>IF(IF(Master[[#This Row],[Date Collected or Developed]]="",Master[[#This Row],[Received Date -received by site]],Master[[#This Row],[Date Collected or Developed]])="","",(IF(Master[[#This Row],[Date Collected or Developed]]="",Master[[#This Row],[Received Date -received by site]],Master[[#This Row],[Date Collected or Developed]])))</f>
        <v>44046</v>
      </c>
      <c r="F127" s="76" t="str">
        <f>IF(Master[[#This Row],[Geography (Collection) -Lookup Picker in GRIN]]="","",Master[[#This Row],[Geography (Collection) -Lookup Picker in GRIN]])</f>
        <v>United States, Wyoming, Lincoln</v>
      </c>
      <c r="G127" t="str">
        <f t="shared" si="22"/>
        <v>Y</v>
      </c>
      <c r="H127" s="45" t="str">
        <f>IF(Master[[#This Row],[Collecting or Acquisition Source - List]]="","",Master[[#This Row],[Collecting or Acquisition Source - List]])</f>
        <v/>
      </c>
      <c r="I127" t="str">
        <f>IF(Master[[#This Row],[Inventory Type - Lookup Picker]]="","",Master[[#This Row],[Inventory Type - Lookup Picker]])</f>
        <v>SD</v>
      </c>
      <c r="J127" s="4">
        <f>IF(Master[[#This Row],[Number Plants Sampled]]="","",Master[[#This Row],[Number Plants Sampled]])</f>
        <v>185</v>
      </c>
      <c r="K127" s="4" t="str">
        <f>IF(Master[[#This Row],[Environment Description]]="","",Master[[#This Row],[Environment Description]])</f>
        <v>Grazed</v>
      </c>
      <c r="L127" s="4" t="str">
        <f>IF(Master[[#This Row],[Collector Verbatim Locality]]="","",Master[[#This Row],[Collector Verbatim Locality]])</f>
        <v>BLM/ / From Alt30/189 Junction in Kemmerer, take 189 N 5 miles, turning NW on County Road 306 (CR 306). In .1 miles bear W at fork onto Farm Field Road. At next immediate junction, bear W again for 1.18 miles. Take two-track bearing E/NE for .09 miles.</v>
      </c>
      <c r="M127" s="4">
        <f>IF(Master[[#This Row],[Elevation (meters)]]=0,"",Master[[#This Row],[Elevation (meters)]])</f>
        <v>2233.8792000000003</v>
      </c>
      <c r="N127" s="55">
        <f>IF(Master[[#This Row],[Latitude -decimal degrees]]="","",Master[[#This Row],[Latitude -decimal degrees]])</f>
        <v>41.86307</v>
      </c>
      <c r="O127" s="55">
        <f>IF(Master[[#This Row],[Longitude -decimal degrees]]="","",Master[[#This Row],[Longitude -decimal degrees]])</f>
        <v>-110.54873000000001</v>
      </c>
      <c r="P127" s="5" t="str">
        <f>IF(Master[[#This Row],[Georeference Datum]]="","",Master[[#This Row],[Georeference Datum]])</f>
        <v>WGS84</v>
      </c>
      <c r="Q127" s="5" t="str">
        <f>IF(Master[[#This Row],[Georeference Protocol - Lookup Picker]]="","",Master[[#This Row],[Georeference Protocol - Lookup Picker]])</f>
        <v>Lat/lon determined by GPS</v>
      </c>
      <c r="R127" s="5" t="str">
        <f>IF(Master[[#This Row],[Associated Species]]="","",Master[[#This Row],[Associated Species]])</f>
        <v>Poa secunda:Ipomopsis congesta:Pseudoroegneria spicata:Artemisia tridentata ssp. vaseyana</v>
      </c>
      <c r="S127" t="str">
        <f t="shared" si="23"/>
        <v>Y</v>
      </c>
      <c r="T127" s="5" t="str">
        <f>IF(Master[[#This Row],[Note (Accession Source - Collector)]]="","",Master[[#This Row],[Note (Accession Source - Collector)]])</f>
        <v>Boies, A., Grelecki, A.</v>
      </c>
    </row>
    <row r="128" spans="2:20" x14ac:dyDescent="0.25">
      <c r="B128" t="str">
        <f>Master[[#This Row],[Accession Prefix (NPGS)]]&amp;" "&amp;Master[[#This Row],[Accession Number -Assigned]]</f>
        <v>W6 59714</v>
      </c>
      <c r="C128" t="str">
        <f t="shared" si="20"/>
        <v>Collection source event</v>
      </c>
      <c r="D128" t="str">
        <f t="shared" si="21"/>
        <v>mm/dd/yyyy</v>
      </c>
      <c r="E128" s="77">
        <f>IF(IF(Master[[#This Row],[Date Collected or Developed]]="",Master[[#This Row],[Received Date -received by site]],Master[[#This Row],[Date Collected or Developed]])="","",(IF(Master[[#This Row],[Date Collected or Developed]]="",Master[[#This Row],[Received Date -received by site]],Master[[#This Row],[Date Collected or Developed]])))</f>
        <v>44048</v>
      </c>
      <c r="F128" s="76" t="str">
        <f>IF(Master[[#This Row],[Geography (Collection) -Lookup Picker in GRIN]]="","",Master[[#This Row],[Geography (Collection) -Lookup Picker in GRIN]])</f>
        <v>United States, Wyoming, Lincoln</v>
      </c>
      <c r="G128" t="str">
        <f t="shared" si="22"/>
        <v>Y</v>
      </c>
      <c r="H128" s="45" t="str">
        <f>IF(Master[[#This Row],[Collecting or Acquisition Source - List]]="","",Master[[#This Row],[Collecting or Acquisition Source - List]])</f>
        <v/>
      </c>
      <c r="I128" t="str">
        <f>IF(Master[[#This Row],[Inventory Type - Lookup Picker]]="","",Master[[#This Row],[Inventory Type - Lookup Picker]])</f>
        <v>SD</v>
      </c>
      <c r="J128" s="4">
        <f>IF(Master[[#This Row],[Number Plants Sampled]]="","",Master[[#This Row],[Number Plants Sampled]])</f>
        <v>191</v>
      </c>
      <c r="K128" s="4" t="str">
        <f>IF(Master[[#This Row],[Environment Description]]="","",Master[[#This Row],[Environment Description]])</f>
        <v>Grazed</v>
      </c>
      <c r="L128" s="4" t="str">
        <f>IF(Master[[#This Row],[Collector Verbatim Locality]]="","",Master[[#This Row],[Collector Verbatim Locality]])</f>
        <v>/ / From Cokeville, WY, take HWY 232 N/NE 5.3 miles; turn NE onto a gravel road that crosses a cattle guard. Follow this road for 1.5 miles, where meets another gravel road going E, follow for 1.7 miles. After the fence line in about .2 miles is a fork, bear SE following this two-track .7 miles. At this junction head north until the road ends. From there it is roughly .5 miles down the mountain on foot.</v>
      </c>
      <c r="M128" s="4">
        <f>IF(Master[[#This Row],[Elevation (meters)]]=0,"",Master[[#This Row],[Elevation (meters)]])</f>
        <v>2136.0383999999999</v>
      </c>
      <c r="N128" s="55">
        <f>IF(Master[[#This Row],[Latitude -decimal degrees]]="","",Master[[#This Row],[Latitude -decimal degrees]])</f>
        <v>42.166969999999999</v>
      </c>
      <c r="O128" s="55">
        <f>IF(Master[[#This Row],[Longitude -decimal degrees]]="","",Master[[#This Row],[Longitude -decimal degrees]])</f>
        <v>-110.83566</v>
      </c>
      <c r="P128" s="5" t="str">
        <f>IF(Master[[#This Row],[Georeference Datum]]="","",Master[[#This Row],[Georeference Datum]])</f>
        <v>WGS84</v>
      </c>
      <c r="Q128" s="5" t="str">
        <f>IF(Master[[#This Row],[Georeference Protocol - Lookup Picker]]="","",Master[[#This Row],[Georeference Protocol - Lookup Picker]])</f>
        <v>Lat/lon determined by GPS</v>
      </c>
      <c r="R128" s="5" t="str">
        <f>IF(Master[[#This Row],[Associated Species]]="","",Master[[#This Row],[Associated Species]])</f>
        <v>Crepis acuminata:Pseudoroegneria spicata:Penstemon humilis:Poa secunda</v>
      </c>
      <c r="S128" t="str">
        <f t="shared" si="23"/>
        <v>Y</v>
      </c>
      <c r="T128" s="5" t="str">
        <f>IF(Master[[#This Row],[Note (Accession Source - Collector)]]="","",Master[[#This Row],[Note (Accession Source - Collector)]])</f>
        <v>Boies, A., Grelecki, A.</v>
      </c>
    </row>
    <row r="129" spans="2:20" x14ac:dyDescent="0.25">
      <c r="B129" t="str">
        <f>Master[[#This Row],[Accession Prefix (NPGS)]]&amp;" "&amp;Master[[#This Row],[Accession Number -Assigned]]</f>
        <v>W6 59715</v>
      </c>
      <c r="C129" t="str">
        <f t="shared" si="20"/>
        <v>Collection source event</v>
      </c>
      <c r="D129" t="str">
        <f t="shared" si="21"/>
        <v>mm/dd/yyyy</v>
      </c>
      <c r="E129" s="77">
        <f>IF(IF(Master[[#This Row],[Date Collected or Developed]]="",Master[[#This Row],[Received Date -received by site]],Master[[#This Row],[Date Collected or Developed]])="","",(IF(Master[[#This Row],[Date Collected or Developed]]="",Master[[#This Row],[Received Date -received by site]],Master[[#This Row],[Date Collected or Developed]])))</f>
        <v>44055</v>
      </c>
      <c r="F129" s="76" t="str">
        <f>IF(Master[[#This Row],[Geography (Collection) -Lookup Picker in GRIN]]="","",Master[[#This Row],[Geography (Collection) -Lookup Picker in GRIN]])</f>
        <v>United States, Wyoming, Lincoln</v>
      </c>
      <c r="G129" t="str">
        <f t="shared" si="22"/>
        <v>Y</v>
      </c>
      <c r="H129" s="45" t="str">
        <f>IF(Master[[#This Row],[Collecting or Acquisition Source - List]]="","",Master[[#This Row],[Collecting or Acquisition Source - List]])</f>
        <v/>
      </c>
      <c r="I129" t="str">
        <f>IF(Master[[#This Row],[Inventory Type - Lookup Picker]]="","",Master[[#This Row],[Inventory Type - Lookup Picker]])</f>
        <v>SD</v>
      </c>
      <c r="J129" s="4">
        <f>IF(Master[[#This Row],[Number Plants Sampled]]="","",Master[[#This Row],[Number Plants Sampled]])</f>
        <v>77</v>
      </c>
      <c r="K129" s="4" t="str">
        <f>IF(Master[[#This Row],[Environment Description]]="","",Master[[#This Row],[Environment Description]])</f>
        <v>Grazed</v>
      </c>
      <c r="L129" s="4" t="str">
        <f>IF(Master[[#This Row],[Collector Verbatim Locality]]="","",Master[[#This Row],[Collector Verbatim Locality]])</f>
        <v>BLM/ / From 30/189 split in Kemmerer, travel .75 miles, turning onto WY-233N. Turn NW on Dempsey road in 3.8 miles. Follow Dempsey road for 4.94 miles. Turn N onto a two-track, follow for .26 miles. At this point you will turn W/NW onto another two-track for .17 miles.</v>
      </c>
      <c r="M129" s="4">
        <f>IF(Master[[#This Row],[Elevation (meters)]]=0,"",Master[[#This Row],[Elevation (meters)]])</f>
        <v>2340.864</v>
      </c>
      <c r="N129" s="55">
        <f>IF(Master[[#This Row],[Latitude -decimal degrees]]="","",Master[[#This Row],[Latitude -decimal degrees]])</f>
        <v>41.892189999999999</v>
      </c>
      <c r="O129" s="55">
        <f>IF(Master[[#This Row],[Longitude -decimal degrees]]="","",Master[[#This Row],[Longitude -decimal degrees]])</f>
        <v>-110.63723</v>
      </c>
      <c r="P129" s="5" t="str">
        <f>IF(Master[[#This Row],[Georeference Datum]]="","",Master[[#This Row],[Georeference Datum]])</f>
        <v>WGS84</v>
      </c>
      <c r="Q129" s="5" t="str">
        <f>IF(Master[[#This Row],[Georeference Protocol - Lookup Picker]]="","",Master[[#This Row],[Georeference Protocol - Lookup Picker]])</f>
        <v>Lat/lon determined by GPS</v>
      </c>
      <c r="R129" s="5" t="str">
        <f>IF(Master[[#This Row],[Associated Species]]="","",Master[[#This Row],[Associated Species]])</f>
        <v>Artemisia arbuscula:Phlox hoodii:Poa secunda:Pseudoroegneria spicata</v>
      </c>
      <c r="S129" t="str">
        <f t="shared" si="23"/>
        <v>Y</v>
      </c>
      <c r="T129" s="5" t="str">
        <f>IF(Master[[#This Row],[Note (Accession Source - Collector)]]="","",Master[[#This Row],[Note (Accession Source - Collector)]])</f>
        <v>Boies, A., Grelecki, A.</v>
      </c>
    </row>
    <row r="130" spans="2:20" x14ac:dyDescent="0.25">
      <c r="B130" t="str">
        <f>Master[[#This Row],[Accession Prefix (NPGS)]]&amp;" "&amp;Master[[#This Row],[Accession Number -Assigned]]</f>
        <v>W6 59716</v>
      </c>
      <c r="C130" t="str">
        <f t="shared" si="20"/>
        <v>Collection source event</v>
      </c>
      <c r="D130" t="str">
        <f t="shared" si="21"/>
        <v>mm/dd/yyyy</v>
      </c>
      <c r="E130" s="77">
        <f>IF(IF(Master[[#This Row],[Date Collected or Developed]]="",Master[[#This Row],[Received Date -received by site]],Master[[#This Row],[Date Collected or Developed]])="","",(IF(Master[[#This Row],[Date Collected or Developed]]="",Master[[#This Row],[Received Date -received by site]],Master[[#This Row],[Date Collected or Developed]])))</f>
        <v>44060</v>
      </c>
      <c r="F130" s="76" t="str">
        <f>IF(Master[[#This Row],[Geography (Collection) -Lookup Picker in GRIN]]="","",Master[[#This Row],[Geography (Collection) -Lookup Picker in GRIN]])</f>
        <v>United States, Wyoming, Lincoln</v>
      </c>
      <c r="G130" t="str">
        <f t="shared" si="22"/>
        <v>Y</v>
      </c>
      <c r="H130" s="45" t="str">
        <f>IF(Master[[#This Row],[Collecting or Acquisition Source - List]]="","",Master[[#This Row],[Collecting or Acquisition Source - List]])</f>
        <v/>
      </c>
      <c r="I130" t="str">
        <f>IF(Master[[#This Row],[Inventory Type - Lookup Picker]]="","",Master[[#This Row],[Inventory Type - Lookup Picker]])</f>
        <v>SD</v>
      </c>
      <c r="J130" s="4">
        <f>IF(Master[[#This Row],[Number Plants Sampled]]="","",Master[[#This Row],[Number Plants Sampled]])</f>
        <v>113</v>
      </c>
      <c r="K130" s="4" t="str">
        <f>IF(Master[[#This Row],[Environment Description]]="","",Master[[#This Row],[Environment Description]])</f>
        <v>Grazed</v>
      </c>
      <c r="L130" s="4" t="str">
        <f>IF(Master[[#This Row],[Collector Verbatim Locality]]="","",Master[[#This Row],[Collector Verbatim Locality]])</f>
        <v>/ / From Junction of WY089 and US30 follow US30 East toward Kemmerer for 4.9 miles, at turn off there is a large fence, turn South at underpass across the train tracks, continue through hunt area 6 , at 41.76838, -110.89066 bear NE at fork for about 2 miles, turn South on 2 track for 0.5 miles.</v>
      </c>
      <c r="M130" s="4">
        <f>IF(Master[[#This Row],[Elevation (meters)]]=0,"",Master[[#This Row],[Elevation (meters)]])</f>
        <v>2249.1192000000001</v>
      </c>
      <c r="N130" s="55">
        <f>IF(Master[[#This Row],[Latitude -decimal degrees]]="","",Master[[#This Row],[Latitude -decimal degrees]])</f>
        <v>41.765470000000001</v>
      </c>
      <c r="O130" s="55">
        <f>IF(Master[[#This Row],[Longitude -decimal degrees]]="","",Master[[#This Row],[Longitude -decimal degrees]])</f>
        <v>-110.8428</v>
      </c>
      <c r="P130" s="5" t="str">
        <f>IF(Master[[#This Row],[Georeference Datum]]="","",Master[[#This Row],[Georeference Datum]])</f>
        <v>WGS84</v>
      </c>
      <c r="Q130" s="5" t="str">
        <f>IF(Master[[#This Row],[Georeference Protocol - Lookup Picker]]="","",Master[[#This Row],[Georeference Protocol - Lookup Picker]])</f>
        <v>Lat/lon determined by GPS</v>
      </c>
      <c r="R130" s="5" t="str">
        <f>IF(Master[[#This Row],[Associated Species]]="","",Master[[#This Row],[Associated Species]])</f>
        <v>Artemisia cana:Poa secunda:Gentiana calycosa:Ipomopsis aggregata</v>
      </c>
      <c r="S130" t="str">
        <f t="shared" si="23"/>
        <v>Y</v>
      </c>
      <c r="T130" s="5" t="str">
        <f>IF(Master[[#This Row],[Note (Accession Source - Collector)]]="","",Master[[#This Row],[Note (Accession Source - Collector)]])</f>
        <v>Boies, A., Grelecki, A.</v>
      </c>
    </row>
    <row r="131" spans="2:20" x14ac:dyDescent="0.25">
      <c r="B131" t="str">
        <f>Master[[#This Row],[Accession Prefix (NPGS)]]&amp;" "&amp;Master[[#This Row],[Accession Number -Assigned]]</f>
        <v>W6 59717</v>
      </c>
      <c r="C131" t="str">
        <f t="shared" si="20"/>
        <v>Collection source event</v>
      </c>
      <c r="D131" t="str">
        <f t="shared" si="21"/>
        <v>mm/dd/yyyy</v>
      </c>
      <c r="E131" s="77">
        <f>IF(IF(Master[[#This Row],[Date Collected or Developed]]="",Master[[#This Row],[Received Date -received by site]],Master[[#This Row],[Date Collected or Developed]])="","",(IF(Master[[#This Row],[Date Collected or Developed]]="",Master[[#This Row],[Received Date -received by site]],Master[[#This Row],[Date Collected or Developed]])))</f>
        <v>44062</v>
      </c>
      <c r="F131" s="76" t="str">
        <f>IF(Master[[#This Row],[Geography (Collection) -Lookup Picker in GRIN]]="","",Master[[#This Row],[Geography (Collection) -Lookup Picker in GRIN]])</f>
        <v>United States, Wyoming, Lincoln</v>
      </c>
      <c r="G131" t="str">
        <f t="shared" si="22"/>
        <v>Y</v>
      </c>
      <c r="H131" s="45" t="str">
        <f>IF(Master[[#This Row],[Collecting or Acquisition Source - List]]="","",Master[[#This Row],[Collecting or Acquisition Source - List]])</f>
        <v/>
      </c>
      <c r="I131" t="str">
        <f>IF(Master[[#This Row],[Inventory Type - Lookup Picker]]="","",Master[[#This Row],[Inventory Type - Lookup Picker]])</f>
        <v>SD</v>
      </c>
      <c r="J131" s="4">
        <f>IF(Master[[#This Row],[Number Plants Sampled]]="","",Master[[#This Row],[Number Plants Sampled]])</f>
        <v>279</v>
      </c>
      <c r="K131" s="4" t="str">
        <f>IF(Master[[#This Row],[Environment Description]]="","",Master[[#This Row],[Environment Description]])</f>
        <v>Mowed:Grazed</v>
      </c>
      <c r="L131" s="4" t="str">
        <f>IF(Master[[#This Row],[Collector Verbatim Locality]]="","",Master[[#This Row],[Collector Verbatim Locality]])</f>
        <v>/ / From Alt30/189 Junction in Kemmerer, take 189 N 5 miles, turning NW on County Road 306 (CR 306). Follow CR306 for 9.3 miles. Bear left at fork for .25 miles, turn W onto two-track for .15 miles or until it ends. Collection site is .15 miles to the N.</v>
      </c>
      <c r="M131" s="4">
        <f>IF(Master[[#This Row],[Elevation (meters)]]=0,"",Master[[#This Row],[Elevation (meters)]])</f>
        <v>2251.8624</v>
      </c>
      <c r="N131" s="55">
        <f>IF(Master[[#This Row],[Latitude -decimal degrees]]="","",Master[[#This Row],[Latitude -decimal degrees]])</f>
        <v>41.988709999999998</v>
      </c>
      <c r="O131" s="55">
        <f>IF(Master[[#This Row],[Longitude -decimal degrees]]="","",Master[[#This Row],[Longitude -decimal degrees]])</f>
        <v>-110.52948000000001</v>
      </c>
      <c r="P131" s="5" t="str">
        <f>IF(Master[[#This Row],[Georeference Datum]]="","",Master[[#This Row],[Georeference Datum]])</f>
        <v>WGS84</v>
      </c>
      <c r="Q131" s="5" t="str">
        <f>IF(Master[[#This Row],[Georeference Protocol - Lookup Picker]]="","",Master[[#This Row],[Georeference Protocol - Lookup Picker]])</f>
        <v>Lat/lon determined by GPS</v>
      </c>
      <c r="R131" s="5" t="str">
        <f>IF(Master[[#This Row],[Associated Species]]="","",Master[[#This Row],[Associated Species]])</f>
        <v>Hymenoxys hoopesii:Artemisia cana:Symphyotrichum lanceolatum:Lupinus argenteus</v>
      </c>
      <c r="S131" t="str">
        <f t="shared" si="23"/>
        <v>Y</v>
      </c>
      <c r="T131" s="5" t="str">
        <f>IF(Master[[#This Row],[Note (Accession Source - Collector)]]="","",Master[[#This Row],[Note (Accession Source - Collector)]])</f>
        <v>Boies, A., Grelecki, A.</v>
      </c>
    </row>
    <row r="132" spans="2:20" x14ac:dyDescent="0.25">
      <c r="B132" t="str">
        <f>Master[[#This Row],[Accession Prefix (NPGS)]]&amp;" "&amp;Master[[#This Row],[Accession Number -Assigned]]</f>
        <v>W6 59718</v>
      </c>
      <c r="C132" t="str">
        <f t="shared" si="20"/>
        <v>Collection source event</v>
      </c>
      <c r="D132" t="str">
        <f t="shared" si="21"/>
        <v>mm/dd/yyyy</v>
      </c>
      <c r="E132" s="77">
        <f>IF(IF(Master[[#This Row],[Date Collected or Developed]]="",Master[[#This Row],[Received Date -received by site]],Master[[#This Row],[Date Collected or Developed]])="","",(IF(Master[[#This Row],[Date Collected or Developed]]="",Master[[#This Row],[Received Date -received by site]],Master[[#This Row],[Date Collected or Developed]])))</f>
        <v>44062</v>
      </c>
      <c r="F132" s="76" t="str">
        <f>IF(Master[[#This Row],[Geography (Collection) -Lookup Picker in GRIN]]="","",Master[[#This Row],[Geography (Collection) -Lookup Picker in GRIN]])</f>
        <v>United States, Wyoming, Lincoln</v>
      </c>
      <c r="G132" t="str">
        <f t="shared" si="22"/>
        <v>Y</v>
      </c>
      <c r="H132" s="45" t="str">
        <f>IF(Master[[#This Row],[Collecting or Acquisition Source - List]]="","",Master[[#This Row],[Collecting or Acquisition Source - List]])</f>
        <v/>
      </c>
      <c r="I132" t="str">
        <f>IF(Master[[#This Row],[Inventory Type - Lookup Picker]]="","",Master[[#This Row],[Inventory Type - Lookup Picker]])</f>
        <v>SD</v>
      </c>
      <c r="J132" s="4">
        <f>IF(Master[[#This Row],[Number Plants Sampled]]="","",Master[[#This Row],[Number Plants Sampled]])</f>
        <v>417</v>
      </c>
      <c r="K132" s="4" t="str">
        <f>IF(Master[[#This Row],[Environment Description]]="","",Master[[#This Row],[Environment Description]])</f>
        <v>Grazed</v>
      </c>
      <c r="L132" s="4" t="str">
        <f>IF(Master[[#This Row],[Collector Verbatim Locality]]="","",Master[[#This Row],[Collector Verbatim Locality]])</f>
        <v>/ / From Alt30/189 Junction in Kemmerer, take 189 5 miles, turning NW on County Road 306 (CR 306). Follow CR306 for 9.3 miles. Bear left at fork and follow for 2.9 miles. At fork, bear West (left) for .4 miles.</v>
      </c>
      <c r="M132" s="4">
        <f>IF(Master[[#This Row],[Elevation (meters)]]=0,"",Master[[#This Row],[Elevation (meters)]])</f>
        <v>2333.8535999999999</v>
      </c>
      <c r="N132" s="55">
        <f>IF(Master[[#This Row],[Latitude -decimal degrees]]="","",Master[[#This Row],[Latitude -decimal degrees]])</f>
        <v>42.006639999999997</v>
      </c>
      <c r="O132" s="55">
        <f>IF(Master[[#This Row],[Longitude -decimal degrees]]="","",Master[[#This Row],[Longitude -decimal degrees]])</f>
        <v>-110.56185000000001</v>
      </c>
      <c r="P132" s="5" t="str">
        <f>IF(Master[[#This Row],[Georeference Datum]]="","",Master[[#This Row],[Georeference Datum]])</f>
        <v>WGS84</v>
      </c>
      <c r="Q132" s="5" t="str">
        <f>IF(Master[[#This Row],[Georeference Protocol - Lookup Picker]]="","",Master[[#This Row],[Georeference Protocol - Lookup Picker]])</f>
        <v>Lat/lon determined by GPS</v>
      </c>
      <c r="R132" s="5" t="str">
        <f>IF(Master[[#This Row],[Associated Species]]="","",Master[[#This Row],[Associated Species]])</f>
        <v>Artemisia cana:Eriogonum umbellatum:Pseudotsuga menziesii:Achillea millefolium</v>
      </c>
      <c r="S132" t="str">
        <f t="shared" si="23"/>
        <v>Y</v>
      </c>
      <c r="T132" s="5" t="str">
        <f>IF(Master[[#This Row],[Note (Accession Source - Collector)]]="","",Master[[#This Row],[Note (Accession Source - Collector)]])</f>
        <v>Boies, A., Grelecki, A.</v>
      </c>
    </row>
    <row r="133" spans="2:20" x14ac:dyDescent="0.25">
      <c r="B133" t="str">
        <f>Master[[#This Row],[Accession Prefix (NPGS)]]&amp;" "&amp;Master[[#This Row],[Accession Number -Assigned]]</f>
        <v>W6 59719</v>
      </c>
      <c r="C133" t="str">
        <f t="shared" si="20"/>
        <v>Collection source event</v>
      </c>
      <c r="D133" t="str">
        <f t="shared" si="21"/>
        <v>mm/dd/yyyy</v>
      </c>
      <c r="E133" s="77">
        <f>IF(IF(Master[[#This Row],[Date Collected or Developed]]="",Master[[#This Row],[Received Date -received by site]],Master[[#This Row],[Date Collected or Developed]])="","",(IF(Master[[#This Row],[Date Collected or Developed]]="",Master[[#This Row],[Received Date -received by site]],Master[[#This Row],[Date Collected or Developed]])))</f>
        <v>44069</v>
      </c>
      <c r="F133" s="76" t="str">
        <f>IF(Master[[#This Row],[Geography (Collection) -Lookup Picker in GRIN]]="","",Master[[#This Row],[Geography (Collection) -Lookup Picker in GRIN]])</f>
        <v>United States, Wyoming, Lincoln</v>
      </c>
      <c r="G133" t="str">
        <f t="shared" si="22"/>
        <v>Y</v>
      </c>
      <c r="H133" s="45" t="str">
        <f>IF(Master[[#This Row],[Collecting or Acquisition Source - List]]="","",Master[[#This Row],[Collecting or Acquisition Source - List]])</f>
        <v/>
      </c>
      <c r="I133" t="str">
        <f>IF(Master[[#This Row],[Inventory Type - Lookup Picker]]="","",Master[[#This Row],[Inventory Type - Lookup Picker]])</f>
        <v>SD</v>
      </c>
      <c r="J133" s="4">
        <f>IF(Master[[#This Row],[Number Plants Sampled]]="","",Master[[#This Row],[Number Plants Sampled]])</f>
        <v>278</v>
      </c>
      <c r="K133" s="4" t="str">
        <f>IF(Master[[#This Row],[Environment Description]]="","",Master[[#This Row],[Environment Description]])</f>
        <v>Grazed</v>
      </c>
      <c r="L133" s="4" t="str">
        <f>IF(Master[[#This Row],[Collector Verbatim Locality]]="","",Master[[#This Row],[Collector Verbatim Locality]])</f>
        <v>/ / From Alt30/189 Junction in Kemmerer, take 189 N 5 miles, turning NW on County Road 306 (CR 306). Follow CR306 for 9.3 miles. Bear left at fork and follow for 2.9 miles. At fork, bear West (left) for .4 miles.</v>
      </c>
      <c r="M133" s="4">
        <f>IF(Master[[#This Row],[Elevation (meters)]]=0,"",Master[[#This Row],[Elevation (meters)]])</f>
        <v>2334.768</v>
      </c>
      <c r="N133" s="55">
        <f>IF(Master[[#This Row],[Latitude -decimal degrees]]="","",Master[[#This Row],[Latitude -decimal degrees]])</f>
        <v>42.007860000000001</v>
      </c>
      <c r="O133" s="55">
        <f>IF(Master[[#This Row],[Longitude -decimal degrees]]="","",Master[[#This Row],[Longitude -decimal degrees]])</f>
        <v>-110.56079</v>
      </c>
      <c r="P133" s="5" t="str">
        <f>IF(Master[[#This Row],[Georeference Datum]]="","",Master[[#This Row],[Georeference Datum]])</f>
        <v>WGS84</v>
      </c>
      <c r="Q133" s="5" t="str">
        <f>IF(Master[[#This Row],[Georeference Protocol - Lookup Picker]]="","",Master[[#This Row],[Georeference Protocol - Lookup Picker]])</f>
        <v>Lat/lon determined by GPS</v>
      </c>
      <c r="R133" s="5" t="str">
        <f>IF(Master[[#This Row],[Associated Species]]="","",Master[[#This Row],[Associated Species]])</f>
        <v>Penstemon procerus:Eriogonum umbellatum:Artemisia cana:Ipomopsis aggregata</v>
      </c>
      <c r="S133" t="str">
        <f t="shared" si="23"/>
        <v>Y</v>
      </c>
      <c r="T133" s="5" t="str">
        <f>IF(Master[[#This Row],[Note (Accession Source - Collector)]]="","",Master[[#This Row],[Note (Accession Source - Collector)]])</f>
        <v>Boies, A., Grelecki, A.</v>
      </c>
    </row>
    <row r="134" spans="2:20" x14ac:dyDescent="0.25">
      <c r="B134" t="str">
        <f>Master[[#This Row],[Accession Prefix (NPGS)]]&amp;" "&amp;Master[[#This Row],[Accession Number -Assigned]]</f>
        <v>W6 59720</v>
      </c>
      <c r="C134" t="str">
        <f t="shared" si="20"/>
        <v>Collection source event</v>
      </c>
      <c r="D134" t="str">
        <f t="shared" si="21"/>
        <v>mm/dd/yyyy</v>
      </c>
      <c r="E134" s="77">
        <f>IF(IF(Master[[#This Row],[Date Collected or Developed]]="",Master[[#This Row],[Received Date -received by site]],Master[[#This Row],[Date Collected or Developed]])="","",(IF(Master[[#This Row],[Date Collected or Developed]]="",Master[[#This Row],[Received Date -received by site]],Master[[#This Row],[Date Collected or Developed]])))</f>
        <v>44069</v>
      </c>
      <c r="F134" s="76" t="str">
        <f>IF(Master[[#This Row],[Geography (Collection) -Lookup Picker in GRIN]]="","",Master[[#This Row],[Geography (Collection) -Lookup Picker in GRIN]])</f>
        <v>United States, Wyoming, Lincoln</v>
      </c>
      <c r="G134" t="str">
        <f t="shared" si="22"/>
        <v>Y</v>
      </c>
      <c r="H134" s="45" t="str">
        <f>IF(Master[[#This Row],[Collecting or Acquisition Source - List]]="","",Master[[#This Row],[Collecting or Acquisition Source - List]])</f>
        <v/>
      </c>
      <c r="I134" t="str">
        <f>IF(Master[[#This Row],[Inventory Type - Lookup Picker]]="","",Master[[#This Row],[Inventory Type - Lookup Picker]])</f>
        <v>SD</v>
      </c>
      <c r="J134" s="4">
        <f>IF(Master[[#This Row],[Number Plants Sampled]]="","",Master[[#This Row],[Number Plants Sampled]])</f>
        <v>268</v>
      </c>
      <c r="K134" s="4" t="str">
        <f>IF(Master[[#This Row],[Environment Description]]="","",Master[[#This Row],[Environment Description]])</f>
        <v>Grazed</v>
      </c>
      <c r="L134" s="4" t="str">
        <f>IF(Master[[#This Row],[Collector Verbatim Locality]]="","",Master[[#This Row],[Collector Verbatim Locality]])</f>
        <v>/ / From Alt30/189 Junction in Kemmerer, take 189 N/NE 5 miles, turning NW on County Road 306 (CR 306). Follow CR306 for 9.3 miles. Bear left at fork and follow for 2.9 miles. Almost immediately after, in .07 miles take the two-track on the left (heading SW), follow for 3 miles.</v>
      </c>
      <c r="M134" s="4">
        <f>IF(Master[[#This Row],[Elevation (meters)]]=0,"",Master[[#This Row],[Elevation (meters)]])</f>
        <v>2553.9192000000003</v>
      </c>
      <c r="N134" s="55">
        <f>IF(Master[[#This Row],[Latitude -decimal degrees]]="","",Master[[#This Row],[Latitude -decimal degrees]])</f>
        <v>41.996690000000001</v>
      </c>
      <c r="O134" s="55">
        <f>IF(Master[[#This Row],[Longitude -decimal degrees]]="","",Master[[#This Row],[Longitude -decimal degrees]])</f>
        <v>-110.57847</v>
      </c>
      <c r="P134" s="5" t="str">
        <f>IF(Master[[#This Row],[Georeference Datum]]="","",Master[[#This Row],[Georeference Datum]])</f>
        <v>WGS84</v>
      </c>
      <c r="Q134" s="5" t="str">
        <f>IF(Master[[#This Row],[Georeference Protocol - Lookup Picker]]="","",Master[[#This Row],[Georeference Protocol - Lookup Picker]])</f>
        <v>Lat/lon determined by GPS</v>
      </c>
      <c r="R134" s="5" t="str">
        <f>IF(Master[[#This Row],[Associated Species]]="","",Master[[#This Row],[Associated Species]])</f>
        <v>Helianthella uniflora:Ceanothus velutinus:Populus tremuloides:Eriogonum umbellatum</v>
      </c>
      <c r="S134" t="str">
        <f t="shared" si="23"/>
        <v>Y</v>
      </c>
      <c r="T134" s="5" t="str">
        <f>IF(Master[[#This Row],[Note (Accession Source - Collector)]]="","",Master[[#This Row],[Note (Accession Source - Collector)]])</f>
        <v>Boies, A., Grelecki, A.</v>
      </c>
    </row>
    <row r="135" spans="2:20" x14ac:dyDescent="0.25">
      <c r="B135" t="str">
        <f>Master[[#This Row],[Accession Prefix (NPGS)]]&amp;" "&amp;Master[[#This Row],[Accession Number -Assigned]]</f>
        <v>W6 59721</v>
      </c>
      <c r="C135" t="str">
        <f t="shared" si="20"/>
        <v>Collection source event</v>
      </c>
      <c r="D135" t="str">
        <f t="shared" si="21"/>
        <v>mm/dd/yyyy</v>
      </c>
      <c r="E135" s="77">
        <f>IF(IF(Master[[#This Row],[Date Collected or Developed]]="",Master[[#This Row],[Received Date -received by site]],Master[[#This Row],[Date Collected or Developed]])="","",(IF(Master[[#This Row],[Date Collected or Developed]]="",Master[[#This Row],[Received Date -received by site]],Master[[#This Row],[Date Collected or Developed]])))</f>
        <v>44070</v>
      </c>
      <c r="F135" s="76" t="str">
        <f>IF(Master[[#This Row],[Geography (Collection) -Lookup Picker in GRIN]]="","",Master[[#This Row],[Geography (Collection) -Lookup Picker in GRIN]])</f>
        <v>United States, Wyoming, Lincoln</v>
      </c>
      <c r="G135" t="str">
        <f t="shared" si="22"/>
        <v>Y</v>
      </c>
      <c r="H135" s="45" t="str">
        <f>IF(Master[[#This Row],[Collecting or Acquisition Source - List]]="","",Master[[#This Row],[Collecting or Acquisition Source - List]])</f>
        <v/>
      </c>
      <c r="I135" t="str">
        <f>IF(Master[[#This Row],[Inventory Type - Lookup Picker]]="","",Master[[#This Row],[Inventory Type - Lookup Picker]])</f>
        <v>SD</v>
      </c>
      <c r="J135" s="4">
        <f>IF(Master[[#This Row],[Number Plants Sampled]]="","",Master[[#This Row],[Number Plants Sampled]])</f>
        <v>262</v>
      </c>
      <c r="K135" s="4" t="str">
        <f>IF(Master[[#This Row],[Environment Description]]="","",Master[[#This Row],[Environment Description]])</f>
        <v>Grazed</v>
      </c>
      <c r="L135" s="4"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M135" s="4">
        <f>IF(Master[[#This Row],[Elevation (meters)]]=0,"",Master[[#This Row],[Elevation (meters)]])</f>
        <v>1984.8576</v>
      </c>
      <c r="N135" s="55">
        <f>IF(Master[[#This Row],[Latitude -decimal degrees]]="","",Master[[#This Row],[Latitude -decimal degrees]])</f>
        <v>41.843609999999998</v>
      </c>
      <c r="O135" s="55">
        <f>IF(Master[[#This Row],[Longitude -decimal degrees]]="","",Master[[#This Row],[Longitude -decimal degrees]])</f>
        <v>-110.90468</v>
      </c>
      <c r="P135" s="5" t="str">
        <f>IF(Master[[#This Row],[Georeference Datum]]="","",Master[[#This Row],[Georeference Datum]])</f>
        <v>WGS84</v>
      </c>
      <c r="Q135" s="5" t="str">
        <f>IF(Master[[#This Row],[Georeference Protocol - Lookup Picker]]="","",Master[[#This Row],[Georeference Protocol - Lookup Picker]])</f>
        <v>Lat/lon determined by GPS</v>
      </c>
      <c r="R135" s="5" t="str">
        <f>IF(Master[[#This Row],[Associated Species]]="","",Master[[#This Row],[Associated Species]])</f>
        <v>Pascopyrum smithii:Artemisia tridentata ssp. tridentata:Symphyotrichum sp.:Poa secunda</v>
      </c>
      <c r="S135" t="str">
        <f t="shared" si="23"/>
        <v>Y</v>
      </c>
      <c r="T135" s="5" t="str">
        <f>IF(Master[[#This Row],[Note (Accession Source - Collector)]]="","",Master[[#This Row],[Note (Accession Source - Collector)]])</f>
        <v>Boies, A., Grelecki, A.</v>
      </c>
    </row>
    <row r="136" spans="2:20" x14ac:dyDescent="0.25">
      <c r="B136" t="str">
        <f>Master[[#This Row],[Accession Prefix (NPGS)]]&amp;" "&amp;Master[[#This Row],[Accession Number -Assigned]]</f>
        <v>W6 59722</v>
      </c>
      <c r="C136" t="str">
        <f t="shared" si="20"/>
        <v>Collection source event</v>
      </c>
      <c r="D136" t="str">
        <f t="shared" si="21"/>
        <v>mm/dd/yyyy</v>
      </c>
      <c r="E136" s="77">
        <f>IF(IF(Master[[#This Row],[Date Collected or Developed]]="",Master[[#This Row],[Received Date -received by site]],Master[[#This Row],[Date Collected or Developed]])="","",(IF(Master[[#This Row],[Date Collected or Developed]]="",Master[[#This Row],[Received Date -received by site]],Master[[#This Row],[Date Collected or Developed]])))</f>
        <v>44083</v>
      </c>
      <c r="F136" s="76" t="str">
        <f>IF(Master[[#This Row],[Geography (Collection) -Lookup Picker in GRIN]]="","",Master[[#This Row],[Geography (Collection) -Lookup Picker in GRIN]])</f>
        <v>United States, Wyoming, Lincoln</v>
      </c>
      <c r="G136" t="str">
        <f t="shared" si="22"/>
        <v>Y</v>
      </c>
      <c r="H136" s="45" t="str">
        <f>IF(Master[[#This Row],[Collecting or Acquisition Source - List]]="","",Master[[#This Row],[Collecting or Acquisition Source - List]])</f>
        <v/>
      </c>
      <c r="I136" t="str">
        <f>IF(Master[[#This Row],[Inventory Type - Lookup Picker]]="","",Master[[#This Row],[Inventory Type - Lookup Picker]])</f>
        <v>SD</v>
      </c>
      <c r="J136" s="4">
        <f>IF(Master[[#This Row],[Number Plants Sampled]]="","",Master[[#This Row],[Number Plants Sampled]])</f>
        <v>448</v>
      </c>
      <c r="K136" s="4" t="str">
        <f>IF(Master[[#This Row],[Environment Description]]="","",Master[[#This Row],[Environment Description]])</f>
        <v>Grazed</v>
      </c>
      <c r="L136" s="4" t="str">
        <f>IF(Master[[#This Row],[Collector Verbatim Locality]]="","",Master[[#This Row],[Collector Verbatim Locality]])</f>
        <v>/ / From Alt30/189 junction in Kemmerer, take 189 N/NE for 11.9 miles. Turn north onto gravel road, follow for about .4 miles.</v>
      </c>
      <c r="M136" s="4">
        <f>IF(Master[[#This Row],[Elevation (meters)]]=0,"",Master[[#This Row],[Elevation (meters)]])</f>
        <v>2194.8648000000003</v>
      </c>
      <c r="N136" s="55">
        <f>IF(Master[[#This Row],[Latitude -decimal degrees]]="","",Master[[#This Row],[Latitude -decimal degrees]])</f>
        <v>41.904130000000002</v>
      </c>
      <c r="O136" s="55">
        <f>IF(Master[[#This Row],[Longitude -decimal degrees]]="","",Master[[#This Row],[Longitude -decimal degrees]])</f>
        <v>-110.41144</v>
      </c>
      <c r="P136" s="5" t="str">
        <f>IF(Master[[#This Row],[Georeference Datum]]="","",Master[[#This Row],[Georeference Datum]])</f>
        <v>WGS84</v>
      </c>
      <c r="Q136" s="5" t="str">
        <f>IF(Master[[#This Row],[Georeference Protocol - Lookup Picker]]="","",Master[[#This Row],[Georeference Protocol - Lookup Picker]])</f>
        <v>Lat/lon determined by GPS</v>
      </c>
      <c r="R136" s="5" t="str">
        <f>IF(Master[[#This Row],[Associated Species]]="","",Master[[#This Row],[Associated Species]])</f>
        <v>Artemisia tridentata ssp. tridentata:Chrysothamnus viscidiflorus:Linum lewisii:Ipomopsis aggregata</v>
      </c>
      <c r="S136" t="str">
        <f t="shared" si="23"/>
        <v>Y</v>
      </c>
      <c r="T136" s="5" t="str">
        <f>IF(Master[[#This Row],[Note (Accession Source - Collector)]]="","",Master[[#This Row],[Note (Accession Source - Collector)]])</f>
        <v>Boies, A., Grelecki, A</v>
      </c>
    </row>
    <row r="137" spans="2:20" x14ac:dyDescent="0.25">
      <c r="B137" t="str">
        <f>Master[[#This Row],[Accession Prefix (NPGS)]]&amp;" "&amp;Master[[#This Row],[Accession Number -Assigned]]</f>
        <v>W6 59723</v>
      </c>
      <c r="C137" t="str">
        <f t="shared" si="20"/>
        <v>Collection source event</v>
      </c>
      <c r="D137" t="str">
        <f t="shared" si="21"/>
        <v>mm/dd/yyyy</v>
      </c>
      <c r="E137" s="77">
        <f>IF(IF(Master[[#This Row],[Date Collected or Developed]]="",Master[[#This Row],[Received Date -received by site]],Master[[#This Row],[Date Collected or Developed]])="","",(IF(Master[[#This Row],[Date Collected or Developed]]="",Master[[#This Row],[Received Date -received by site]],Master[[#This Row],[Date Collected or Developed]])))</f>
        <v>44084</v>
      </c>
      <c r="F137" s="76" t="str">
        <f>IF(Master[[#This Row],[Geography (Collection) -Lookup Picker in GRIN]]="","",Master[[#This Row],[Geography (Collection) -Lookup Picker in GRIN]])</f>
        <v>United States, Wyoming, Lincoln</v>
      </c>
      <c r="G137" t="str">
        <f t="shared" si="22"/>
        <v>Y</v>
      </c>
      <c r="H137" s="45" t="str">
        <f>IF(Master[[#This Row],[Collecting or Acquisition Source - List]]="","",Master[[#This Row],[Collecting or Acquisition Source - List]])</f>
        <v/>
      </c>
      <c r="I137" t="str">
        <f>IF(Master[[#This Row],[Inventory Type - Lookup Picker]]="","",Master[[#This Row],[Inventory Type - Lookup Picker]])</f>
        <v>SD</v>
      </c>
      <c r="J137" s="4">
        <f>IF(Master[[#This Row],[Number Plants Sampled]]="","",Master[[#This Row],[Number Plants Sampled]])</f>
        <v>120</v>
      </c>
      <c r="K137" s="4" t="str">
        <f>IF(Master[[#This Row],[Environment Description]]="","",Master[[#This Row],[Environment Description]])</f>
        <v>Grazed</v>
      </c>
      <c r="L137" s="4" t="str">
        <f>IF(Master[[#This Row],[Collector Verbatim Locality]]="","",Master[[#This Row],[Collector Verbatim Locality]])</f>
        <v>/ / From Alt30/189 Junction in Kemmerer, take 189 N 5 miles, turning NW on County Road 306 (CR 306). Follow CR306 for 9.3 miles. Bear left at fork and follow for 2.9 miles. At fork, bear West (left) for .4 miles.</v>
      </c>
      <c r="M137" s="4">
        <f>IF(Master[[#This Row],[Elevation (meters)]]=0,"",Master[[#This Row],[Elevation (meters)]])</f>
        <v>2294.5344</v>
      </c>
      <c r="N137" s="55">
        <f>IF(Master[[#This Row],[Latitude -decimal degrees]]="","",Master[[#This Row],[Latitude -decimal degrees]])</f>
        <v>42.005969999999998</v>
      </c>
      <c r="O137" s="55">
        <f>IF(Master[[#This Row],[Longitude -decimal degrees]]="","",Master[[#This Row],[Longitude -decimal degrees]])</f>
        <v>-110.55083</v>
      </c>
      <c r="P137" s="5" t="str">
        <f>IF(Master[[#This Row],[Georeference Datum]]="","",Master[[#This Row],[Georeference Datum]])</f>
        <v>WGS84</v>
      </c>
      <c r="Q137" s="5" t="str">
        <f>IF(Master[[#This Row],[Georeference Protocol - Lookup Picker]]="","",Master[[#This Row],[Georeference Protocol - Lookup Picker]])</f>
        <v>Lat/lon determined by GPS</v>
      </c>
      <c r="R137" s="5" t="str">
        <f>IF(Master[[#This Row],[Associated Species]]="","",Master[[#This Row],[Associated Species]])</f>
        <v>Eriogonum umbellatum:Purshia tridentata:Artemisia tridentata ssp. vaseyana:Ipomopsis aggregata</v>
      </c>
      <c r="S137" t="str">
        <f t="shared" si="23"/>
        <v>Y</v>
      </c>
      <c r="T137" s="5" t="str">
        <f>IF(Master[[#This Row],[Note (Accession Source - Collector)]]="","",Master[[#This Row],[Note (Accession Source - Collector)]])</f>
        <v>Boies, A., Grelecki, A</v>
      </c>
    </row>
    <row r="138" spans="2:20" x14ac:dyDescent="0.25">
      <c r="B138" t="str">
        <f>Master[[#This Row],[Accession Prefix (NPGS)]]&amp;" "&amp;Master[[#This Row],[Accession Number -Assigned]]</f>
        <v>W6 59724</v>
      </c>
      <c r="C138" t="str">
        <f t="shared" si="20"/>
        <v>Collection source event</v>
      </c>
      <c r="D138" t="str">
        <f t="shared" si="21"/>
        <v>mm/dd/yyyy</v>
      </c>
      <c r="E138" s="77">
        <f>IF(IF(Master[[#This Row],[Date Collected or Developed]]="",Master[[#This Row],[Received Date -received by site]],Master[[#This Row],[Date Collected or Developed]])="","",(IF(Master[[#This Row],[Date Collected or Developed]]="",Master[[#This Row],[Received Date -received by site]],Master[[#This Row],[Date Collected or Developed]])))</f>
        <v>44084</v>
      </c>
      <c r="F138" s="76" t="str">
        <f>IF(Master[[#This Row],[Geography (Collection) -Lookup Picker in GRIN]]="","",Master[[#This Row],[Geography (Collection) -Lookup Picker in GRIN]])</f>
        <v>United States, Wyoming, Lincoln</v>
      </c>
      <c r="G138" t="str">
        <f t="shared" si="22"/>
        <v>Y</v>
      </c>
      <c r="H138" s="45" t="str">
        <f>IF(Master[[#This Row],[Collecting or Acquisition Source - List]]="","",Master[[#This Row],[Collecting or Acquisition Source - List]])</f>
        <v/>
      </c>
      <c r="I138" t="str">
        <f>IF(Master[[#This Row],[Inventory Type - Lookup Picker]]="","",Master[[#This Row],[Inventory Type - Lookup Picker]])</f>
        <v>SD</v>
      </c>
      <c r="J138" s="4">
        <f>IF(Master[[#This Row],[Number Plants Sampled]]="","",Master[[#This Row],[Number Plants Sampled]])</f>
        <v>207</v>
      </c>
      <c r="K138" s="4" t="str">
        <f>IF(Master[[#This Row],[Environment Description]]="","",Master[[#This Row],[Environment Description]])</f>
        <v>Grazed:Trampled</v>
      </c>
      <c r="L138" s="4" t="str">
        <f>IF(Master[[#This Row],[Collector Verbatim Locality]]="","",Master[[#This Row],[Collector Verbatim Locality]])</f>
        <v>/ / From Alt30/189 Junction in Kemmerer, take 189 N 5 miles, turning NW on County Road 306 (CR 306). Follow CR306 for 9.3 miles. Bear left at fork for .3 miles. Collection took place on both sides of road, but most abundant on E side on hill sides.</v>
      </c>
      <c r="M138" s="4">
        <f>IF(Master[[#This Row],[Elevation (meters)]]=0,"",Master[[#This Row],[Elevation (meters)]])</f>
        <v>2261.0064000000002</v>
      </c>
      <c r="N138" s="55">
        <f>IF(Master[[#This Row],[Latitude -decimal degrees]]="","",Master[[#This Row],[Latitude -decimal degrees]])</f>
        <v>41.988329999999998</v>
      </c>
      <c r="O138" s="55">
        <f>IF(Master[[#This Row],[Longitude -decimal degrees]]="","",Master[[#This Row],[Longitude -decimal degrees]])</f>
        <v>-110.52561</v>
      </c>
      <c r="P138" s="5" t="str">
        <f>IF(Master[[#This Row],[Georeference Datum]]="","",Master[[#This Row],[Georeference Datum]])</f>
        <v>WGS84</v>
      </c>
      <c r="Q138" s="5" t="str">
        <f>IF(Master[[#This Row],[Georeference Protocol - Lookup Picker]]="","",Master[[#This Row],[Georeference Protocol - Lookup Picker]])</f>
        <v>Lat/lon determined by GPS</v>
      </c>
      <c r="R138" s="5" t="str">
        <f>IF(Master[[#This Row],[Associated Species]]="","",Master[[#This Row],[Associated Species]])</f>
        <v>Eriogonum umbellatum:Achillea millefolium:Artemisia tridentata ssp. vaseyana:Lupinus argenteus:Hordeum brachyantherum:Symphyotrichum lanceolatum</v>
      </c>
      <c r="S138" t="str">
        <f t="shared" si="23"/>
        <v>Y</v>
      </c>
      <c r="T138" s="5" t="str">
        <f>IF(Master[[#This Row],[Note (Accession Source - Collector)]]="","",Master[[#This Row],[Note (Accession Source - Collector)]])</f>
        <v>Boies, A., Grelecki, A</v>
      </c>
    </row>
    <row r="139" spans="2:20" x14ac:dyDescent="0.25">
      <c r="B139" t="str">
        <f>Master[[#This Row],[Accession Prefix (NPGS)]]&amp;" "&amp;Master[[#This Row],[Accession Number -Assigned]]</f>
        <v>W6 59725</v>
      </c>
      <c r="C139" t="str">
        <f t="shared" si="20"/>
        <v>Collection source event</v>
      </c>
      <c r="D139" t="str">
        <f t="shared" si="21"/>
        <v>mm/dd/yyyy</v>
      </c>
      <c r="E139" s="77">
        <f>IF(IF(Master[[#This Row],[Date Collected or Developed]]="",Master[[#This Row],[Received Date -received by site]],Master[[#This Row],[Date Collected or Developed]])="","",(IF(Master[[#This Row],[Date Collected or Developed]]="",Master[[#This Row],[Received Date -received by site]],Master[[#This Row],[Date Collected or Developed]])))</f>
        <v>44089</v>
      </c>
      <c r="F139" s="76" t="str">
        <f>IF(Master[[#This Row],[Geography (Collection) -Lookup Picker in GRIN]]="","",Master[[#This Row],[Geography (Collection) -Lookup Picker in GRIN]])</f>
        <v>United States, Wyoming, Lincoln</v>
      </c>
      <c r="G139" t="str">
        <f t="shared" si="22"/>
        <v>Y</v>
      </c>
      <c r="H139" s="45" t="str">
        <f>IF(Master[[#This Row],[Collecting or Acquisition Source - List]]="","",Master[[#This Row],[Collecting or Acquisition Source - List]])</f>
        <v/>
      </c>
      <c r="I139" t="str">
        <f>IF(Master[[#This Row],[Inventory Type - Lookup Picker]]="","",Master[[#This Row],[Inventory Type - Lookup Picker]])</f>
        <v>SD</v>
      </c>
      <c r="J139" s="4">
        <f>IF(Master[[#This Row],[Number Plants Sampled]]="","",Master[[#This Row],[Number Plants Sampled]])</f>
        <v>461</v>
      </c>
      <c r="K139" s="4" t="str">
        <f>IF(Master[[#This Row],[Environment Description]]="","",Master[[#This Row],[Environment Description]])</f>
        <v>Grazed</v>
      </c>
      <c r="L139" s="4" t="str">
        <f>IF(Master[[#This Row],[Collector Verbatim Locality]]="","",Master[[#This Row],[Collector Verbatim Locality]])</f>
        <v>/ / From Alt30/189 Junction in Kemmerer, take 189 N 5 miles, turning NW on County Road 306 (CR 306). Follow CR306 for 9.3 miles. Bear left at fork for .25 miles, turn W onto two-track for .15 miles or until it ends. Collection site is .15 miles to the N.</v>
      </c>
      <c r="M139" s="4">
        <f>IF(Master[[#This Row],[Elevation (meters)]]=0,"",Master[[#This Row],[Elevation (meters)]])</f>
        <v>2268.3216000000002</v>
      </c>
      <c r="N139" s="55">
        <f>IF(Master[[#This Row],[Latitude -decimal degrees]]="","",Master[[#This Row],[Latitude -decimal degrees]])</f>
        <v>41.990609999999997</v>
      </c>
      <c r="O139" s="55">
        <f>IF(Master[[#This Row],[Longitude -decimal degrees]]="","",Master[[#This Row],[Longitude -decimal degrees]])</f>
        <v>-110.52633</v>
      </c>
      <c r="P139" s="5" t="str">
        <f>IF(Master[[#This Row],[Georeference Datum]]="","",Master[[#This Row],[Georeference Datum]])</f>
        <v>WGS84</v>
      </c>
      <c r="Q139" s="5" t="str">
        <f>IF(Master[[#This Row],[Georeference Protocol - Lookup Picker]]="","",Master[[#This Row],[Georeference Protocol - Lookup Picker]])</f>
        <v>Lat/lon determined by GPS</v>
      </c>
      <c r="R139" s="5" t="str">
        <f>IF(Master[[#This Row],[Associated Species]]="","",Master[[#This Row],[Associated Species]])</f>
        <v>Eriogonum umbellatum:Artemisia tridentata ssp. vaseyana:Linum lewisii:Penstemon procerus</v>
      </c>
      <c r="S139" t="str">
        <f t="shared" si="23"/>
        <v>Y</v>
      </c>
      <c r="T139" s="5" t="str">
        <f>IF(Master[[#This Row],[Note (Accession Source - Collector)]]="","",Master[[#This Row],[Note (Accession Source - Collector)]])</f>
        <v>Boies, A., Grelecki, A</v>
      </c>
    </row>
    <row r="140" spans="2:20" x14ac:dyDescent="0.25">
      <c r="B140" t="str">
        <f>Master[[#This Row],[Accession Prefix (NPGS)]]&amp;" "&amp;Master[[#This Row],[Accession Number -Assigned]]</f>
        <v>W6 59726</v>
      </c>
      <c r="C140" t="str">
        <f t="shared" si="20"/>
        <v>Collection source event</v>
      </c>
      <c r="D140" t="str">
        <f t="shared" si="21"/>
        <v>mm/dd/yyyy</v>
      </c>
      <c r="E140" s="77">
        <f>IF(IF(Master[[#This Row],[Date Collected or Developed]]="",Master[[#This Row],[Received Date -received by site]],Master[[#This Row],[Date Collected or Developed]])="","",(IF(Master[[#This Row],[Date Collected or Developed]]="",Master[[#This Row],[Received Date -received by site]],Master[[#This Row],[Date Collected or Developed]])))</f>
        <v>44091</v>
      </c>
      <c r="F140" s="76" t="str">
        <f>IF(Master[[#This Row],[Geography (Collection) -Lookup Picker in GRIN]]="","",Master[[#This Row],[Geography (Collection) -Lookup Picker in GRIN]])</f>
        <v>United States, Wyoming, Lincoln</v>
      </c>
      <c r="G140" t="str">
        <f t="shared" si="22"/>
        <v>Y</v>
      </c>
      <c r="H140" s="45" t="str">
        <f>IF(Master[[#This Row],[Collecting or Acquisition Source - List]]="","",Master[[#This Row],[Collecting or Acquisition Source - List]])</f>
        <v/>
      </c>
      <c r="I140" t="str">
        <f>IF(Master[[#This Row],[Inventory Type - Lookup Picker]]="","",Master[[#This Row],[Inventory Type - Lookup Picker]])</f>
        <v>SD</v>
      </c>
      <c r="J140" s="4">
        <f>IF(Master[[#This Row],[Number Plants Sampled]]="","",Master[[#This Row],[Number Plants Sampled]])</f>
        <v>629</v>
      </c>
      <c r="K140" s="4" t="str">
        <f>IF(Master[[#This Row],[Environment Description]]="","",Master[[#This Row],[Environment Description]])</f>
        <v>Grazed</v>
      </c>
      <c r="L140" s="4" t="str">
        <f>IF(Master[[#This Row],[Collector Verbatim Locality]]="","",Master[[#This Row],[Collector Verbatim Locality]])</f>
        <v>/ / Follow HWY 232 N from Cokeville for 12.25 miles. Turn E/NE onto a gravel road and follow for .74 miles. There is a dirt two track that cross a stream, this road goes E. Follow for .12 miles until you have crossed onto BLM.</v>
      </c>
      <c r="M140" s="4">
        <f>IF(Master[[#This Row],[Elevation (meters)]]=0,"",Master[[#This Row],[Elevation (meters)]])</f>
        <v>2058.924</v>
      </c>
      <c r="N140" s="55">
        <f>IF(Master[[#This Row],[Latitude -decimal degrees]]="","",Master[[#This Row],[Latitude -decimal degrees]])</f>
        <v>42.239330000000002</v>
      </c>
      <c r="O140" s="55">
        <f>IF(Master[[#This Row],[Longitude -decimal degrees]]="","",Master[[#This Row],[Longitude -decimal degrees]])</f>
        <v>-110.85616</v>
      </c>
      <c r="P140" s="5" t="str">
        <f>IF(Master[[#This Row],[Georeference Datum]]="","",Master[[#This Row],[Georeference Datum]])</f>
        <v>WGS84</v>
      </c>
      <c r="Q140" s="5" t="str">
        <f>IF(Master[[#This Row],[Georeference Protocol - Lookup Picker]]="","",Master[[#This Row],[Georeference Protocol - Lookup Picker]])</f>
        <v>Lat/lon determined by GPS</v>
      </c>
      <c r="R140" s="5" t="str">
        <f>IF(Master[[#This Row],[Associated Species]]="","",Master[[#This Row],[Associated Species]])</f>
        <v>Artemisia tridentata ssp. vaseyana:Symphyotrichum ascendens:Purshia tridentata:Poa secunda:Eriogonum umbellatum:Lupinus sp.</v>
      </c>
      <c r="S140" t="str">
        <f t="shared" si="23"/>
        <v>Y</v>
      </c>
      <c r="T140" s="5" t="str">
        <f>IF(Master[[#This Row],[Note (Accession Source - Collector)]]="","",Master[[#This Row],[Note (Accession Source - Collector)]])</f>
        <v>Boies, A., Grelecki, A</v>
      </c>
    </row>
    <row r="141" spans="2:20" x14ac:dyDescent="0.25">
      <c r="B141" t="str">
        <f>Master[[#This Row],[Accession Prefix (NPGS)]]&amp;" "&amp;Master[[#This Row],[Accession Number -Assigned]]</f>
        <v>W6 59727</v>
      </c>
      <c r="C141" t="str">
        <f t="shared" si="20"/>
        <v>Collection source event</v>
      </c>
      <c r="D141" t="str">
        <f t="shared" si="21"/>
        <v>mm/dd/yyyy</v>
      </c>
      <c r="E141" s="77">
        <f>IF(IF(Master[[#This Row],[Date Collected or Developed]]="",Master[[#This Row],[Received Date -received by site]],Master[[#This Row],[Date Collected or Developed]])="","",(IF(Master[[#This Row],[Date Collected or Developed]]="",Master[[#This Row],[Received Date -received by site]],Master[[#This Row],[Date Collected or Developed]])))</f>
        <v>44091</v>
      </c>
      <c r="F141" s="76" t="str">
        <f>IF(Master[[#This Row],[Geography (Collection) -Lookup Picker in GRIN]]="","",Master[[#This Row],[Geography (Collection) -Lookup Picker in GRIN]])</f>
        <v>United States, Wyoming, Lincoln</v>
      </c>
      <c r="G141" t="str">
        <f t="shared" si="22"/>
        <v>Y</v>
      </c>
      <c r="H141" s="45" t="str">
        <f>IF(Master[[#This Row],[Collecting or Acquisition Source - List]]="","",Master[[#This Row],[Collecting or Acquisition Source - List]])</f>
        <v/>
      </c>
      <c r="I141" t="str">
        <f>IF(Master[[#This Row],[Inventory Type - Lookup Picker]]="","",Master[[#This Row],[Inventory Type - Lookup Picker]])</f>
        <v>SD</v>
      </c>
      <c r="J141" s="4">
        <f>IF(Master[[#This Row],[Number Plants Sampled]]="","",Master[[#This Row],[Number Plants Sampled]])</f>
        <v>532</v>
      </c>
      <c r="K141" s="4" t="str">
        <f>IF(Master[[#This Row],[Environment Description]]="","",Master[[#This Row],[Environment Description]])</f>
        <v>Grazed</v>
      </c>
      <c r="L141" s="4" t="str">
        <f>IF(Master[[#This Row],[Collector Verbatim Locality]]="","",Master[[#This Row],[Collector Verbatim Locality]])</f>
        <v>/ / Follow HWY 232 N from Cokeville for 12.25 miles. Turn E/NE onto a gravel road and follow for .74 miles. There is a dirt two track that cross a stream, this road goes E. Follow for .12 miles until you have crossed onto BLM.</v>
      </c>
      <c r="M141" s="4">
        <f>IF(Master[[#This Row],[Elevation (meters)]]=0,"",Master[[#This Row],[Elevation (meters)]])</f>
        <v>2058.924</v>
      </c>
      <c r="N141" s="55">
        <f>IF(Master[[#This Row],[Latitude -decimal degrees]]="","",Master[[#This Row],[Latitude -decimal degrees]])</f>
        <v>42.239359999999998</v>
      </c>
      <c r="O141" s="55">
        <f>IF(Master[[#This Row],[Longitude -decimal degrees]]="","",Master[[#This Row],[Longitude -decimal degrees]])</f>
        <v>-110.85605</v>
      </c>
      <c r="P141" s="5" t="str">
        <f>IF(Master[[#This Row],[Georeference Datum]]="","",Master[[#This Row],[Georeference Datum]])</f>
        <v>WGS84</v>
      </c>
      <c r="Q141" s="5" t="str">
        <f>IF(Master[[#This Row],[Georeference Protocol - Lookup Picker]]="","",Master[[#This Row],[Georeference Protocol - Lookup Picker]])</f>
        <v>Lat/lon determined by GPS</v>
      </c>
      <c r="R141" s="5" t="str">
        <f>IF(Master[[#This Row],[Associated Species]]="","",Master[[#This Row],[Associated Species]])</f>
        <v>Achillea millefolium:Artemisia tridentata ssp. vaseyana:Purshia tridentata:Poa secunda:Eriogonum umbellatum:Lupinus sp.</v>
      </c>
      <c r="S141" t="str">
        <f t="shared" si="23"/>
        <v>Y</v>
      </c>
      <c r="T141" s="5" t="str">
        <f>IF(Master[[#This Row],[Note (Accession Source - Collector)]]="","",Master[[#This Row],[Note (Accession Source - Collector)]])</f>
        <v>Boies, A., Grelecki, A</v>
      </c>
    </row>
    <row r="142" spans="2:20" x14ac:dyDescent="0.25">
      <c r="B142" t="str">
        <f>Master[[#This Row],[Accession Prefix (NPGS)]]&amp;" "&amp;Master[[#This Row],[Accession Number -Assigned]]</f>
        <v>W6 59728</v>
      </c>
      <c r="C142" t="str">
        <f t="shared" si="20"/>
        <v>Collection source event</v>
      </c>
      <c r="D142" t="str">
        <f t="shared" si="21"/>
        <v>mm/dd/yyyy</v>
      </c>
      <c r="E142" s="77">
        <f>IF(IF(Master[[#This Row],[Date Collected or Developed]]="",Master[[#This Row],[Received Date -received by site]],Master[[#This Row],[Date Collected or Developed]])="","",(IF(Master[[#This Row],[Date Collected or Developed]]="",Master[[#This Row],[Received Date -received by site]],Master[[#This Row],[Date Collected or Developed]])))</f>
        <v>44095</v>
      </c>
      <c r="F142" s="76" t="str">
        <f>IF(Master[[#This Row],[Geography (Collection) -Lookup Picker in GRIN]]="","",Master[[#This Row],[Geography (Collection) -Lookup Picker in GRIN]])</f>
        <v>United States, Wyoming, Lincoln</v>
      </c>
      <c r="G142" t="str">
        <f t="shared" si="22"/>
        <v>Y</v>
      </c>
      <c r="H142" s="45" t="str">
        <f>IF(Master[[#This Row],[Collecting or Acquisition Source - List]]="","",Master[[#This Row],[Collecting or Acquisition Source - List]])</f>
        <v/>
      </c>
      <c r="I142" t="str">
        <f>IF(Master[[#This Row],[Inventory Type - Lookup Picker]]="","",Master[[#This Row],[Inventory Type - Lookup Picker]])</f>
        <v>SD</v>
      </c>
      <c r="J142" s="4">
        <f>IF(Master[[#This Row],[Number Plants Sampled]]="","",Master[[#This Row],[Number Plants Sampled]])</f>
        <v>1223</v>
      </c>
      <c r="K142" s="4" t="str">
        <f>IF(Master[[#This Row],[Environment Description]]="","",Master[[#This Row],[Environment Description]])</f>
        <v>Grazed:Trampled</v>
      </c>
      <c r="L142" s="4"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M142" s="4">
        <f>IF(Master[[#This Row],[Elevation (meters)]]=0,"",Master[[#This Row],[Elevation (meters)]])</f>
        <v>1982.7240000000002</v>
      </c>
      <c r="N142" s="55">
        <f>IF(Master[[#This Row],[Latitude -decimal degrees]]="","",Master[[#This Row],[Latitude -decimal degrees]])</f>
        <v>41.843359999999997</v>
      </c>
      <c r="O142" s="55">
        <f>IF(Master[[#This Row],[Longitude -decimal degrees]]="","",Master[[#This Row],[Longitude -decimal degrees]])</f>
        <v>-110.90519</v>
      </c>
      <c r="P142" s="5" t="str">
        <f>IF(Master[[#This Row],[Georeference Datum]]="","",Master[[#This Row],[Georeference Datum]])</f>
        <v>WGS84</v>
      </c>
      <c r="Q142" s="5" t="str">
        <f>IF(Master[[#This Row],[Georeference Protocol - Lookup Picker]]="","",Master[[#This Row],[Georeference Protocol - Lookup Picker]])</f>
        <v>Lat/lon determined by GPS</v>
      </c>
      <c r="R142" s="5" t="str">
        <f>IF(Master[[#This Row],[Associated Species]]="","",Master[[#This Row],[Associated Species]])</f>
        <v>Artemisia tridentata ssp. tridentata:Achillea millefolium:Chrysothamnus viscidiflorus:Poa secunda</v>
      </c>
      <c r="S142" t="str">
        <f t="shared" si="23"/>
        <v>Y</v>
      </c>
      <c r="T142" s="5" t="str">
        <f>IF(Master[[#This Row],[Note (Accession Source - Collector)]]="","",Master[[#This Row],[Note (Accession Source - Collector)]])</f>
        <v>Boies, A., Grelecki, A.</v>
      </c>
    </row>
    <row r="143" spans="2:20" x14ac:dyDescent="0.25">
      <c r="B143" t="str">
        <f>Master[[#This Row],[Accession Prefix (NPGS)]]&amp;" "&amp;Master[[#This Row],[Accession Number -Assigned]]</f>
        <v>W6 59729</v>
      </c>
      <c r="C143" t="str">
        <f t="shared" si="20"/>
        <v>Collection source event</v>
      </c>
      <c r="D143" t="str">
        <f t="shared" si="21"/>
        <v>mm/dd/yyyy</v>
      </c>
      <c r="E143" s="77">
        <f>IF(IF(Master[[#This Row],[Date Collected or Developed]]="",Master[[#This Row],[Received Date -received by site]],Master[[#This Row],[Date Collected or Developed]])="","",(IF(Master[[#This Row],[Date Collected or Developed]]="",Master[[#This Row],[Received Date -received by site]],Master[[#This Row],[Date Collected or Developed]])))</f>
        <v>44097</v>
      </c>
      <c r="F143" s="76" t="str">
        <f>IF(Master[[#This Row],[Geography (Collection) -Lookup Picker in GRIN]]="","",Master[[#This Row],[Geography (Collection) -Lookup Picker in GRIN]])</f>
        <v>United States, Wyoming, Lincoln</v>
      </c>
      <c r="G143" t="str">
        <f t="shared" si="22"/>
        <v>Y</v>
      </c>
      <c r="H143" s="45" t="str">
        <f>IF(Master[[#This Row],[Collecting or Acquisition Source - List]]="","",Master[[#This Row],[Collecting or Acquisition Source - List]])</f>
        <v/>
      </c>
      <c r="I143" t="str">
        <f>IF(Master[[#This Row],[Inventory Type - Lookup Picker]]="","",Master[[#This Row],[Inventory Type - Lookup Picker]])</f>
        <v>SD</v>
      </c>
      <c r="J143" s="4">
        <f>IF(Master[[#This Row],[Number Plants Sampled]]="","",Master[[#This Row],[Number Plants Sampled]])</f>
        <v>796</v>
      </c>
      <c r="K143" s="4" t="str">
        <f>IF(Master[[#This Row],[Environment Description]]="","",Master[[#This Row],[Environment Description]])</f>
        <v>Grazed</v>
      </c>
      <c r="L143" s="4"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M143" s="4">
        <f>IF(Master[[#This Row],[Elevation (meters)]]=0,"",Master[[#This Row],[Elevation (meters)]])</f>
        <v>2234.1840000000002</v>
      </c>
      <c r="N143" s="55">
        <f>IF(Master[[#This Row],[Latitude -decimal degrees]]="","",Master[[#This Row],[Latitude -decimal degrees]])</f>
        <v>41.862409999999997</v>
      </c>
      <c r="O143" s="55">
        <f>IF(Master[[#This Row],[Longitude -decimal degrees]]="","",Master[[#This Row],[Longitude -decimal degrees]])</f>
        <v>-110.88722</v>
      </c>
      <c r="P143" s="5" t="str">
        <f>IF(Master[[#This Row],[Georeference Datum]]="","",Master[[#This Row],[Georeference Datum]])</f>
        <v>WGS84</v>
      </c>
      <c r="Q143" s="5" t="str">
        <f>IF(Master[[#This Row],[Georeference Protocol - Lookup Picker]]="","",Master[[#This Row],[Georeference Protocol - Lookup Picker]])</f>
        <v>Lat/lon determined by GPS</v>
      </c>
      <c r="R143" s="5" t="str">
        <f>IF(Master[[#This Row],[Associated Species]]="","",Master[[#This Row],[Associated Species]])</f>
        <v>Chrysothamnus viscidiflorus:Koeleria macrantha:Koeleria macrantha:Amelanchier alnifolia:Castilleja sp.:Purshia tridentata</v>
      </c>
      <c r="S143" t="str">
        <f t="shared" si="23"/>
        <v>Y</v>
      </c>
      <c r="T143" s="5" t="str">
        <f>IF(Master[[#This Row],[Note (Accession Source - Collector)]]="","",Master[[#This Row],[Note (Accession Source - Collector)]])</f>
        <v>Boies, A., Grelecki, A.</v>
      </c>
    </row>
    <row r="144" spans="2:20" x14ac:dyDescent="0.25">
      <c r="B144" t="str">
        <f>Master[[#This Row],[Accession Prefix (NPGS)]]&amp;" "&amp;Master[[#This Row],[Accession Number -Assigned]]</f>
        <v>W6 59730</v>
      </c>
      <c r="C144" t="str">
        <f t="shared" si="20"/>
        <v>Collection source event</v>
      </c>
      <c r="D144" t="str">
        <f t="shared" si="21"/>
        <v>mm/dd/yyyy</v>
      </c>
      <c r="E144" s="77">
        <f>IF(IF(Master[[#This Row],[Date Collected or Developed]]="",Master[[#This Row],[Received Date -received by site]],Master[[#This Row],[Date Collected or Developed]])="","",(IF(Master[[#This Row],[Date Collected or Developed]]="",Master[[#This Row],[Received Date -received by site]],Master[[#This Row],[Date Collected or Developed]])))</f>
        <v>44098</v>
      </c>
      <c r="F144" s="76" t="str">
        <f>IF(Master[[#This Row],[Geography (Collection) -Lookup Picker in GRIN]]="","",Master[[#This Row],[Geography (Collection) -Lookup Picker in GRIN]])</f>
        <v>United States, Wyoming, Lincoln</v>
      </c>
      <c r="G144" t="str">
        <f t="shared" si="22"/>
        <v>Y</v>
      </c>
      <c r="H144" s="45" t="str">
        <f>IF(Master[[#This Row],[Collecting or Acquisition Source - List]]="","",Master[[#This Row],[Collecting or Acquisition Source - List]])</f>
        <v/>
      </c>
      <c r="I144" t="str">
        <f>IF(Master[[#This Row],[Inventory Type - Lookup Picker]]="","",Master[[#This Row],[Inventory Type - Lookup Picker]])</f>
        <v>SD</v>
      </c>
      <c r="J144" s="4">
        <f>IF(Master[[#This Row],[Number Plants Sampled]]="","",Master[[#This Row],[Number Plants Sampled]])</f>
        <v>550</v>
      </c>
      <c r="K144" s="4" t="str">
        <f>IF(Master[[#This Row],[Environment Description]]="","",Master[[#This Row],[Environment Description]])</f>
        <v>Grazed</v>
      </c>
      <c r="L144" s="4" t="str">
        <f>IF(Master[[#This Row],[Collector Verbatim Locality]]="","",Master[[#This Row],[Collector Verbatim Locality]])</f>
        <v>/ / From the junction of HWY30 and Co Rd 300 travel E for 1.69 miles. Travel N/NW for 1.28 miles, at this junction bear N. Travel for 1.75 miles on this road to get to collection area.</v>
      </c>
      <c r="M144" s="4">
        <f>IF(Master[[#This Row],[Elevation (meters)]]=0,"",Master[[#This Row],[Elevation (meters)]])</f>
        <v>2199.4367999999999</v>
      </c>
      <c r="N144" s="55">
        <f>IF(Master[[#This Row],[Latitude -decimal degrees]]="","",Master[[#This Row],[Latitude -decimal degrees]])</f>
        <v>41.853050000000003</v>
      </c>
      <c r="O144" s="55">
        <f>IF(Master[[#This Row],[Longitude -decimal degrees]]="","",Master[[#This Row],[Longitude -decimal degrees]])</f>
        <v>-110.80336</v>
      </c>
      <c r="P144" s="5" t="str">
        <f>IF(Master[[#This Row],[Georeference Datum]]="","",Master[[#This Row],[Georeference Datum]])</f>
        <v>WGS84</v>
      </c>
      <c r="Q144" s="5" t="str">
        <f>IF(Master[[#This Row],[Georeference Protocol - Lookup Picker]]="","",Master[[#This Row],[Georeference Protocol - Lookup Picker]])</f>
        <v>Lat/lon determined by GPS</v>
      </c>
      <c r="R144" s="5" t="str">
        <f>IF(Master[[#This Row],[Associated Species]]="","",Master[[#This Row],[Associated Species]])</f>
        <v>Chrysothamnus viscidiflorus:Artemisia arbuscula:Eriogonum umbellatum:Poa secunda:Amelanchier sp.:Amelanchier sp.:Stenotus</v>
      </c>
      <c r="S144" t="str">
        <f t="shared" si="23"/>
        <v>Y</v>
      </c>
      <c r="T144" s="5" t="str">
        <f>IF(Master[[#This Row],[Note (Accession Source - Collector)]]="","",Master[[#This Row],[Note (Accession Source - Collector)]])</f>
        <v>Boies, A., Grelecki, A.</v>
      </c>
    </row>
    <row r="145" spans="2:20" x14ac:dyDescent="0.25">
      <c r="B145" t="str">
        <f>Master[[#This Row],[Accession Prefix (NPGS)]]&amp;" "&amp;Master[[#This Row],[Accession Number -Assigned]]</f>
        <v>W6 59731</v>
      </c>
      <c r="C145" t="str">
        <f t="shared" si="20"/>
        <v>Collection source event</v>
      </c>
      <c r="D145" t="str">
        <f t="shared" si="21"/>
        <v>mm/dd/yyyy</v>
      </c>
      <c r="E145" s="77">
        <f>IF(IF(Master[[#This Row],[Date Collected or Developed]]="",Master[[#This Row],[Received Date -received by site]],Master[[#This Row],[Date Collected or Developed]])="","",(IF(Master[[#This Row],[Date Collected or Developed]]="",Master[[#This Row],[Received Date -received by site]],Master[[#This Row],[Date Collected or Developed]])))</f>
        <v>44105</v>
      </c>
      <c r="F145" s="76" t="str">
        <f>IF(Master[[#This Row],[Geography (Collection) -Lookup Picker in GRIN]]="","",Master[[#This Row],[Geography (Collection) -Lookup Picker in GRIN]])</f>
        <v>United States, Wyoming, Lincoln</v>
      </c>
      <c r="G145" t="str">
        <f t="shared" si="22"/>
        <v>Y</v>
      </c>
      <c r="H145" s="45" t="str">
        <f>IF(Master[[#This Row],[Collecting or Acquisition Source - List]]="","",Master[[#This Row],[Collecting or Acquisition Source - List]])</f>
        <v/>
      </c>
      <c r="I145" t="str">
        <f>IF(Master[[#This Row],[Inventory Type - Lookup Picker]]="","",Master[[#This Row],[Inventory Type - Lookup Picker]])</f>
        <v>SD</v>
      </c>
      <c r="J145" s="4">
        <f>IF(Master[[#This Row],[Number Plants Sampled]]="","",Master[[#This Row],[Number Plants Sampled]])</f>
        <v>796</v>
      </c>
      <c r="K145" s="4" t="str">
        <f>IF(Master[[#This Row],[Environment Description]]="","",Master[[#This Row],[Environment Description]])</f>
        <v>Grazed</v>
      </c>
      <c r="L145" s="4" t="str">
        <f>IF(Master[[#This Row],[Collector Verbatim Locality]]="","",Master[[#This Row],[Collector Verbatim Locality]])</f>
        <v>/ / From the junction of HWY30 and Co Rd. 300, travel E on Co Rd 300 for 1.69 miles. Travel N/NW for 1.28 miles, at this junction bear N. Travel for 1.75-2 miles on this road to get to collection area.</v>
      </c>
      <c r="M145" s="4">
        <f>IF(Master[[#This Row],[Elevation (meters)]]=0,"",Master[[#This Row],[Elevation (meters)]])</f>
        <v>2202.4848000000002</v>
      </c>
      <c r="N145" s="55">
        <f>IF(Master[[#This Row],[Latitude -decimal degrees]]="","",Master[[#This Row],[Latitude -decimal degrees]])</f>
        <v>41.855359999999997</v>
      </c>
      <c r="O145" s="55">
        <f>IF(Master[[#This Row],[Longitude -decimal degrees]]="","",Master[[#This Row],[Longitude -decimal degrees]])</f>
        <v>-110.80172</v>
      </c>
      <c r="P145" s="5" t="str">
        <f>IF(Master[[#This Row],[Georeference Datum]]="","",Master[[#This Row],[Georeference Datum]])</f>
        <v>WGS84</v>
      </c>
      <c r="Q145" s="5" t="str">
        <f>IF(Master[[#This Row],[Georeference Protocol - Lookup Picker]]="","",Master[[#This Row],[Georeference Protocol - Lookup Picker]])</f>
        <v>Lat/lon determined by GPS</v>
      </c>
      <c r="R145" s="5" t="str">
        <f>IF(Master[[#This Row],[Associated Species]]="","",Master[[#This Row],[Associated Species]])</f>
        <v>Purshia tridentata:Symphyotrichum ascendens:Koeleria macrantha:Poa secunda:Artemisia cana:Artemisia arbuscula:Eriogonum umbellatum</v>
      </c>
      <c r="S145" t="str">
        <f t="shared" si="23"/>
        <v>Y</v>
      </c>
      <c r="T145" s="5" t="str">
        <f>IF(Master[[#This Row],[Note (Accession Source - Collector)]]="","",Master[[#This Row],[Note (Accession Source - Collector)]])</f>
        <v>Boies, A., Grelecki, A.</v>
      </c>
    </row>
    <row r="146" spans="2:20" x14ac:dyDescent="0.25">
      <c r="B146" t="str">
        <f>Master[[#This Row],[Accession Prefix (NPGS)]]&amp;" "&amp;Master[[#This Row],[Accession Number -Assigned]]</f>
        <v>W6 59732</v>
      </c>
      <c r="C146" t="str">
        <f t="shared" si="20"/>
        <v>Collection source event</v>
      </c>
      <c r="D146" t="str">
        <f t="shared" si="21"/>
        <v>mm/dd/yyyy</v>
      </c>
      <c r="E146" s="77">
        <f>IF(IF(Master[[#This Row],[Date Collected or Developed]]="",Master[[#This Row],[Received Date -received by site]],Master[[#This Row],[Date Collected or Developed]])="","",(IF(Master[[#This Row],[Date Collected or Developed]]="",Master[[#This Row],[Received Date -received by site]],Master[[#This Row],[Date Collected or Developed]])))</f>
        <v>44106</v>
      </c>
      <c r="F146" s="76" t="str">
        <f>IF(Master[[#This Row],[Geography (Collection) -Lookup Picker in GRIN]]="","",Master[[#This Row],[Geography (Collection) -Lookup Picker in GRIN]])</f>
        <v>United States, Wyoming, Lincoln</v>
      </c>
      <c r="G146" t="str">
        <f t="shared" si="22"/>
        <v>Y</v>
      </c>
      <c r="H146" s="45" t="str">
        <f>IF(Master[[#This Row],[Collecting or Acquisition Source - List]]="","",Master[[#This Row],[Collecting or Acquisition Source - List]])</f>
        <v/>
      </c>
      <c r="I146" t="str">
        <f>IF(Master[[#This Row],[Inventory Type - Lookup Picker]]="","",Master[[#This Row],[Inventory Type - Lookup Picker]])</f>
        <v>SD</v>
      </c>
      <c r="J146" s="4">
        <f>IF(Master[[#This Row],[Number Plants Sampled]]="","",Master[[#This Row],[Number Plants Sampled]])</f>
        <v>238</v>
      </c>
      <c r="K146" s="4" t="str">
        <f>IF(Master[[#This Row],[Environment Description]]="","",Master[[#This Row],[Environment Description]])</f>
        <v>Grazed</v>
      </c>
      <c r="L146" s="4"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M146" s="4">
        <f>IF(Master[[#This Row],[Elevation (meters)]]=0,"",Master[[#This Row],[Elevation (meters)]])</f>
        <v>2093.3663999999999</v>
      </c>
      <c r="N146" s="55">
        <f>IF(Master[[#This Row],[Latitude -decimal degrees]]="","",Master[[#This Row],[Latitude -decimal degrees]])</f>
        <v>42.108440000000002</v>
      </c>
      <c r="O146" s="55">
        <f>IF(Master[[#This Row],[Longitude -decimal degrees]]="","",Master[[#This Row],[Longitude -decimal degrees]])</f>
        <v>-110.82561</v>
      </c>
      <c r="P146" s="5" t="str">
        <f>IF(Master[[#This Row],[Georeference Datum]]="","",Master[[#This Row],[Georeference Datum]])</f>
        <v>WGS84</v>
      </c>
      <c r="Q146" s="5" t="str">
        <f>IF(Master[[#This Row],[Georeference Protocol - Lookup Picker]]="","",Master[[#This Row],[Georeference Protocol - Lookup Picker]])</f>
        <v>Lat/lon determined by GPS</v>
      </c>
      <c r="R146" s="5" t="str">
        <f>IF(Master[[#This Row],[Associated Species]]="","",Master[[#This Row],[Associated Species]])</f>
        <v>Cirsium sp.:Artemisia tridentata ssp. vaseyana:Eriogonum umbellatum:Populus tremuloides:Bromus tectorum</v>
      </c>
      <c r="S146" t="str">
        <f t="shared" si="23"/>
        <v>Y</v>
      </c>
      <c r="T146" s="5" t="str">
        <f>IF(Master[[#This Row],[Note (Accession Source - Collector)]]="","",Master[[#This Row],[Note (Accession Source - Collector)]])</f>
        <v>Boies, A., Grelecki, A.</v>
      </c>
    </row>
    <row r="147" spans="2:20" x14ac:dyDescent="0.25">
      <c r="B147" t="str">
        <f>Master[[#This Row],[Accession Prefix (NPGS)]]&amp;" "&amp;Master[[#This Row],[Accession Number -Assigned]]</f>
        <v>W6 59733</v>
      </c>
      <c r="C147" t="str">
        <f t="shared" si="20"/>
        <v>Collection source event</v>
      </c>
      <c r="D147" t="str">
        <f t="shared" si="21"/>
        <v>mm/dd/yyyy</v>
      </c>
      <c r="E147" s="77">
        <f>IF(IF(Master[[#This Row],[Date Collected or Developed]]="",Master[[#This Row],[Received Date -received by site]],Master[[#This Row],[Date Collected or Developed]])="","",(IF(Master[[#This Row],[Date Collected or Developed]]="",Master[[#This Row],[Received Date -received by site]],Master[[#This Row],[Date Collected or Developed]])))</f>
        <v>44109</v>
      </c>
      <c r="F147" s="76" t="str">
        <f>IF(Master[[#This Row],[Geography (Collection) -Lookup Picker in GRIN]]="","",Master[[#This Row],[Geography (Collection) -Lookup Picker in GRIN]])</f>
        <v>United States, Wyoming, Lincoln</v>
      </c>
      <c r="G147" t="str">
        <f t="shared" si="22"/>
        <v>Y</v>
      </c>
      <c r="H147" s="45" t="str">
        <f>IF(Master[[#This Row],[Collecting or Acquisition Source - List]]="","",Master[[#This Row],[Collecting or Acquisition Source - List]])</f>
        <v/>
      </c>
      <c r="I147" t="str">
        <f>IF(Master[[#This Row],[Inventory Type - Lookup Picker]]="","",Master[[#This Row],[Inventory Type - Lookup Picker]])</f>
        <v>SD</v>
      </c>
      <c r="J147" s="4">
        <f>IF(Master[[#This Row],[Number Plants Sampled]]="","",Master[[#This Row],[Number Plants Sampled]])</f>
        <v>203</v>
      </c>
      <c r="K147" s="4" t="str">
        <f>IF(Master[[#This Row],[Environment Description]]="","",Master[[#This Row],[Environment Description]])</f>
        <v>Grazed</v>
      </c>
      <c r="L147" s="4"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M147" s="4">
        <f>IF(Master[[#This Row],[Elevation (meters)]]=0,"",Master[[#This Row],[Elevation (meters)]])</f>
        <v>2093.3663999999999</v>
      </c>
      <c r="N147" s="55">
        <f>IF(Master[[#This Row],[Latitude -decimal degrees]]="","",Master[[#This Row],[Latitude -decimal degrees]])</f>
        <v>42.108440000000002</v>
      </c>
      <c r="O147" s="55">
        <f>IF(Master[[#This Row],[Longitude -decimal degrees]]="","",Master[[#This Row],[Longitude -decimal degrees]])</f>
        <v>-110.82561</v>
      </c>
      <c r="P147" s="5" t="str">
        <f>IF(Master[[#This Row],[Georeference Datum]]="","",Master[[#This Row],[Georeference Datum]])</f>
        <v>WGS84</v>
      </c>
      <c r="Q147" s="5" t="str">
        <f>IF(Master[[#This Row],[Georeference Protocol - Lookup Picker]]="","",Master[[#This Row],[Georeference Protocol - Lookup Picker]])</f>
        <v>Lat/lon determined by GPS</v>
      </c>
      <c r="R147" s="5" t="str">
        <f>IF(Master[[#This Row],[Associated Species]]="","",Master[[#This Row],[Associated Species]])</f>
        <v>Eriogonum umbellatum:Artemisia tridentata ssp. vaseyana:Cirsium sp.:Populus tremuloides:Achillea millefolium</v>
      </c>
      <c r="S147" t="str">
        <f t="shared" si="23"/>
        <v>Y</v>
      </c>
      <c r="T147" s="5" t="str">
        <f>IF(Master[[#This Row],[Note (Accession Source - Collector)]]="","",Master[[#This Row],[Note (Accession Source - Collector)]])</f>
        <v>Boies, A., Grelecki, A.</v>
      </c>
    </row>
    <row r="148" spans="2:20" x14ac:dyDescent="0.25">
      <c r="B148" t="str">
        <f>Master[[#This Row],[Accession Prefix (NPGS)]]&amp;" "&amp;Master[[#This Row],[Accession Number -Assigned]]</f>
        <v>W6 59734</v>
      </c>
      <c r="C148" t="str">
        <f t="shared" si="20"/>
        <v>Collection source event</v>
      </c>
      <c r="D148" t="str">
        <f t="shared" si="21"/>
        <v>mm/dd/yyyy</v>
      </c>
      <c r="E148" s="77">
        <f>IF(IF(Master[[#This Row],[Date Collected or Developed]]="",Master[[#This Row],[Received Date -received by site]],Master[[#This Row],[Date Collected or Developed]])="","",(IF(Master[[#This Row],[Date Collected or Developed]]="",Master[[#This Row],[Received Date -received by site]],Master[[#This Row],[Date Collected or Developed]])))</f>
        <v>44109</v>
      </c>
      <c r="F148" s="76" t="str">
        <f>IF(Master[[#This Row],[Geography (Collection) -Lookup Picker in GRIN]]="","",Master[[#This Row],[Geography (Collection) -Lookup Picker in GRIN]])</f>
        <v>United States, Wyoming, Lincoln</v>
      </c>
      <c r="G148" t="str">
        <f t="shared" si="22"/>
        <v>Y</v>
      </c>
      <c r="H148" s="45" t="str">
        <f>IF(Master[[#This Row],[Collecting or Acquisition Source - List]]="","",Master[[#This Row],[Collecting or Acquisition Source - List]])</f>
        <v/>
      </c>
      <c r="I148" t="str">
        <f>IF(Master[[#This Row],[Inventory Type - Lookup Picker]]="","",Master[[#This Row],[Inventory Type - Lookup Picker]])</f>
        <v>SD</v>
      </c>
      <c r="J148" s="4">
        <f>IF(Master[[#This Row],[Number Plants Sampled]]="","",Master[[#This Row],[Number Plants Sampled]])</f>
        <v>261</v>
      </c>
      <c r="K148" s="4" t="str">
        <f>IF(Master[[#This Row],[Environment Description]]="","",Master[[#This Row],[Environment Description]])</f>
        <v/>
      </c>
      <c r="L148" s="4"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M148" s="4">
        <f>IF(Master[[#This Row],[Elevation (meters)]]=0,"",Master[[#This Row],[Elevation (meters)]])</f>
        <v>2098.8528000000001</v>
      </c>
      <c r="N148" s="55">
        <f>IF(Master[[#This Row],[Latitude -decimal degrees]]="","",Master[[#This Row],[Latitude -decimal degrees]])</f>
        <v>42.108440000000002</v>
      </c>
      <c r="O148" s="55">
        <f>IF(Master[[#This Row],[Longitude -decimal degrees]]="","",Master[[#This Row],[Longitude -decimal degrees]])</f>
        <v>-110.82561</v>
      </c>
      <c r="P148" s="5" t="str">
        <f>IF(Master[[#This Row],[Georeference Datum]]="","",Master[[#This Row],[Georeference Datum]])</f>
        <v>WGS84</v>
      </c>
      <c r="Q148" s="5" t="str">
        <f>IF(Master[[#This Row],[Georeference Protocol - Lookup Picker]]="","",Master[[#This Row],[Georeference Protocol - Lookup Picker]])</f>
        <v>Lat/lon determined by GPS</v>
      </c>
      <c r="R148" s="5" t="str">
        <f>IF(Master[[#This Row],[Associated Species]]="","",Master[[#This Row],[Associated Species]])</f>
        <v>Achillea millefolium:Mahonia repens:Purshia tridentata:Artemisia tridentata ssp. vaseyana:Penstemon procerus</v>
      </c>
      <c r="S148" t="str">
        <f t="shared" si="23"/>
        <v>Y</v>
      </c>
      <c r="T148" s="5" t="str">
        <f>IF(Master[[#This Row],[Note (Accession Source - Collector)]]="","",Master[[#This Row],[Note (Accession Source - Collector)]])</f>
        <v>Boies, A., Grelecki, A</v>
      </c>
    </row>
    <row r="149" spans="2:20" x14ac:dyDescent="0.25">
      <c r="B149" t="str">
        <f>Master[[#This Row],[Accession Prefix (NPGS)]]&amp;" "&amp;Master[[#This Row],[Accession Number -Assigned]]</f>
        <v>W6 59735</v>
      </c>
      <c r="C149" t="str">
        <f t="shared" si="20"/>
        <v>Collection source event</v>
      </c>
      <c r="D149" t="str">
        <f t="shared" si="21"/>
        <v>mm/dd/yyyy</v>
      </c>
      <c r="E149" s="77">
        <f>IF(IF(Master[[#This Row],[Date Collected or Developed]]="",Master[[#This Row],[Received Date -received by site]],Master[[#This Row],[Date Collected or Developed]])="","",(IF(Master[[#This Row],[Date Collected or Developed]]="",Master[[#This Row],[Received Date -received by site]],Master[[#This Row],[Date Collected or Developed]])))</f>
        <v>44041</v>
      </c>
      <c r="F149" s="76" t="str">
        <f>IF(Master[[#This Row],[Geography (Collection) -Lookup Picker in GRIN]]="","",Master[[#This Row],[Geography (Collection) -Lookup Picker in GRIN]])</f>
        <v>United States, Wyoming, Lincoln</v>
      </c>
      <c r="G149" t="str">
        <f t="shared" si="22"/>
        <v>Y</v>
      </c>
      <c r="H149" s="45" t="str">
        <f>IF(Master[[#This Row],[Collecting or Acquisition Source - List]]="","",Master[[#This Row],[Collecting or Acquisition Source - List]])</f>
        <v/>
      </c>
      <c r="I149" t="str">
        <f>IF(Master[[#This Row],[Inventory Type - Lookup Picker]]="","",Master[[#This Row],[Inventory Type - Lookup Picker]])</f>
        <v>SD</v>
      </c>
      <c r="J149" s="4">
        <f>IF(Master[[#This Row],[Number Plants Sampled]]="","",Master[[#This Row],[Number Plants Sampled]])</f>
        <v>171</v>
      </c>
      <c r="K149" s="4" t="str">
        <f>IF(Master[[#This Row],[Environment Description]]="","",Master[[#This Row],[Environment Description]])</f>
        <v/>
      </c>
      <c r="L149" s="4" t="str">
        <f>IF(Master[[#This Row],[Collector Verbatim Locality]]="","",Master[[#This Row],[Collector Verbatim Locality]])</f>
        <v>/ / Traveling E on I-80 from the UT/WY border, take exit 66. Follow the exit to merge onto US HWY 30, heading N for 11 miles (from the exit). Turn E onto a gravel road and stay on this road (across the train tracks) for 2.88 miles. Turn E at the junction and follow for 2 miles. Turn S for .5 miles. Collection area is in area to the S of the oil pad on foot.</v>
      </c>
      <c r="M149" s="4">
        <f>IF(Master[[#This Row],[Elevation (meters)]]=0,"",Master[[#This Row],[Elevation (meters)]])</f>
        <v>1976.0184000000002</v>
      </c>
      <c r="N149" s="55">
        <f>IF(Master[[#This Row],[Latitude -decimal degrees]]="","",Master[[#This Row],[Latitude -decimal degrees]])</f>
        <v>41.638649999999998</v>
      </c>
      <c r="O149" s="55">
        <f>IF(Master[[#This Row],[Longitude -decimal degrees]]="","",Master[[#This Row],[Longitude -decimal degrees]])</f>
        <v>-110.11857000000001</v>
      </c>
      <c r="P149" s="5" t="str">
        <f>IF(Master[[#This Row],[Georeference Datum]]="","",Master[[#This Row],[Georeference Datum]])</f>
        <v>WGS84</v>
      </c>
      <c r="Q149" s="5" t="str">
        <f>IF(Master[[#This Row],[Georeference Protocol - Lookup Picker]]="","",Master[[#This Row],[Georeference Protocol - Lookup Picker]])</f>
        <v>Lat/lon determined by GPS</v>
      </c>
      <c r="R149" s="5" t="str">
        <f>IF(Master[[#This Row],[Associated Species]]="","",Master[[#This Row],[Associated Species]])</f>
        <v>Artemisia arbuscula:Castilleja sp.:Linanthus pungens:Elymus elymoides ssp. elymoides:Nassella viridula</v>
      </c>
      <c r="S149" t="str">
        <f t="shared" si="23"/>
        <v>Y</v>
      </c>
      <c r="T149" s="5" t="str">
        <f>IF(Master[[#This Row],[Note (Accession Source - Collector)]]="","",Master[[#This Row],[Note (Accession Source - Collector)]])</f>
        <v>Boies, A., Grelecki, A.</v>
      </c>
    </row>
    <row r="150" spans="2:20" x14ac:dyDescent="0.25">
      <c r="B150" t="str">
        <f>Master[[#This Row],[Accession Prefix (NPGS)]]&amp;" "&amp;Master[[#This Row],[Accession Number -Assigned]]</f>
        <v>W6 59736</v>
      </c>
      <c r="C150" t="str">
        <f t="shared" ref="C150:C181" si="24">"Collection source event"</f>
        <v>Collection source event</v>
      </c>
      <c r="D150" t="str">
        <f t="shared" ref="D150:D181" si="25">"mm/dd/yyyy"</f>
        <v>mm/dd/yyyy</v>
      </c>
      <c r="E150" s="77">
        <f>IF(IF(Master[[#This Row],[Date Collected or Developed]]="",Master[[#This Row],[Received Date -received by site]],Master[[#This Row],[Date Collected or Developed]])="","",(IF(Master[[#This Row],[Date Collected or Developed]]="",Master[[#This Row],[Received Date -received by site]],Master[[#This Row],[Date Collected or Developed]])))</f>
        <v>44111</v>
      </c>
      <c r="F150" s="76" t="str">
        <f>IF(Master[[#This Row],[Geography (Collection) -Lookup Picker in GRIN]]="","",Master[[#This Row],[Geography (Collection) -Lookup Picker in GRIN]])</f>
        <v>United States, Wyoming, Uinta</v>
      </c>
      <c r="G150" t="str">
        <f t="shared" ref="G150:G181" si="26">"Y"</f>
        <v>Y</v>
      </c>
      <c r="H150" s="45" t="str">
        <f>IF(Master[[#This Row],[Collecting or Acquisition Source - List]]="","",Master[[#This Row],[Collecting or Acquisition Source - List]])</f>
        <v/>
      </c>
      <c r="I150" t="str">
        <f>IF(Master[[#This Row],[Inventory Type - Lookup Picker]]="","",Master[[#This Row],[Inventory Type - Lookup Picker]])</f>
        <v>SD</v>
      </c>
      <c r="J150" s="4">
        <f>IF(Master[[#This Row],[Number Plants Sampled]]="","",Master[[#This Row],[Number Plants Sampled]])</f>
        <v>298</v>
      </c>
      <c r="K150" s="4" t="str">
        <f>IF(Master[[#This Row],[Environment Description]]="","",Master[[#This Row],[Environment Description]])</f>
        <v>Grazed</v>
      </c>
      <c r="L150" s="4" t="str">
        <f>IF(Master[[#This Row],[Collector Verbatim Locality]]="","",Master[[#This Row],[Collector Verbatim Locality]])</f>
        <v>/ / From Evanston, WY traveling E on I-80 take exit 30, turn S onto Co. Rd 173 for 6.76 miles. At this junction turn S/SE onto Co. Rd. 204 for 7.75 miles. Turn S/SW onto Co. Rd 271 and follower for 15.13 miles. At this point there is a two-track dirt road to the E that leads to a camping area. It is in and around here that the collection was made.</v>
      </c>
      <c r="M150" s="4">
        <f>IF(Master[[#This Row],[Elevation (meters)]]=0,"",Master[[#This Row],[Elevation (meters)]])</f>
        <v>2667.3048000000003</v>
      </c>
      <c r="N150" s="55">
        <f>IF(Master[[#This Row],[Latitude -decimal degrees]]="","",Master[[#This Row],[Latitude -decimal degrees]])</f>
        <v>41.001910000000002</v>
      </c>
      <c r="O150" s="55">
        <f>IF(Master[[#This Row],[Longitude -decimal degrees]]="","",Master[[#This Row],[Longitude -decimal degrees]])</f>
        <v>-110.5895</v>
      </c>
      <c r="P150" s="5" t="str">
        <f>IF(Master[[#This Row],[Georeference Datum]]="","",Master[[#This Row],[Georeference Datum]])</f>
        <v>WGS84</v>
      </c>
      <c r="Q150" s="5" t="str">
        <f>IF(Master[[#This Row],[Georeference Protocol - Lookup Picker]]="","",Master[[#This Row],[Georeference Protocol - Lookup Picker]])</f>
        <v>Lat/lon determined by GPS</v>
      </c>
      <c r="R150" s="5" t="str">
        <f>IF(Master[[#This Row],[Associated Species]]="","",Master[[#This Row],[Associated Species]])</f>
        <v>Phacelia hastata:Eriogonum umbellatum:Artemisia cana:Artemisia tridentata ssp. vaseyana</v>
      </c>
      <c r="S150" t="str">
        <f t="shared" ref="S150:S181" si="27">"Y"</f>
        <v>Y</v>
      </c>
      <c r="T150" s="5" t="str">
        <f>IF(Master[[#This Row],[Note (Accession Source - Collector)]]="","",Master[[#This Row],[Note (Accession Source - Collector)]])</f>
        <v>Boies, A., Grelecki, A.</v>
      </c>
    </row>
    <row r="151" spans="2:20" x14ac:dyDescent="0.25">
      <c r="B151" t="str">
        <f>Master[[#This Row],[Accession Prefix (NPGS)]]&amp;" "&amp;Master[[#This Row],[Accession Number -Assigned]]</f>
        <v>W6 59737</v>
      </c>
      <c r="C151" t="str">
        <f t="shared" si="24"/>
        <v>Collection source event</v>
      </c>
      <c r="D151" t="str">
        <f t="shared" si="25"/>
        <v>mm/dd/yyyy</v>
      </c>
      <c r="E151" s="77">
        <f>IF(IF(Master[[#This Row],[Date Collected or Developed]]="",Master[[#This Row],[Received Date -received by site]],Master[[#This Row],[Date Collected or Developed]])="","",(IF(Master[[#This Row],[Date Collected or Developed]]="",Master[[#This Row],[Received Date -received by site]],Master[[#This Row],[Date Collected or Developed]])))</f>
        <v>44061</v>
      </c>
      <c r="F151" s="76" t="str">
        <f>IF(Master[[#This Row],[Geography (Collection) -Lookup Picker in GRIN]]="","",Master[[#This Row],[Geography (Collection) -Lookup Picker in GRIN]])</f>
        <v>United States, Wyoming, Lincoln</v>
      </c>
      <c r="G151" t="str">
        <f t="shared" si="26"/>
        <v>Y</v>
      </c>
      <c r="H151" s="45" t="str">
        <f>IF(Master[[#This Row],[Collecting or Acquisition Source - List]]="","",Master[[#This Row],[Collecting or Acquisition Source - List]])</f>
        <v/>
      </c>
      <c r="I151" t="str">
        <f>IF(Master[[#This Row],[Inventory Type - Lookup Picker]]="","",Master[[#This Row],[Inventory Type - Lookup Picker]])</f>
        <v>SD</v>
      </c>
      <c r="J151" s="4">
        <f>IF(Master[[#This Row],[Number Plants Sampled]]="","",Master[[#This Row],[Number Plants Sampled]])</f>
        <v>251</v>
      </c>
      <c r="K151" s="4" t="str">
        <f>IF(Master[[#This Row],[Environment Description]]="","",Master[[#This Row],[Environment Description]])</f>
        <v>Grazed</v>
      </c>
      <c r="L151" s="4" t="str">
        <f>IF(Master[[#This Row],[Collector Verbatim Locality]]="","",Master[[#This Row],[Collector Verbatim Locality]])</f>
        <v>/ / From Kemmerer travel North on Hwy 189 for 9.5 miles, turn South (right) onto the BLM road for around 0.4 miles</v>
      </c>
      <c r="M151" s="4">
        <f>IF(Master[[#This Row],[Elevation (meters)]]=0,"",Master[[#This Row],[Elevation (meters)]])</f>
        <v>2236.0128</v>
      </c>
      <c r="N151" s="55">
        <f>IF(Master[[#This Row],[Latitude -decimal degrees]]="","",Master[[#This Row],[Latitude -decimal degrees]])</f>
        <v>41.862180000000002</v>
      </c>
      <c r="O151" s="55">
        <f>IF(Master[[#This Row],[Longitude -decimal degrees]]="","",Master[[#This Row],[Longitude -decimal degrees]])</f>
        <v>-110.45403</v>
      </c>
      <c r="P151" s="5" t="str">
        <f>IF(Master[[#This Row],[Georeference Datum]]="","",Master[[#This Row],[Georeference Datum]])</f>
        <v>WGS84</v>
      </c>
      <c r="Q151" s="5" t="str">
        <f>IF(Master[[#This Row],[Georeference Protocol - Lookup Picker]]="","",Master[[#This Row],[Georeference Protocol - Lookup Picker]])</f>
        <v>Lat/lon determined by GPS</v>
      </c>
      <c r="R151" s="5" t="str">
        <f>IF(Master[[#This Row],[Associated Species]]="","",Master[[#This Row],[Associated Species]])</f>
        <v>Antennaria sp.:Linanthus pungens:Poa secunda:Artemisia tridentata ssp. vaseyana</v>
      </c>
      <c r="S151" t="str">
        <f t="shared" si="27"/>
        <v>Y</v>
      </c>
      <c r="T151" s="5" t="str">
        <f>IF(Master[[#This Row],[Note (Accession Source - Collector)]]="","",Master[[#This Row],[Note (Accession Source - Collector)]])</f>
        <v>Boies, A., Grelecki, A.</v>
      </c>
    </row>
    <row r="152" spans="2:20" x14ac:dyDescent="0.25">
      <c r="B152" t="str">
        <f>Master[[#This Row],[Accession Prefix (NPGS)]]&amp;" "&amp;Master[[#This Row],[Accession Number -Assigned]]</f>
        <v xml:space="preserve"> </v>
      </c>
      <c r="C152" t="str">
        <f t="shared" si="24"/>
        <v>Collection source event</v>
      </c>
      <c r="D152" t="str">
        <f t="shared" si="25"/>
        <v>mm/dd/yyyy</v>
      </c>
      <c r="E15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2" s="76" t="str">
        <f>IF(Master[[#This Row],[Geography (Collection) -Lookup Picker in GRIN]]="","",Master[[#This Row],[Geography (Collection) -Lookup Picker in GRIN]])</f>
        <v/>
      </c>
      <c r="G152" t="str">
        <f t="shared" si="26"/>
        <v>Y</v>
      </c>
      <c r="H152" s="45" t="str">
        <f>IF(Master[[#This Row],[Collecting or Acquisition Source - List]]="","",Master[[#This Row],[Collecting or Acquisition Source - List]])</f>
        <v/>
      </c>
      <c r="I152" t="str">
        <f>IF(Master[[#This Row],[Inventory Type - Lookup Picker]]="","",Master[[#This Row],[Inventory Type - Lookup Picker]])</f>
        <v/>
      </c>
      <c r="J152" s="4" t="str">
        <f>IF(Master[[#This Row],[Number Plants Sampled]]="","",Master[[#This Row],[Number Plants Sampled]])</f>
        <v/>
      </c>
      <c r="K152" s="4" t="str">
        <f>IF(Master[[#This Row],[Environment Description]]="","",Master[[#This Row],[Environment Description]])</f>
        <v/>
      </c>
      <c r="L152" s="4" t="str">
        <f>IF(Master[[#This Row],[Collector Verbatim Locality]]="","",Master[[#This Row],[Collector Verbatim Locality]])</f>
        <v/>
      </c>
      <c r="M152" s="4" t="str">
        <f>IF(Master[[#This Row],[Elevation (meters)]]=0,"",Master[[#This Row],[Elevation (meters)]])</f>
        <v/>
      </c>
      <c r="N152" s="55" t="str">
        <f>IF(Master[[#This Row],[Latitude -decimal degrees]]="","",Master[[#This Row],[Latitude -decimal degrees]])</f>
        <v/>
      </c>
      <c r="O152" s="55" t="str">
        <f>IF(Master[[#This Row],[Longitude -decimal degrees]]="","",Master[[#This Row],[Longitude -decimal degrees]])</f>
        <v/>
      </c>
      <c r="P152" s="5" t="str">
        <f>IF(Master[[#This Row],[Georeference Datum]]="","",Master[[#This Row],[Georeference Datum]])</f>
        <v/>
      </c>
      <c r="Q152" s="5" t="str">
        <f>IF(Master[[#This Row],[Georeference Protocol - Lookup Picker]]="","",Master[[#This Row],[Georeference Protocol - Lookup Picker]])</f>
        <v/>
      </c>
      <c r="R152" s="5" t="str">
        <f>IF(Master[[#This Row],[Associated Species]]="","",Master[[#This Row],[Associated Species]])</f>
        <v/>
      </c>
      <c r="S152" t="str">
        <f t="shared" si="27"/>
        <v>Y</v>
      </c>
      <c r="T152" s="5" t="str">
        <f>IF(Master[[#This Row],[Note (Accession Source - Collector)]]="","",Master[[#This Row],[Note (Accession Source - Collector)]])</f>
        <v/>
      </c>
    </row>
    <row r="153" spans="2:20" x14ac:dyDescent="0.25">
      <c r="B153" t="str">
        <f>Master[[#This Row],[Accession Prefix (NPGS)]]&amp;" "&amp;Master[[#This Row],[Accession Number -Assigned]]</f>
        <v xml:space="preserve"> </v>
      </c>
      <c r="C153" t="str">
        <f t="shared" si="24"/>
        <v>Collection source event</v>
      </c>
      <c r="D153" t="str">
        <f t="shared" si="25"/>
        <v>mm/dd/yyyy</v>
      </c>
      <c r="E15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3" s="76" t="str">
        <f>IF(Master[[#This Row],[Geography (Collection) -Lookup Picker in GRIN]]="","",Master[[#This Row],[Geography (Collection) -Lookup Picker in GRIN]])</f>
        <v/>
      </c>
      <c r="G153" t="str">
        <f t="shared" si="26"/>
        <v>Y</v>
      </c>
      <c r="H153" s="45" t="str">
        <f>IF(Master[[#This Row],[Collecting or Acquisition Source - List]]="","",Master[[#This Row],[Collecting or Acquisition Source - List]])</f>
        <v/>
      </c>
      <c r="I153" t="str">
        <f>IF(Master[[#This Row],[Inventory Type - Lookup Picker]]="","",Master[[#This Row],[Inventory Type - Lookup Picker]])</f>
        <v/>
      </c>
      <c r="J153" s="4" t="str">
        <f>IF(Master[[#This Row],[Number Plants Sampled]]="","",Master[[#This Row],[Number Plants Sampled]])</f>
        <v/>
      </c>
      <c r="K153" s="4" t="str">
        <f>IF(Master[[#This Row],[Environment Description]]="","",Master[[#This Row],[Environment Description]])</f>
        <v/>
      </c>
      <c r="L153" s="4" t="str">
        <f>IF(Master[[#This Row],[Collector Verbatim Locality]]="","",Master[[#This Row],[Collector Verbatim Locality]])</f>
        <v/>
      </c>
      <c r="M153" s="4" t="str">
        <f>IF(Master[[#This Row],[Elevation (meters)]]=0,"",Master[[#This Row],[Elevation (meters)]])</f>
        <v/>
      </c>
      <c r="N153" s="55" t="str">
        <f>IF(Master[[#This Row],[Latitude -decimal degrees]]="","",Master[[#This Row],[Latitude -decimal degrees]])</f>
        <v/>
      </c>
      <c r="O153" s="55" t="str">
        <f>IF(Master[[#This Row],[Longitude -decimal degrees]]="","",Master[[#This Row],[Longitude -decimal degrees]])</f>
        <v/>
      </c>
      <c r="P153" s="5" t="str">
        <f>IF(Master[[#This Row],[Georeference Datum]]="","",Master[[#This Row],[Georeference Datum]])</f>
        <v/>
      </c>
      <c r="Q153" s="5" t="str">
        <f>IF(Master[[#This Row],[Georeference Protocol - Lookup Picker]]="","",Master[[#This Row],[Georeference Protocol - Lookup Picker]])</f>
        <v/>
      </c>
      <c r="R153" s="5" t="str">
        <f>IF(Master[[#This Row],[Associated Species]]="","",Master[[#This Row],[Associated Species]])</f>
        <v/>
      </c>
      <c r="S153" t="str">
        <f t="shared" si="27"/>
        <v>Y</v>
      </c>
      <c r="T153" s="5" t="str">
        <f>IF(Master[[#This Row],[Note (Accession Source - Collector)]]="","",Master[[#This Row],[Note (Accession Source - Collector)]])</f>
        <v/>
      </c>
    </row>
    <row r="154" spans="2:20" x14ac:dyDescent="0.25">
      <c r="B154" t="str">
        <f>Master[[#This Row],[Accession Prefix (NPGS)]]&amp;" "&amp;Master[[#This Row],[Accession Number -Assigned]]</f>
        <v xml:space="preserve"> </v>
      </c>
      <c r="C154" t="str">
        <f t="shared" si="24"/>
        <v>Collection source event</v>
      </c>
      <c r="D154" t="str">
        <f t="shared" si="25"/>
        <v>mm/dd/yyyy</v>
      </c>
      <c r="E15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4" s="76" t="str">
        <f>IF(Master[[#This Row],[Geography (Collection) -Lookup Picker in GRIN]]="","",Master[[#This Row],[Geography (Collection) -Lookup Picker in GRIN]])</f>
        <v/>
      </c>
      <c r="G154" t="str">
        <f t="shared" si="26"/>
        <v>Y</v>
      </c>
      <c r="H154" s="45" t="str">
        <f>IF(Master[[#This Row],[Collecting or Acquisition Source - List]]="","",Master[[#This Row],[Collecting or Acquisition Source - List]])</f>
        <v/>
      </c>
      <c r="I154" t="str">
        <f>IF(Master[[#This Row],[Inventory Type - Lookup Picker]]="","",Master[[#This Row],[Inventory Type - Lookup Picker]])</f>
        <v/>
      </c>
      <c r="J154" s="4" t="str">
        <f>IF(Master[[#This Row],[Number Plants Sampled]]="","",Master[[#This Row],[Number Plants Sampled]])</f>
        <v/>
      </c>
      <c r="K154" s="4" t="str">
        <f>IF(Master[[#This Row],[Environment Description]]="","",Master[[#This Row],[Environment Description]])</f>
        <v/>
      </c>
      <c r="L154" s="4" t="str">
        <f>IF(Master[[#This Row],[Collector Verbatim Locality]]="","",Master[[#This Row],[Collector Verbatim Locality]])</f>
        <v/>
      </c>
      <c r="M154" s="4" t="str">
        <f>IF(Master[[#This Row],[Elevation (meters)]]=0,"",Master[[#This Row],[Elevation (meters)]])</f>
        <v/>
      </c>
      <c r="N154" s="55" t="str">
        <f>IF(Master[[#This Row],[Latitude -decimal degrees]]="","",Master[[#This Row],[Latitude -decimal degrees]])</f>
        <v/>
      </c>
      <c r="O154" s="55" t="str">
        <f>IF(Master[[#This Row],[Longitude -decimal degrees]]="","",Master[[#This Row],[Longitude -decimal degrees]])</f>
        <v/>
      </c>
      <c r="P154" s="5" t="str">
        <f>IF(Master[[#This Row],[Georeference Datum]]="","",Master[[#This Row],[Georeference Datum]])</f>
        <v/>
      </c>
      <c r="Q154" s="5" t="str">
        <f>IF(Master[[#This Row],[Georeference Protocol - Lookup Picker]]="","",Master[[#This Row],[Georeference Protocol - Lookup Picker]])</f>
        <v/>
      </c>
      <c r="R154" s="5" t="str">
        <f>IF(Master[[#This Row],[Associated Species]]="","",Master[[#This Row],[Associated Species]])</f>
        <v/>
      </c>
      <c r="S154" t="str">
        <f t="shared" si="27"/>
        <v>Y</v>
      </c>
      <c r="T154" s="5" t="str">
        <f>IF(Master[[#This Row],[Note (Accession Source - Collector)]]="","",Master[[#This Row],[Note (Accession Source - Collector)]])</f>
        <v/>
      </c>
    </row>
    <row r="155" spans="2:20" x14ac:dyDescent="0.25">
      <c r="B155" t="str">
        <f>Master[[#This Row],[Accession Prefix (NPGS)]]&amp;" "&amp;Master[[#This Row],[Accession Number -Assigned]]</f>
        <v xml:space="preserve"> </v>
      </c>
      <c r="C155" t="str">
        <f t="shared" si="24"/>
        <v>Collection source event</v>
      </c>
      <c r="D155" t="str">
        <f t="shared" si="25"/>
        <v>mm/dd/yyyy</v>
      </c>
      <c r="E15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5" s="76" t="str">
        <f>IF(Master[[#This Row],[Geography (Collection) -Lookup Picker in GRIN]]="","",Master[[#This Row],[Geography (Collection) -Lookup Picker in GRIN]])</f>
        <v/>
      </c>
      <c r="G155" t="str">
        <f t="shared" si="26"/>
        <v>Y</v>
      </c>
      <c r="H155" s="45" t="str">
        <f>IF(Master[[#This Row],[Collecting or Acquisition Source - List]]="","",Master[[#This Row],[Collecting or Acquisition Source - List]])</f>
        <v/>
      </c>
      <c r="I155" t="str">
        <f>IF(Master[[#This Row],[Inventory Type - Lookup Picker]]="","",Master[[#This Row],[Inventory Type - Lookup Picker]])</f>
        <v/>
      </c>
      <c r="J155" s="4" t="str">
        <f>IF(Master[[#This Row],[Number Plants Sampled]]="","",Master[[#This Row],[Number Plants Sampled]])</f>
        <v/>
      </c>
      <c r="K155" s="4" t="str">
        <f>IF(Master[[#This Row],[Environment Description]]="","",Master[[#This Row],[Environment Description]])</f>
        <v/>
      </c>
      <c r="L155" s="4" t="str">
        <f>IF(Master[[#This Row],[Collector Verbatim Locality]]="","",Master[[#This Row],[Collector Verbatim Locality]])</f>
        <v/>
      </c>
      <c r="M155" s="4" t="str">
        <f>IF(Master[[#This Row],[Elevation (meters)]]=0,"",Master[[#This Row],[Elevation (meters)]])</f>
        <v/>
      </c>
      <c r="N155" s="55" t="str">
        <f>IF(Master[[#This Row],[Latitude -decimal degrees]]="","",Master[[#This Row],[Latitude -decimal degrees]])</f>
        <v/>
      </c>
      <c r="O155" s="55" t="str">
        <f>IF(Master[[#This Row],[Longitude -decimal degrees]]="","",Master[[#This Row],[Longitude -decimal degrees]])</f>
        <v/>
      </c>
      <c r="P155" s="5" t="str">
        <f>IF(Master[[#This Row],[Georeference Datum]]="","",Master[[#This Row],[Georeference Datum]])</f>
        <v/>
      </c>
      <c r="Q155" s="5" t="str">
        <f>IF(Master[[#This Row],[Georeference Protocol - Lookup Picker]]="","",Master[[#This Row],[Georeference Protocol - Lookup Picker]])</f>
        <v/>
      </c>
      <c r="R155" s="5" t="str">
        <f>IF(Master[[#This Row],[Associated Species]]="","",Master[[#This Row],[Associated Species]])</f>
        <v/>
      </c>
      <c r="S155" t="str">
        <f t="shared" si="27"/>
        <v>Y</v>
      </c>
      <c r="T155" s="5" t="str">
        <f>IF(Master[[#This Row],[Note (Accession Source - Collector)]]="","",Master[[#This Row],[Note (Accession Source - Collector)]])</f>
        <v/>
      </c>
    </row>
    <row r="156" spans="2:20" x14ac:dyDescent="0.25">
      <c r="B156" t="str">
        <f>Master[[#This Row],[Accession Prefix (NPGS)]]&amp;" "&amp;Master[[#This Row],[Accession Number -Assigned]]</f>
        <v xml:space="preserve"> </v>
      </c>
      <c r="C156" t="str">
        <f t="shared" si="24"/>
        <v>Collection source event</v>
      </c>
      <c r="D156" t="str">
        <f t="shared" si="25"/>
        <v>mm/dd/yyyy</v>
      </c>
      <c r="E15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6" s="76" t="str">
        <f>IF(Master[[#This Row],[Geography (Collection) -Lookup Picker in GRIN]]="","",Master[[#This Row],[Geography (Collection) -Lookup Picker in GRIN]])</f>
        <v/>
      </c>
      <c r="G156" t="str">
        <f t="shared" si="26"/>
        <v>Y</v>
      </c>
      <c r="H156" s="45" t="str">
        <f>IF(Master[[#This Row],[Collecting or Acquisition Source - List]]="","",Master[[#This Row],[Collecting or Acquisition Source - List]])</f>
        <v/>
      </c>
      <c r="I156" t="str">
        <f>IF(Master[[#This Row],[Inventory Type - Lookup Picker]]="","",Master[[#This Row],[Inventory Type - Lookup Picker]])</f>
        <v/>
      </c>
      <c r="J156" s="4" t="str">
        <f>IF(Master[[#This Row],[Number Plants Sampled]]="","",Master[[#This Row],[Number Plants Sampled]])</f>
        <v/>
      </c>
      <c r="K156" s="4" t="str">
        <f>IF(Master[[#This Row],[Environment Description]]="","",Master[[#This Row],[Environment Description]])</f>
        <v/>
      </c>
      <c r="L156" s="4" t="str">
        <f>IF(Master[[#This Row],[Collector Verbatim Locality]]="","",Master[[#This Row],[Collector Verbatim Locality]])</f>
        <v/>
      </c>
      <c r="M156" s="4" t="str">
        <f>IF(Master[[#This Row],[Elevation (meters)]]=0,"",Master[[#This Row],[Elevation (meters)]])</f>
        <v/>
      </c>
      <c r="N156" s="55" t="str">
        <f>IF(Master[[#This Row],[Latitude -decimal degrees]]="","",Master[[#This Row],[Latitude -decimal degrees]])</f>
        <v/>
      </c>
      <c r="O156" s="55" t="str">
        <f>IF(Master[[#This Row],[Longitude -decimal degrees]]="","",Master[[#This Row],[Longitude -decimal degrees]])</f>
        <v/>
      </c>
      <c r="P156" s="5" t="str">
        <f>IF(Master[[#This Row],[Georeference Datum]]="","",Master[[#This Row],[Georeference Datum]])</f>
        <v/>
      </c>
      <c r="Q156" s="5" t="str">
        <f>IF(Master[[#This Row],[Georeference Protocol - Lookup Picker]]="","",Master[[#This Row],[Georeference Protocol - Lookup Picker]])</f>
        <v/>
      </c>
      <c r="R156" s="5" t="str">
        <f>IF(Master[[#This Row],[Associated Species]]="","",Master[[#This Row],[Associated Species]])</f>
        <v/>
      </c>
      <c r="S156" t="str">
        <f t="shared" si="27"/>
        <v>Y</v>
      </c>
      <c r="T156" s="5" t="str">
        <f>IF(Master[[#This Row],[Note (Accession Source - Collector)]]="","",Master[[#This Row],[Note (Accession Source - Collector)]])</f>
        <v/>
      </c>
    </row>
    <row r="157" spans="2:20" x14ac:dyDescent="0.25">
      <c r="B157" t="str">
        <f>Master[[#This Row],[Accession Prefix (NPGS)]]&amp;" "&amp;Master[[#This Row],[Accession Number -Assigned]]</f>
        <v xml:space="preserve"> </v>
      </c>
      <c r="C157" t="str">
        <f t="shared" si="24"/>
        <v>Collection source event</v>
      </c>
      <c r="D157" t="str">
        <f t="shared" si="25"/>
        <v>mm/dd/yyyy</v>
      </c>
      <c r="E15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7" s="76" t="str">
        <f>IF(Master[[#This Row],[Geography (Collection) -Lookup Picker in GRIN]]="","",Master[[#This Row],[Geography (Collection) -Lookup Picker in GRIN]])</f>
        <v/>
      </c>
      <c r="G157" t="str">
        <f t="shared" si="26"/>
        <v>Y</v>
      </c>
      <c r="H157" s="45" t="str">
        <f>IF(Master[[#This Row],[Collecting or Acquisition Source - List]]="","",Master[[#This Row],[Collecting or Acquisition Source - List]])</f>
        <v/>
      </c>
      <c r="I157" t="str">
        <f>IF(Master[[#This Row],[Inventory Type - Lookup Picker]]="","",Master[[#This Row],[Inventory Type - Lookup Picker]])</f>
        <v/>
      </c>
      <c r="J157" s="4" t="str">
        <f>IF(Master[[#This Row],[Number Plants Sampled]]="","",Master[[#This Row],[Number Plants Sampled]])</f>
        <v/>
      </c>
      <c r="K157" s="4" t="str">
        <f>IF(Master[[#This Row],[Environment Description]]="","",Master[[#This Row],[Environment Description]])</f>
        <v/>
      </c>
      <c r="L157" s="4" t="str">
        <f>IF(Master[[#This Row],[Collector Verbatim Locality]]="","",Master[[#This Row],[Collector Verbatim Locality]])</f>
        <v/>
      </c>
      <c r="M157" s="4" t="str">
        <f>IF(Master[[#This Row],[Elevation (meters)]]=0,"",Master[[#This Row],[Elevation (meters)]])</f>
        <v/>
      </c>
      <c r="N157" s="55" t="str">
        <f>IF(Master[[#This Row],[Latitude -decimal degrees]]="","",Master[[#This Row],[Latitude -decimal degrees]])</f>
        <v/>
      </c>
      <c r="O157" s="55" t="str">
        <f>IF(Master[[#This Row],[Longitude -decimal degrees]]="","",Master[[#This Row],[Longitude -decimal degrees]])</f>
        <v/>
      </c>
      <c r="P157" s="5" t="str">
        <f>IF(Master[[#This Row],[Georeference Datum]]="","",Master[[#This Row],[Georeference Datum]])</f>
        <v/>
      </c>
      <c r="Q157" s="5" t="str">
        <f>IF(Master[[#This Row],[Georeference Protocol - Lookup Picker]]="","",Master[[#This Row],[Georeference Protocol - Lookup Picker]])</f>
        <v/>
      </c>
      <c r="R157" s="5" t="str">
        <f>IF(Master[[#This Row],[Associated Species]]="","",Master[[#This Row],[Associated Species]])</f>
        <v/>
      </c>
      <c r="S157" t="str">
        <f t="shared" si="27"/>
        <v>Y</v>
      </c>
      <c r="T157" s="5" t="str">
        <f>IF(Master[[#This Row],[Note (Accession Source - Collector)]]="","",Master[[#This Row],[Note (Accession Source - Collector)]])</f>
        <v/>
      </c>
    </row>
    <row r="158" spans="2:20" x14ac:dyDescent="0.25">
      <c r="B158" t="str">
        <f>Master[[#This Row],[Accession Prefix (NPGS)]]&amp;" "&amp;Master[[#This Row],[Accession Number -Assigned]]</f>
        <v xml:space="preserve"> </v>
      </c>
      <c r="C158" t="str">
        <f t="shared" si="24"/>
        <v>Collection source event</v>
      </c>
      <c r="D158" t="str">
        <f t="shared" si="25"/>
        <v>mm/dd/yyyy</v>
      </c>
      <c r="E15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8" s="76" t="str">
        <f>IF(Master[[#This Row],[Geography (Collection) -Lookup Picker in GRIN]]="","",Master[[#This Row],[Geography (Collection) -Lookup Picker in GRIN]])</f>
        <v/>
      </c>
      <c r="G158" t="str">
        <f t="shared" si="26"/>
        <v>Y</v>
      </c>
      <c r="H158" s="45" t="str">
        <f>IF(Master[[#This Row],[Collecting or Acquisition Source - List]]="","",Master[[#This Row],[Collecting or Acquisition Source - List]])</f>
        <v/>
      </c>
      <c r="I158" t="str">
        <f>IF(Master[[#This Row],[Inventory Type - Lookup Picker]]="","",Master[[#This Row],[Inventory Type - Lookup Picker]])</f>
        <v/>
      </c>
      <c r="J158" s="4" t="str">
        <f>IF(Master[[#This Row],[Number Plants Sampled]]="","",Master[[#This Row],[Number Plants Sampled]])</f>
        <v/>
      </c>
      <c r="K158" s="4" t="str">
        <f>IF(Master[[#This Row],[Environment Description]]="","",Master[[#This Row],[Environment Description]])</f>
        <v/>
      </c>
      <c r="L158" s="4" t="str">
        <f>IF(Master[[#This Row],[Collector Verbatim Locality]]="","",Master[[#This Row],[Collector Verbatim Locality]])</f>
        <v/>
      </c>
      <c r="M158" s="4" t="str">
        <f>IF(Master[[#This Row],[Elevation (meters)]]=0,"",Master[[#This Row],[Elevation (meters)]])</f>
        <v/>
      </c>
      <c r="N158" s="55" t="str">
        <f>IF(Master[[#This Row],[Latitude -decimal degrees]]="","",Master[[#This Row],[Latitude -decimal degrees]])</f>
        <v/>
      </c>
      <c r="O158" s="55" t="str">
        <f>IF(Master[[#This Row],[Longitude -decimal degrees]]="","",Master[[#This Row],[Longitude -decimal degrees]])</f>
        <v/>
      </c>
      <c r="P158" s="5" t="str">
        <f>IF(Master[[#This Row],[Georeference Datum]]="","",Master[[#This Row],[Georeference Datum]])</f>
        <v/>
      </c>
      <c r="Q158" s="5" t="str">
        <f>IF(Master[[#This Row],[Georeference Protocol - Lookup Picker]]="","",Master[[#This Row],[Georeference Protocol - Lookup Picker]])</f>
        <v/>
      </c>
      <c r="R158" s="5" t="str">
        <f>IF(Master[[#This Row],[Associated Species]]="","",Master[[#This Row],[Associated Species]])</f>
        <v/>
      </c>
      <c r="S158" t="str">
        <f t="shared" si="27"/>
        <v>Y</v>
      </c>
      <c r="T158" s="5" t="str">
        <f>IF(Master[[#This Row],[Note (Accession Source - Collector)]]="","",Master[[#This Row],[Note (Accession Source - Collector)]])</f>
        <v/>
      </c>
    </row>
    <row r="159" spans="2:20" x14ac:dyDescent="0.25">
      <c r="B159" t="str">
        <f>Master[[#This Row],[Accession Prefix (NPGS)]]&amp;" "&amp;Master[[#This Row],[Accession Number -Assigned]]</f>
        <v xml:space="preserve"> </v>
      </c>
      <c r="C159" t="str">
        <f t="shared" si="24"/>
        <v>Collection source event</v>
      </c>
      <c r="D159" t="str">
        <f t="shared" si="25"/>
        <v>mm/dd/yyyy</v>
      </c>
      <c r="E15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9" s="76" t="str">
        <f>IF(Master[[#This Row],[Geography (Collection) -Lookup Picker in GRIN]]="","",Master[[#This Row],[Geography (Collection) -Lookup Picker in GRIN]])</f>
        <v/>
      </c>
      <c r="G159" t="str">
        <f t="shared" si="26"/>
        <v>Y</v>
      </c>
      <c r="H159" s="45" t="str">
        <f>IF(Master[[#This Row],[Collecting or Acquisition Source - List]]="","",Master[[#This Row],[Collecting or Acquisition Source - List]])</f>
        <v/>
      </c>
      <c r="I159" t="str">
        <f>IF(Master[[#This Row],[Inventory Type - Lookup Picker]]="","",Master[[#This Row],[Inventory Type - Lookup Picker]])</f>
        <v/>
      </c>
      <c r="J159" s="4" t="str">
        <f>IF(Master[[#This Row],[Number Plants Sampled]]="","",Master[[#This Row],[Number Plants Sampled]])</f>
        <v/>
      </c>
      <c r="K159" s="4" t="str">
        <f>IF(Master[[#This Row],[Environment Description]]="","",Master[[#This Row],[Environment Description]])</f>
        <v/>
      </c>
      <c r="L159" s="4" t="str">
        <f>IF(Master[[#This Row],[Collector Verbatim Locality]]="","",Master[[#This Row],[Collector Verbatim Locality]])</f>
        <v/>
      </c>
      <c r="M159" s="4" t="str">
        <f>IF(Master[[#This Row],[Elevation (meters)]]=0,"",Master[[#This Row],[Elevation (meters)]])</f>
        <v/>
      </c>
      <c r="N159" s="55" t="str">
        <f>IF(Master[[#This Row],[Latitude -decimal degrees]]="","",Master[[#This Row],[Latitude -decimal degrees]])</f>
        <v/>
      </c>
      <c r="O159" s="55" t="str">
        <f>IF(Master[[#This Row],[Longitude -decimal degrees]]="","",Master[[#This Row],[Longitude -decimal degrees]])</f>
        <v/>
      </c>
      <c r="P159" s="5" t="str">
        <f>IF(Master[[#This Row],[Georeference Datum]]="","",Master[[#This Row],[Georeference Datum]])</f>
        <v/>
      </c>
      <c r="Q159" s="5" t="str">
        <f>IF(Master[[#This Row],[Georeference Protocol - Lookup Picker]]="","",Master[[#This Row],[Georeference Protocol - Lookup Picker]])</f>
        <v/>
      </c>
      <c r="R159" s="5" t="str">
        <f>IF(Master[[#This Row],[Associated Species]]="","",Master[[#This Row],[Associated Species]])</f>
        <v/>
      </c>
      <c r="S159" t="str">
        <f t="shared" si="27"/>
        <v>Y</v>
      </c>
      <c r="T159" s="5" t="str">
        <f>IF(Master[[#This Row],[Note (Accession Source - Collector)]]="","",Master[[#This Row],[Note (Accession Source - Collector)]])</f>
        <v/>
      </c>
    </row>
    <row r="160" spans="2:20" x14ac:dyDescent="0.25">
      <c r="B160" t="str">
        <f>Master[[#This Row],[Accession Prefix (NPGS)]]&amp;" "&amp;Master[[#This Row],[Accession Number -Assigned]]</f>
        <v xml:space="preserve"> </v>
      </c>
      <c r="C160" t="str">
        <f t="shared" si="24"/>
        <v>Collection source event</v>
      </c>
      <c r="D160" t="str">
        <f t="shared" si="25"/>
        <v>mm/dd/yyyy</v>
      </c>
      <c r="E16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0" s="76" t="str">
        <f>IF(Master[[#This Row],[Geography (Collection) -Lookup Picker in GRIN]]="","",Master[[#This Row],[Geography (Collection) -Lookup Picker in GRIN]])</f>
        <v/>
      </c>
      <c r="G160" t="str">
        <f t="shared" si="26"/>
        <v>Y</v>
      </c>
      <c r="H160" s="45" t="str">
        <f>IF(Master[[#This Row],[Collecting or Acquisition Source - List]]="","",Master[[#This Row],[Collecting or Acquisition Source - List]])</f>
        <v/>
      </c>
      <c r="I160" t="str">
        <f>IF(Master[[#This Row],[Inventory Type - Lookup Picker]]="","",Master[[#This Row],[Inventory Type - Lookup Picker]])</f>
        <v/>
      </c>
      <c r="J160" s="4" t="str">
        <f>IF(Master[[#This Row],[Number Plants Sampled]]="","",Master[[#This Row],[Number Plants Sampled]])</f>
        <v/>
      </c>
      <c r="K160" s="4" t="str">
        <f>IF(Master[[#This Row],[Environment Description]]="","",Master[[#This Row],[Environment Description]])</f>
        <v/>
      </c>
      <c r="L160" s="4" t="str">
        <f>IF(Master[[#This Row],[Collector Verbatim Locality]]="","",Master[[#This Row],[Collector Verbatim Locality]])</f>
        <v/>
      </c>
      <c r="M160" s="4" t="str">
        <f>IF(Master[[#This Row],[Elevation (meters)]]=0,"",Master[[#This Row],[Elevation (meters)]])</f>
        <v/>
      </c>
      <c r="N160" s="55" t="str">
        <f>IF(Master[[#This Row],[Latitude -decimal degrees]]="","",Master[[#This Row],[Latitude -decimal degrees]])</f>
        <v/>
      </c>
      <c r="O160" s="55" t="str">
        <f>IF(Master[[#This Row],[Longitude -decimal degrees]]="","",Master[[#This Row],[Longitude -decimal degrees]])</f>
        <v/>
      </c>
      <c r="P160" s="5" t="str">
        <f>IF(Master[[#This Row],[Georeference Datum]]="","",Master[[#This Row],[Georeference Datum]])</f>
        <v/>
      </c>
      <c r="Q160" s="5" t="str">
        <f>IF(Master[[#This Row],[Georeference Protocol - Lookup Picker]]="","",Master[[#This Row],[Georeference Protocol - Lookup Picker]])</f>
        <v/>
      </c>
      <c r="R160" s="5" t="str">
        <f>IF(Master[[#This Row],[Associated Species]]="","",Master[[#This Row],[Associated Species]])</f>
        <v/>
      </c>
      <c r="S160" t="str">
        <f t="shared" si="27"/>
        <v>Y</v>
      </c>
      <c r="T160" s="5" t="str">
        <f>IF(Master[[#This Row],[Note (Accession Source - Collector)]]="","",Master[[#This Row],[Note (Accession Source - Collector)]])</f>
        <v/>
      </c>
    </row>
    <row r="161" spans="2:20" x14ac:dyDescent="0.25">
      <c r="B161" t="str">
        <f>Master[[#This Row],[Accession Prefix (NPGS)]]&amp;" "&amp;Master[[#This Row],[Accession Number -Assigned]]</f>
        <v xml:space="preserve"> </v>
      </c>
      <c r="C161" t="str">
        <f t="shared" si="24"/>
        <v>Collection source event</v>
      </c>
      <c r="D161" t="str">
        <f t="shared" si="25"/>
        <v>mm/dd/yyyy</v>
      </c>
      <c r="E16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1" s="76" t="str">
        <f>IF(Master[[#This Row],[Geography (Collection) -Lookup Picker in GRIN]]="","",Master[[#This Row],[Geography (Collection) -Lookup Picker in GRIN]])</f>
        <v/>
      </c>
      <c r="G161" t="str">
        <f t="shared" si="26"/>
        <v>Y</v>
      </c>
      <c r="H161" s="45" t="str">
        <f>IF(Master[[#This Row],[Collecting or Acquisition Source - List]]="","",Master[[#This Row],[Collecting or Acquisition Source - List]])</f>
        <v/>
      </c>
      <c r="I161" t="str">
        <f>IF(Master[[#This Row],[Inventory Type - Lookup Picker]]="","",Master[[#This Row],[Inventory Type - Lookup Picker]])</f>
        <v/>
      </c>
      <c r="J161" s="4" t="str">
        <f>IF(Master[[#This Row],[Number Plants Sampled]]="","",Master[[#This Row],[Number Plants Sampled]])</f>
        <v/>
      </c>
      <c r="K161" s="4" t="str">
        <f>IF(Master[[#This Row],[Environment Description]]="","",Master[[#This Row],[Environment Description]])</f>
        <v/>
      </c>
      <c r="L161" s="4" t="str">
        <f>IF(Master[[#This Row],[Collector Verbatim Locality]]="","",Master[[#This Row],[Collector Verbatim Locality]])</f>
        <v/>
      </c>
      <c r="M161" s="4" t="str">
        <f>IF(Master[[#This Row],[Elevation (meters)]]=0,"",Master[[#This Row],[Elevation (meters)]])</f>
        <v/>
      </c>
      <c r="N161" s="55" t="str">
        <f>IF(Master[[#This Row],[Latitude -decimal degrees]]="","",Master[[#This Row],[Latitude -decimal degrees]])</f>
        <v/>
      </c>
      <c r="O161" s="55" t="str">
        <f>IF(Master[[#This Row],[Longitude -decimal degrees]]="","",Master[[#This Row],[Longitude -decimal degrees]])</f>
        <v/>
      </c>
      <c r="P161" s="5" t="str">
        <f>IF(Master[[#This Row],[Georeference Datum]]="","",Master[[#This Row],[Georeference Datum]])</f>
        <v/>
      </c>
      <c r="Q161" s="5" t="str">
        <f>IF(Master[[#This Row],[Georeference Protocol - Lookup Picker]]="","",Master[[#This Row],[Georeference Protocol - Lookup Picker]])</f>
        <v/>
      </c>
      <c r="R161" s="5" t="str">
        <f>IF(Master[[#This Row],[Associated Species]]="","",Master[[#This Row],[Associated Species]])</f>
        <v/>
      </c>
      <c r="S161" t="str">
        <f t="shared" si="27"/>
        <v>Y</v>
      </c>
      <c r="T161" s="5" t="str">
        <f>IF(Master[[#This Row],[Note (Accession Source - Collector)]]="","",Master[[#This Row],[Note (Accession Source - Collector)]])</f>
        <v/>
      </c>
    </row>
    <row r="162" spans="2:20" x14ac:dyDescent="0.25">
      <c r="B162" t="str">
        <f>Master[[#This Row],[Accession Prefix (NPGS)]]&amp;" "&amp;Master[[#This Row],[Accession Number -Assigned]]</f>
        <v xml:space="preserve"> </v>
      </c>
      <c r="C162" t="str">
        <f t="shared" si="24"/>
        <v>Collection source event</v>
      </c>
      <c r="D162" t="str">
        <f t="shared" si="25"/>
        <v>mm/dd/yyyy</v>
      </c>
      <c r="E16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2" s="76" t="str">
        <f>IF(Master[[#This Row],[Geography (Collection) -Lookup Picker in GRIN]]="","",Master[[#This Row],[Geography (Collection) -Lookup Picker in GRIN]])</f>
        <v/>
      </c>
      <c r="G162" t="str">
        <f t="shared" si="26"/>
        <v>Y</v>
      </c>
      <c r="H162" s="45" t="str">
        <f>IF(Master[[#This Row],[Collecting or Acquisition Source - List]]="","",Master[[#This Row],[Collecting or Acquisition Source - List]])</f>
        <v/>
      </c>
      <c r="I162" t="str">
        <f>IF(Master[[#This Row],[Inventory Type - Lookup Picker]]="","",Master[[#This Row],[Inventory Type - Lookup Picker]])</f>
        <v/>
      </c>
      <c r="J162" s="4" t="str">
        <f>IF(Master[[#This Row],[Number Plants Sampled]]="","",Master[[#This Row],[Number Plants Sampled]])</f>
        <v/>
      </c>
      <c r="K162" s="4" t="str">
        <f>IF(Master[[#This Row],[Environment Description]]="","",Master[[#This Row],[Environment Description]])</f>
        <v/>
      </c>
      <c r="L162" s="4" t="str">
        <f>IF(Master[[#This Row],[Collector Verbatim Locality]]="","",Master[[#This Row],[Collector Verbatim Locality]])</f>
        <v/>
      </c>
      <c r="M162" s="4" t="str">
        <f>IF(Master[[#This Row],[Elevation (meters)]]=0,"",Master[[#This Row],[Elevation (meters)]])</f>
        <v/>
      </c>
      <c r="N162" s="55" t="str">
        <f>IF(Master[[#This Row],[Latitude -decimal degrees]]="","",Master[[#This Row],[Latitude -decimal degrees]])</f>
        <v/>
      </c>
      <c r="O162" s="55" t="str">
        <f>IF(Master[[#This Row],[Longitude -decimal degrees]]="","",Master[[#This Row],[Longitude -decimal degrees]])</f>
        <v/>
      </c>
      <c r="P162" s="5" t="str">
        <f>IF(Master[[#This Row],[Georeference Datum]]="","",Master[[#This Row],[Georeference Datum]])</f>
        <v/>
      </c>
      <c r="Q162" s="5" t="str">
        <f>IF(Master[[#This Row],[Georeference Protocol - Lookup Picker]]="","",Master[[#This Row],[Georeference Protocol - Lookup Picker]])</f>
        <v/>
      </c>
      <c r="R162" s="5" t="str">
        <f>IF(Master[[#This Row],[Associated Species]]="","",Master[[#This Row],[Associated Species]])</f>
        <v/>
      </c>
      <c r="S162" t="str">
        <f t="shared" si="27"/>
        <v>Y</v>
      </c>
      <c r="T162" s="5" t="str">
        <f>IF(Master[[#This Row],[Note (Accession Source - Collector)]]="","",Master[[#This Row],[Note (Accession Source - Collector)]])</f>
        <v/>
      </c>
    </row>
    <row r="163" spans="2:20" x14ac:dyDescent="0.25">
      <c r="B163" t="str">
        <f>Master[[#This Row],[Accession Prefix (NPGS)]]&amp;" "&amp;Master[[#This Row],[Accession Number -Assigned]]</f>
        <v xml:space="preserve"> </v>
      </c>
      <c r="C163" t="str">
        <f t="shared" si="24"/>
        <v>Collection source event</v>
      </c>
      <c r="D163" t="str">
        <f t="shared" si="25"/>
        <v>mm/dd/yyyy</v>
      </c>
      <c r="E16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3" s="76" t="str">
        <f>IF(Master[[#This Row],[Geography (Collection) -Lookup Picker in GRIN]]="","",Master[[#This Row],[Geography (Collection) -Lookup Picker in GRIN]])</f>
        <v/>
      </c>
      <c r="G163" t="str">
        <f t="shared" si="26"/>
        <v>Y</v>
      </c>
      <c r="H163" s="45" t="str">
        <f>IF(Master[[#This Row],[Collecting or Acquisition Source - List]]="","",Master[[#This Row],[Collecting or Acquisition Source - List]])</f>
        <v/>
      </c>
      <c r="I163" t="str">
        <f>IF(Master[[#This Row],[Inventory Type - Lookup Picker]]="","",Master[[#This Row],[Inventory Type - Lookup Picker]])</f>
        <v/>
      </c>
      <c r="J163" s="4" t="str">
        <f>IF(Master[[#This Row],[Number Plants Sampled]]="","",Master[[#This Row],[Number Plants Sampled]])</f>
        <v/>
      </c>
      <c r="K163" s="4" t="str">
        <f>IF(Master[[#This Row],[Environment Description]]="","",Master[[#This Row],[Environment Description]])</f>
        <v/>
      </c>
      <c r="L163" s="4" t="str">
        <f>IF(Master[[#This Row],[Collector Verbatim Locality]]="","",Master[[#This Row],[Collector Verbatim Locality]])</f>
        <v/>
      </c>
      <c r="M163" s="4" t="str">
        <f>IF(Master[[#This Row],[Elevation (meters)]]=0,"",Master[[#This Row],[Elevation (meters)]])</f>
        <v/>
      </c>
      <c r="N163" s="55" t="str">
        <f>IF(Master[[#This Row],[Latitude -decimal degrees]]="","",Master[[#This Row],[Latitude -decimal degrees]])</f>
        <v/>
      </c>
      <c r="O163" s="55" t="str">
        <f>IF(Master[[#This Row],[Longitude -decimal degrees]]="","",Master[[#This Row],[Longitude -decimal degrees]])</f>
        <v/>
      </c>
      <c r="P163" s="5" t="str">
        <f>IF(Master[[#This Row],[Georeference Datum]]="","",Master[[#This Row],[Georeference Datum]])</f>
        <v/>
      </c>
      <c r="Q163" s="5" t="str">
        <f>IF(Master[[#This Row],[Georeference Protocol - Lookup Picker]]="","",Master[[#This Row],[Georeference Protocol - Lookup Picker]])</f>
        <v/>
      </c>
      <c r="R163" s="5" t="str">
        <f>IF(Master[[#This Row],[Associated Species]]="","",Master[[#This Row],[Associated Species]])</f>
        <v/>
      </c>
      <c r="S163" t="str">
        <f t="shared" si="27"/>
        <v>Y</v>
      </c>
      <c r="T163" s="5" t="str">
        <f>IF(Master[[#This Row],[Note (Accession Source - Collector)]]="","",Master[[#This Row],[Note (Accession Source - Collector)]])</f>
        <v/>
      </c>
    </row>
    <row r="164" spans="2:20" x14ac:dyDescent="0.25">
      <c r="B164" t="str">
        <f>Master[[#This Row],[Accession Prefix (NPGS)]]&amp;" "&amp;Master[[#This Row],[Accession Number -Assigned]]</f>
        <v xml:space="preserve"> </v>
      </c>
      <c r="C164" t="str">
        <f t="shared" si="24"/>
        <v>Collection source event</v>
      </c>
      <c r="D164" t="str">
        <f t="shared" si="25"/>
        <v>mm/dd/yyyy</v>
      </c>
      <c r="E16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4" s="76" t="str">
        <f>IF(Master[[#This Row],[Geography (Collection) -Lookup Picker in GRIN]]="","",Master[[#This Row],[Geography (Collection) -Lookup Picker in GRIN]])</f>
        <v/>
      </c>
      <c r="G164" t="str">
        <f t="shared" si="26"/>
        <v>Y</v>
      </c>
      <c r="H164" s="45" t="str">
        <f>IF(Master[[#This Row],[Collecting or Acquisition Source - List]]="","",Master[[#This Row],[Collecting or Acquisition Source - List]])</f>
        <v/>
      </c>
      <c r="I164" t="str">
        <f>IF(Master[[#This Row],[Inventory Type - Lookup Picker]]="","",Master[[#This Row],[Inventory Type - Lookup Picker]])</f>
        <v/>
      </c>
      <c r="J164" s="4" t="str">
        <f>IF(Master[[#This Row],[Number Plants Sampled]]="","",Master[[#This Row],[Number Plants Sampled]])</f>
        <v/>
      </c>
      <c r="K164" s="4" t="str">
        <f>IF(Master[[#This Row],[Environment Description]]="","",Master[[#This Row],[Environment Description]])</f>
        <v/>
      </c>
      <c r="L164" s="4" t="str">
        <f>IF(Master[[#This Row],[Collector Verbatim Locality]]="","",Master[[#This Row],[Collector Verbatim Locality]])</f>
        <v/>
      </c>
      <c r="M164" s="4" t="str">
        <f>IF(Master[[#This Row],[Elevation (meters)]]=0,"",Master[[#This Row],[Elevation (meters)]])</f>
        <v/>
      </c>
      <c r="N164" s="55" t="str">
        <f>IF(Master[[#This Row],[Latitude -decimal degrees]]="","",Master[[#This Row],[Latitude -decimal degrees]])</f>
        <v/>
      </c>
      <c r="O164" s="55" t="str">
        <f>IF(Master[[#This Row],[Longitude -decimal degrees]]="","",Master[[#This Row],[Longitude -decimal degrees]])</f>
        <v/>
      </c>
      <c r="P164" s="5" t="str">
        <f>IF(Master[[#This Row],[Georeference Datum]]="","",Master[[#This Row],[Georeference Datum]])</f>
        <v/>
      </c>
      <c r="Q164" s="5" t="str">
        <f>IF(Master[[#This Row],[Georeference Protocol - Lookup Picker]]="","",Master[[#This Row],[Georeference Protocol - Lookup Picker]])</f>
        <v/>
      </c>
      <c r="R164" s="5" t="str">
        <f>IF(Master[[#This Row],[Associated Species]]="","",Master[[#This Row],[Associated Species]])</f>
        <v/>
      </c>
      <c r="S164" t="str">
        <f t="shared" si="27"/>
        <v>Y</v>
      </c>
      <c r="T164" s="5" t="str">
        <f>IF(Master[[#This Row],[Note (Accession Source - Collector)]]="","",Master[[#This Row],[Note (Accession Source - Collector)]])</f>
        <v/>
      </c>
    </row>
    <row r="165" spans="2:20" x14ac:dyDescent="0.25">
      <c r="B165" t="str">
        <f>Master[[#This Row],[Accession Prefix (NPGS)]]&amp;" "&amp;Master[[#This Row],[Accession Number -Assigned]]</f>
        <v xml:space="preserve"> </v>
      </c>
      <c r="C165" t="str">
        <f t="shared" si="24"/>
        <v>Collection source event</v>
      </c>
      <c r="D165" t="str">
        <f t="shared" si="25"/>
        <v>mm/dd/yyyy</v>
      </c>
      <c r="E16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5" s="76" t="str">
        <f>IF(Master[[#This Row],[Geography (Collection) -Lookup Picker in GRIN]]="","",Master[[#This Row],[Geography (Collection) -Lookup Picker in GRIN]])</f>
        <v/>
      </c>
      <c r="G165" t="str">
        <f t="shared" si="26"/>
        <v>Y</v>
      </c>
      <c r="H165" s="45" t="str">
        <f>IF(Master[[#This Row],[Collecting or Acquisition Source - List]]="","",Master[[#This Row],[Collecting or Acquisition Source - List]])</f>
        <v/>
      </c>
      <c r="I165" t="str">
        <f>IF(Master[[#This Row],[Inventory Type - Lookup Picker]]="","",Master[[#This Row],[Inventory Type - Lookup Picker]])</f>
        <v/>
      </c>
      <c r="J165" s="4" t="str">
        <f>IF(Master[[#This Row],[Number Plants Sampled]]="","",Master[[#This Row],[Number Plants Sampled]])</f>
        <v/>
      </c>
      <c r="K165" s="4" t="str">
        <f>IF(Master[[#This Row],[Environment Description]]="","",Master[[#This Row],[Environment Description]])</f>
        <v/>
      </c>
      <c r="L165" s="4" t="str">
        <f>IF(Master[[#This Row],[Collector Verbatim Locality]]="","",Master[[#This Row],[Collector Verbatim Locality]])</f>
        <v/>
      </c>
      <c r="M165" s="4" t="str">
        <f>IF(Master[[#This Row],[Elevation (meters)]]=0,"",Master[[#This Row],[Elevation (meters)]])</f>
        <v/>
      </c>
      <c r="N165" s="55" t="str">
        <f>IF(Master[[#This Row],[Latitude -decimal degrees]]="","",Master[[#This Row],[Latitude -decimal degrees]])</f>
        <v/>
      </c>
      <c r="O165" s="55" t="str">
        <f>IF(Master[[#This Row],[Longitude -decimal degrees]]="","",Master[[#This Row],[Longitude -decimal degrees]])</f>
        <v/>
      </c>
      <c r="P165" s="5" t="str">
        <f>IF(Master[[#This Row],[Georeference Datum]]="","",Master[[#This Row],[Georeference Datum]])</f>
        <v/>
      </c>
      <c r="Q165" s="5" t="str">
        <f>IF(Master[[#This Row],[Georeference Protocol - Lookup Picker]]="","",Master[[#This Row],[Georeference Protocol - Lookup Picker]])</f>
        <v/>
      </c>
      <c r="R165" s="5" t="str">
        <f>IF(Master[[#This Row],[Associated Species]]="","",Master[[#This Row],[Associated Species]])</f>
        <v/>
      </c>
      <c r="S165" t="str">
        <f t="shared" si="27"/>
        <v>Y</v>
      </c>
      <c r="T165" s="5" t="str">
        <f>IF(Master[[#This Row],[Note (Accession Source - Collector)]]="","",Master[[#This Row],[Note (Accession Source - Collector)]])</f>
        <v/>
      </c>
    </row>
    <row r="166" spans="2:20" x14ac:dyDescent="0.25">
      <c r="B166" t="str">
        <f>Master[[#This Row],[Accession Prefix (NPGS)]]&amp;" "&amp;Master[[#This Row],[Accession Number -Assigned]]</f>
        <v xml:space="preserve"> </v>
      </c>
      <c r="C166" t="str">
        <f t="shared" si="24"/>
        <v>Collection source event</v>
      </c>
      <c r="D166" t="str">
        <f t="shared" si="25"/>
        <v>mm/dd/yyyy</v>
      </c>
      <c r="E16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6" s="76" t="str">
        <f>IF(Master[[#This Row],[Geography (Collection) -Lookup Picker in GRIN]]="","",Master[[#This Row],[Geography (Collection) -Lookup Picker in GRIN]])</f>
        <v/>
      </c>
      <c r="G166" t="str">
        <f t="shared" si="26"/>
        <v>Y</v>
      </c>
      <c r="H166" s="45" t="str">
        <f>IF(Master[[#This Row],[Collecting or Acquisition Source - List]]="","",Master[[#This Row],[Collecting or Acquisition Source - List]])</f>
        <v/>
      </c>
      <c r="I166" t="str">
        <f>IF(Master[[#This Row],[Inventory Type - Lookup Picker]]="","",Master[[#This Row],[Inventory Type - Lookup Picker]])</f>
        <v/>
      </c>
      <c r="J166" s="4" t="str">
        <f>IF(Master[[#This Row],[Number Plants Sampled]]="","",Master[[#This Row],[Number Plants Sampled]])</f>
        <v/>
      </c>
      <c r="K166" s="4" t="str">
        <f>IF(Master[[#This Row],[Environment Description]]="","",Master[[#This Row],[Environment Description]])</f>
        <v/>
      </c>
      <c r="L166" s="4" t="str">
        <f>IF(Master[[#This Row],[Collector Verbatim Locality]]="","",Master[[#This Row],[Collector Verbatim Locality]])</f>
        <v/>
      </c>
      <c r="M166" s="4" t="str">
        <f>IF(Master[[#This Row],[Elevation (meters)]]=0,"",Master[[#This Row],[Elevation (meters)]])</f>
        <v/>
      </c>
      <c r="N166" s="55" t="str">
        <f>IF(Master[[#This Row],[Latitude -decimal degrees]]="","",Master[[#This Row],[Latitude -decimal degrees]])</f>
        <v/>
      </c>
      <c r="O166" s="55" t="str">
        <f>IF(Master[[#This Row],[Longitude -decimal degrees]]="","",Master[[#This Row],[Longitude -decimal degrees]])</f>
        <v/>
      </c>
      <c r="P166" s="5" t="str">
        <f>IF(Master[[#This Row],[Georeference Datum]]="","",Master[[#This Row],[Georeference Datum]])</f>
        <v/>
      </c>
      <c r="Q166" s="5" t="str">
        <f>IF(Master[[#This Row],[Georeference Protocol - Lookup Picker]]="","",Master[[#This Row],[Georeference Protocol - Lookup Picker]])</f>
        <v/>
      </c>
      <c r="R166" s="5" t="str">
        <f>IF(Master[[#This Row],[Associated Species]]="","",Master[[#This Row],[Associated Species]])</f>
        <v/>
      </c>
      <c r="S166" t="str">
        <f t="shared" si="27"/>
        <v>Y</v>
      </c>
      <c r="T166" s="5" t="str">
        <f>IF(Master[[#This Row],[Note (Accession Source - Collector)]]="","",Master[[#This Row],[Note (Accession Source - Collector)]])</f>
        <v/>
      </c>
    </row>
    <row r="167" spans="2:20" x14ac:dyDescent="0.25">
      <c r="B167" t="str">
        <f>Master[[#This Row],[Accession Prefix (NPGS)]]&amp;" "&amp;Master[[#This Row],[Accession Number -Assigned]]</f>
        <v xml:space="preserve"> </v>
      </c>
      <c r="C167" t="str">
        <f t="shared" si="24"/>
        <v>Collection source event</v>
      </c>
      <c r="D167" t="str">
        <f t="shared" si="25"/>
        <v>mm/dd/yyyy</v>
      </c>
      <c r="E16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7" s="76" t="str">
        <f>IF(Master[[#This Row],[Geography (Collection) -Lookup Picker in GRIN]]="","",Master[[#This Row],[Geography (Collection) -Lookup Picker in GRIN]])</f>
        <v/>
      </c>
      <c r="G167" t="str">
        <f t="shared" si="26"/>
        <v>Y</v>
      </c>
      <c r="H167" s="45" t="str">
        <f>IF(Master[[#This Row],[Collecting or Acquisition Source - List]]="","",Master[[#This Row],[Collecting or Acquisition Source - List]])</f>
        <v/>
      </c>
      <c r="I167" t="str">
        <f>IF(Master[[#This Row],[Inventory Type - Lookup Picker]]="","",Master[[#This Row],[Inventory Type - Lookup Picker]])</f>
        <v/>
      </c>
      <c r="J167" s="4" t="str">
        <f>IF(Master[[#This Row],[Number Plants Sampled]]="","",Master[[#This Row],[Number Plants Sampled]])</f>
        <v/>
      </c>
      <c r="K167" s="4" t="str">
        <f>IF(Master[[#This Row],[Environment Description]]="","",Master[[#This Row],[Environment Description]])</f>
        <v/>
      </c>
      <c r="L167" s="4" t="str">
        <f>IF(Master[[#This Row],[Collector Verbatim Locality]]="","",Master[[#This Row],[Collector Verbatim Locality]])</f>
        <v/>
      </c>
      <c r="M167" s="4" t="str">
        <f>IF(Master[[#This Row],[Elevation (meters)]]=0,"",Master[[#This Row],[Elevation (meters)]])</f>
        <v/>
      </c>
      <c r="N167" s="55" t="str">
        <f>IF(Master[[#This Row],[Latitude -decimal degrees]]="","",Master[[#This Row],[Latitude -decimal degrees]])</f>
        <v/>
      </c>
      <c r="O167" s="55" t="str">
        <f>IF(Master[[#This Row],[Longitude -decimal degrees]]="","",Master[[#This Row],[Longitude -decimal degrees]])</f>
        <v/>
      </c>
      <c r="P167" s="5" t="str">
        <f>IF(Master[[#This Row],[Georeference Datum]]="","",Master[[#This Row],[Georeference Datum]])</f>
        <v/>
      </c>
      <c r="Q167" s="5" t="str">
        <f>IF(Master[[#This Row],[Georeference Protocol - Lookup Picker]]="","",Master[[#This Row],[Georeference Protocol - Lookup Picker]])</f>
        <v/>
      </c>
      <c r="R167" s="5" t="str">
        <f>IF(Master[[#This Row],[Associated Species]]="","",Master[[#This Row],[Associated Species]])</f>
        <v/>
      </c>
      <c r="S167" t="str">
        <f t="shared" si="27"/>
        <v>Y</v>
      </c>
      <c r="T167" s="5" t="str">
        <f>IF(Master[[#This Row],[Note (Accession Source - Collector)]]="","",Master[[#This Row],[Note (Accession Source - Collector)]])</f>
        <v/>
      </c>
    </row>
    <row r="168" spans="2:20" x14ac:dyDescent="0.25">
      <c r="B168" t="str">
        <f>Master[[#This Row],[Accession Prefix (NPGS)]]&amp;" "&amp;Master[[#This Row],[Accession Number -Assigned]]</f>
        <v xml:space="preserve"> </v>
      </c>
      <c r="C168" t="str">
        <f t="shared" si="24"/>
        <v>Collection source event</v>
      </c>
      <c r="D168" t="str">
        <f t="shared" si="25"/>
        <v>mm/dd/yyyy</v>
      </c>
      <c r="E16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8" s="76" t="str">
        <f>IF(Master[[#This Row],[Geography (Collection) -Lookup Picker in GRIN]]="","",Master[[#This Row],[Geography (Collection) -Lookup Picker in GRIN]])</f>
        <v/>
      </c>
      <c r="G168" t="str">
        <f t="shared" si="26"/>
        <v>Y</v>
      </c>
      <c r="H168" s="45" t="str">
        <f>IF(Master[[#This Row],[Collecting or Acquisition Source - List]]="","",Master[[#This Row],[Collecting or Acquisition Source - List]])</f>
        <v/>
      </c>
      <c r="I168" t="str">
        <f>IF(Master[[#This Row],[Inventory Type - Lookup Picker]]="","",Master[[#This Row],[Inventory Type - Lookup Picker]])</f>
        <v/>
      </c>
      <c r="J168" s="4" t="str">
        <f>IF(Master[[#This Row],[Number Plants Sampled]]="","",Master[[#This Row],[Number Plants Sampled]])</f>
        <v/>
      </c>
      <c r="K168" s="4" t="str">
        <f>IF(Master[[#This Row],[Environment Description]]="","",Master[[#This Row],[Environment Description]])</f>
        <v/>
      </c>
      <c r="L168" s="4" t="str">
        <f>IF(Master[[#This Row],[Collector Verbatim Locality]]="","",Master[[#This Row],[Collector Verbatim Locality]])</f>
        <v/>
      </c>
      <c r="M168" s="4" t="str">
        <f>IF(Master[[#This Row],[Elevation (meters)]]=0,"",Master[[#This Row],[Elevation (meters)]])</f>
        <v/>
      </c>
      <c r="N168" s="55" t="str">
        <f>IF(Master[[#This Row],[Latitude -decimal degrees]]="","",Master[[#This Row],[Latitude -decimal degrees]])</f>
        <v/>
      </c>
      <c r="O168" s="55" t="str">
        <f>IF(Master[[#This Row],[Longitude -decimal degrees]]="","",Master[[#This Row],[Longitude -decimal degrees]])</f>
        <v/>
      </c>
      <c r="P168" s="5" t="str">
        <f>IF(Master[[#This Row],[Georeference Datum]]="","",Master[[#This Row],[Georeference Datum]])</f>
        <v/>
      </c>
      <c r="Q168" s="5" t="str">
        <f>IF(Master[[#This Row],[Georeference Protocol - Lookup Picker]]="","",Master[[#This Row],[Georeference Protocol - Lookup Picker]])</f>
        <v/>
      </c>
      <c r="R168" s="5" t="str">
        <f>IF(Master[[#This Row],[Associated Species]]="","",Master[[#This Row],[Associated Species]])</f>
        <v/>
      </c>
      <c r="S168" t="str">
        <f t="shared" si="27"/>
        <v>Y</v>
      </c>
      <c r="T168" s="5" t="str">
        <f>IF(Master[[#This Row],[Note (Accession Source - Collector)]]="","",Master[[#This Row],[Note (Accession Source - Collector)]])</f>
        <v/>
      </c>
    </row>
    <row r="169" spans="2:20" x14ac:dyDescent="0.25">
      <c r="B169" t="str">
        <f>Master[[#This Row],[Accession Prefix (NPGS)]]&amp;" "&amp;Master[[#This Row],[Accession Number -Assigned]]</f>
        <v xml:space="preserve"> </v>
      </c>
      <c r="C169" t="str">
        <f t="shared" si="24"/>
        <v>Collection source event</v>
      </c>
      <c r="D169" t="str">
        <f t="shared" si="25"/>
        <v>mm/dd/yyyy</v>
      </c>
      <c r="E16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9" s="76" t="str">
        <f>IF(Master[[#This Row],[Geography (Collection) -Lookup Picker in GRIN]]="","",Master[[#This Row],[Geography (Collection) -Lookup Picker in GRIN]])</f>
        <v/>
      </c>
      <c r="G169" t="str">
        <f t="shared" si="26"/>
        <v>Y</v>
      </c>
      <c r="H169" s="45" t="str">
        <f>IF(Master[[#This Row],[Collecting or Acquisition Source - List]]="","",Master[[#This Row],[Collecting or Acquisition Source - List]])</f>
        <v/>
      </c>
      <c r="I169" t="str">
        <f>IF(Master[[#This Row],[Inventory Type - Lookup Picker]]="","",Master[[#This Row],[Inventory Type - Lookup Picker]])</f>
        <v/>
      </c>
      <c r="J169" s="4" t="str">
        <f>IF(Master[[#This Row],[Number Plants Sampled]]="","",Master[[#This Row],[Number Plants Sampled]])</f>
        <v/>
      </c>
      <c r="K169" s="4" t="str">
        <f>IF(Master[[#This Row],[Environment Description]]="","",Master[[#This Row],[Environment Description]])</f>
        <v/>
      </c>
      <c r="L169" s="4" t="str">
        <f>IF(Master[[#This Row],[Collector Verbatim Locality]]="","",Master[[#This Row],[Collector Verbatim Locality]])</f>
        <v/>
      </c>
      <c r="M169" s="4" t="str">
        <f>IF(Master[[#This Row],[Elevation (meters)]]=0,"",Master[[#This Row],[Elevation (meters)]])</f>
        <v/>
      </c>
      <c r="N169" s="55" t="str">
        <f>IF(Master[[#This Row],[Latitude -decimal degrees]]="","",Master[[#This Row],[Latitude -decimal degrees]])</f>
        <v/>
      </c>
      <c r="O169" s="55" t="str">
        <f>IF(Master[[#This Row],[Longitude -decimal degrees]]="","",Master[[#This Row],[Longitude -decimal degrees]])</f>
        <v/>
      </c>
      <c r="P169" s="5" t="str">
        <f>IF(Master[[#This Row],[Georeference Datum]]="","",Master[[#This Row],[Georeference Datum]])</f>
        <v/>
      </c>
      <c r="Q169" s="5" t="str">
        <f>IF(Master[[#This Row],[Georeference Protocol - Lookup Picker]]="","",Master[[#This Row],[Georeference Protocol - Lookup Picker]])</f>
        <v/>
      </c>
      <c r="R169" s="5" t="str">
        <f>IF(Master[[#This Row],[Associated Species]]="","",Master[[#This Row],[Associated Species]])</f>
        <v/>
      </c>
      <c r="S169" t="str">
        <f t="shared" si="27"/>
        <v>Y</v>
      </c>
      <c r="T169" s="5" t="str">
        <f>IF(Master[[#This Row],[Note (Accession Source - Collector)]]="","",Master[[#This Row],[Note (Accession Source - Collector)]])</f>
        <v/>
      </c>
    </row>
    <row r="170" spans="2:20" x14ac:dyDescent="0.25">
      <c r="B170" t="str">
        <f>Master[[#This Row],[Accession Prefix (NPGS)]]&amp;" "&amp;Master[[#This Row],[Accession Number -Assigned]]</f>
        <v xml:space="preserve"> </v>
      </c>
      <c r="C170" t="str">
        <f t="shared" si="24"/>
        <v>Collection source event</v>
      </c>
      <c r="D170" t="str">
        <f t="shared" si="25"/>
        <v>mm/dd/yyyy</v>
      </c>
      <c r="E17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0" s="76" t="str">
        <f>IF(Master[[#This Row],[Geography (Collection) -Lookup Picker in GRIN]]="","",Master[[#This Row],[Geography (Collection) -Lookup Picker in GRIN]])</f>
        <v/>
      </c>
      <c r="G170" t="str">
        <f t="shared" si="26"/>
        <v>Y</v>
      </c>
      <c r="H170" s="45" t="str">
        <f>IF(Master[[#This Row],[Collecting or Acquisition Source - List]]="","",Master[[#This Row],[Collecting or Acquisition Source - List]])</f>
        <v/>
      </c>
      <c r="I170" t="str">
        <f>IF(Master[[#This Row],[Inventory Type - Lookup Picker]]="","",Master[[#This Row],[Inventory Type - Lookup Picker]])</f>
        <v/>
      </c>
      <c r="J170" s="4" t="str">
        <f>IF(Master[[#This Row],[Number Plants Sampled]]="","",Master[[#This Row],[Number Plants Sampled]])</f>
        <v/>
      </c>
      <c r="K170" s="4" t="str">
        <f>IF(Master[[#This Row],[Environment Description]]="","",Master[[#This Row],[Environment Description]])</f>
        <v/>
      </c>
      <c r="L170" s="4" t="str">
        <f>IF(Master[[#This Row],[Collector Verbatim Locality]]="","",Master[[#This Row],[Collector Verbatim Locality]])</f>
        <v/>
      </c>
      <c r="M170" s="4" t="str">
        <f>IF(Master[[#This Row],[Elevation (meters)]]=0,"",Master[[#This Row],[Elevation (meters)]])</f>
        <v/>
      </c>
      <c r="N170" s="55" t="str">
        <f>IF(Master[[#This Row],[Latitude -decimal degrees]]="","",Master[[#This Row],[Latitude -decimal degrees]])</f>
        <v/>
      </c>
      <c r="O170" s="55" t="str">
        <f>IF(Master[[#This Row],[Longitude -decimal degrees]]="","",Master[[#This Row],[Longitude -decimal degrees]])</f>
        <v/>
      </c>
      <c r="P170" s="5" t="str">
        <f>IF(Master[[#This Row],[Georeference Datum]]="","",Master[[#This Row],[Georeference Datum]])</f>
        <v/>
      </c>
      <c r="Q170" s="5" t="str">
        <f>IF(Master[[#This Row],[Georeference Protocol - Lookup Picker]]="","",Master[[#This Row],[Georeference Protocol - Lookup Picker]])</f>
        <v/>
      </c>
      <c r="R170" s="5" t="str">
        <f>IF(Master[[#This Row],[Associated Species]]="","",Master[[#This Row],[Associated Species]])</f>
        <v/>
      </c>
      <c r="S170" t="str">
        <f t="shared" si="27"/>
        <v>Y</v>
      </c>
      <c r="T170" s="5" t="str">
        <f>IF(Master[[#This Row],[Note (Accession Source - Collector)]]="","",Master[[#This Row],[Note (Accession Source - Collector)]])</f>
        <v/>
      </c>
    </row>
    <row r="171" spans="2:20" x14ac:dyDescent="0.25">
      <c r="B171" t="str">
        <f>Master[[#This Row],[Accession Prefix (NPGS)]]&amp;" "&amp;Master[[#This Row],[Accession Number -Assigned]]</f>
        <v xml:space="preserve"> </v>
      </c>
      <c r="C171" t="str">
        <f t="shared" si="24"/>
        <v>Collection source event</v>
      </c>
      <c r="D171" t="str">
        <f t="shared" si="25"/>
        <v>mm/dd/yyyy</v>
      </c>
      <c r="E17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1" s="76" t="str">
        <f>IF(Master[[#This Row],[Geography (Collection) -Lookup Picker in GRIN]]="","",Master[[#This Row],[Geography (Collection) -Lookup Picker in GRIN]])</f>
        <v/>
      </c>
      <c r="G171" t="str">
        <f t="shared" si="26"/>
        <v>Y</v>
      </c>
      <c r="H171" s="45" t="str">
        <f>IF(Master[[#This Row],[Collecting or Acquisition Source - List]]="","",Master[[#This Row],[Collecting or Acquisition Source - List]])</f>
        <v/>
      </c>
      <c r="I171" t="str">
        <f>IF(Master[[#This Row],[Inventory Type - Lookup Picker]]="","",Master[[#This Row],[Inventory Type - Lookup Picker]])</f>
        <v/>
      </c>
      <c r="J171" s="4" t="str">
        <f>IF(Master[[#This Row],[Number Plants Sampled]]="","",Master[[#This Row],[Number Plants Sampled]])</f>
        <v/>
      </c>
      <c r="K171" s="4" t="str">
        <f>IF(Master[[#This Row],[Environment Description]]="","",Master[[#This Row],[Environment Description]])</f>
        <v/>
      </c>
      <c r="L171" s="4" t="str">
        <f>IF(Master[[#This Row],[Collector Verbatim Locality]]="","",Master[[#This Row],[Collector Verbatim Locality]])</f>
        <v/>
      </c>
      <c r="M171" s="4" t="str">
        <f>IF(Master[[#This Row],[Elevation (meters)]]=0,"",Master[[#This Row],[Elevation (meters)]])</f>
        <v/>
      </c>
      <c r="N171" s="55" t="str">
        <f>IF(Master[[#This Row],[Latitude -decimal degrees]]="","",Master[[#This Row],[Latitude -decimal degrees]])</f>
        <v/>
      </c>
      <c r="O171" s="55" t="str">
        <f>IF(Master[[#This Row],[Longitude -decimal degrees]]="","",Master[[#This Row],[Longitude -decimal degrees]])</f>
        <v/>
      </c>
      <c r="P171" s="5" t="str">
        <f>IF(Master[[#This Row],[Georeference Datum]]="","",Master[[#This Row],[Georeference Datum]])</f>
        <v/>
      </c>
      <c r="Q171" s="5" t="str">
        <f>IF(Master[[#This Row],[Georeference Protocol - Lookup Picker]]="","",Master[[#This Row],[Georeference Protocol - Lookup Picker]])</f>
        <v/>
      </c>
      <c r="R171" s="5" t="str">
        <f>IF(Master[[#This Row],[Associated Species]]="","",Master[[#This Row],[Associated Species]])</f>
        <v/>
      </c>
      <c r="S171" t="str">
        <f t="shared" si="27"/>
        <v>Y</v>
      </c>
      <c r="T171" s="5" t="str">
        <f>IF(Master[[#This Row],[Note (Accession Source - Collector)]]="","",Master[[#This Row],[Note (Accession Source - Collector)]])</f>
        <v/>
      </c>
    </row>
    <row r="172" spans="2:20" x14ac:dyDescent="0.25">
      <c r="B172" t="str">
        <f>Master[[#This Row],[Accession Prefix (NPGS)]]&amp;" "&amp;Master[[#This Row],[Accession Number -Assigned]]</f>
        <v xml:space="preserve"> </v>
      </c>
      <c r="C172" t="str">
        <f t="shared" si="24"/>
        <v>Collection source event</v>
      </c>
      <c r="D172" t="str">
        <f t="shared" si="25"/>
        <v>mm/dd/yyyy</v>
      </c>
      <c r="E17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2" s="76" t="str">
        <f>IF(Master[[#This Row],[Geography (Collection) -Lookup Picker in GRIN]]="","",Master[[#This Row],[Geography (Collection) -Lookup Picker in GRIN]])</f>
        <v/>
      </c>
      <c r="G172" t="str">
        <f t="shared" si="26"/>
        <v>Y</v>
      </c>
      <c r="H172" s="45" t="str">
        <f>IF(Master[[#This Row],[Collecting or Acquisition Source - List]]="","",Master[[#This Row],[Collecting or Acquisition Source - List]])</f>
        <v/>
      </c>
      <c r="I172" t="str">
        <f>IF(Master[[#This Row],[Inventory Type - Lookup Picker]]="","",Master[[#This Row],[Inventory Type - Lookup Picker]])</f>
        <v/>
      </c>
      <c r="J172" s="4" t="str">
        <f>IF(Master[[#This Row],[Number Plants Sampled]]="","",Master[[#This Row],[Number Plants Sampled]])</f>
        <v/>
      </c>
      <c r="K172" s="4" t="str">
        <f>IF(Master[[#This Row],[Environment Description]]="","",Master[[#This Row],[Environment Description]])</f>
        <v/>
      </c>
      <c r="L172" s="4" t="str">
        <f>IF(Master[[#This Row],[Collector Verbatim Locality]]="","",Master[[#This Row],[Collector Verbatim Locality]])</f>
        <v/>
      </c>
      <c r="M172" s="4" t="str">
        <f>IF(Master[[#This Row],[Elevation (meters)]]=0,"",Master[[#This Row],[Elevation (meters)]])</f>
        <v/>
      </c>
      <c r="N172" s="55" t="str">
        <f>IF(Master[[#This Row],[Latitude -decimal degrees]]="","",Master[[#This Row],[Latitude -decimal degrees]])</f>
        <v/>
      </c>
      <c r="O172" s="55" t="str">
        <f>IF(Master[[#This Row],[Longitude -decimal degrees]]="","",Master[[#This Row],[Longitude -decimal degrees]])</f>
        <v/>
      </c>
      <c r="P172" s="5" t="str">
        <f>IF(Master[[#This Row],[Georeference Datum]]="","",Master[[#This Row],[Georeference Datum]])</f>
        <v/>
      </c>
      <c r="Q172" s="5" t="str">
        <f>IF(Master[[#This Row],[Georeference Protocol - Lookup Picker]]="","",Master[[#This Row],[Georeference Protocol - Lookup Picker]])</f>
        <v/>
      </c>
      <c r="R172" s="5" t="str">
        <f>IF(Master[[#This Row],[Associated Species]]="","",Master[[#This Row],[Associated Species]])</f>
        <v/>
      </c>
      <c r="S172" t="str">
        <f t="shared" si="27"/>
        <v>Y</v>
      </c>
      <c r="T172" s="5" t="str">
        <f>IF(Master[[#This Row],[Note (Accession Source - Collector)]]="","",Master[[#This Row],[Note (Accession Source - Collector)]])</f>
        <v/>
      </c>
    </row>
    <row r="173" spans="2:20" x14ac:dyDescent="0.25">
      <c r="B173" t="str">
        <f>Master[[#This Row],[Accession Prefix (NPGS)]]&amp;" "&amp;Master[[#This Row],[Accession Number -Assigned]]</f>
        <v xml:space="preserve"> </v>
      </c>
      <c r="C173" t="str">
        <f t="shared" si="24"/>
        <v>Collection source event</v>
      </c>
      <c r="D173" t="str">
        <f t="shared" si="25"/>
        <v>mm/dd/yyyy</v>
      </c>
      <c r="E17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3" s="76" t="str">
        <f>IF(Master[[#This Row],[Geography (Collection) -Lookup Picker in GRIN]]="","",Master[[#This Row],[Geography (Collection) -Lookup Picker in GRIN]])</f>
        <v/>
      </c>
      <c r="G173" t="str">
        <f t="shared" si="26"/>
        <v>Y</v>
      </c>
      <c r="H173" s="45" t="str">
        <f>IF(Master[[#This Row],[Collecting or Acquisition Source - List]]="","",Master[[#This Row],[Collecting or Acquisition Source - List]])</f>
        <v/>
      </c>
      <c r="I173" t="str">
        <f>IF(Master[[#This Row],[Inventory Type - Lookup Picker]]="","",Master[[#This Row],[Inventory Type - Lookup Picker]])</f>
        <v/>
      </c>
      <c r="J173" s="4" t="str">
        <f>IF(Master[[#This Row],[Number Plants Sampled]]="","",Master[[#This Row],[Number Plants Sampled]])</f>
        <v/>
      </c>
      <c r="K173" s="4" t="str">
        <f>IF(Master[[#This Row],[Environment Description]]="","",Master[[#This Row],[Environment Description]])</f>
        <v/>
      </c>
      <c r="L173" s="4" t="str">
        <f>IF(Master[[#This Row],[Collector Verbatim Locality]]="","",Master[[#This Row],[Collector Verbatim Locality]])</f>
        <v/>
      </c>
      <c r="M173" s="4" t="str">
        <f>IF(Master[[#This Row],[Elevation (meters)]]=0,"",Master[[#This Row],[Elevation (meters)]])</f>
        <v/>
      </c>
      <c r="N173" s="55" t="str">
        <f>IF(Master[[#This Row],[Latitude -decimal degrees]]="","",Master[[#This Row],[Latitude -decimal degrees]])</f>
        <v/>
      </c>
      <c r="O173" s="55" t="str">
        <f>IF(Master[[#This Row],[Longitude -decimal degrees]]="","",Master[[#This Row],[Longitude -decimal degrees]])</f>
        <v/>
      </c>
      <c r="P173" s="5" t="str">
        <f>IF(Master[[#This Row],[Georeference Datum]]="","",Master[[#This Row],[Georeference Datum]])</f>
        <v/>
      </c>
      <c r="Q173" s="5" t="str">
        <f>IF(Master[[#This Row],[Georeference Protocol - Lookup Picker]]="","",Master[[#This Row],[Georeference Protocol - Lookup Picker]])</f>
        <v/>
      </c>
      <c r="R173" s="5" t="str">
        <f>IF(Master[[#This Row],[Associated Species]]="","",Master[[#This Row],[Associated Species]])</f>
        <v/>
      </c>
      <c r="S173" t="str">
        <f t="shared" si="27"/>
        <v>Y</v>
      </c>
      <c r="T173" s="5" t="str">
        <f>IF(Master[[#This Row],[Note (Accession Source - Collector)]]="","",Master[[#This Row],[Note (Accession Source - Collector)]])</f>
        <v/>
      </c>
    </row>
    <row r="174" spans="2:20" x14ac:dyDescent="0.25">
      <c r="B174" t="str">
        <f>Master[[#This Row],[Accession Prefix (NPGS)]]&amp;" "&amp;Master[[#This Row],[Accession Number -Assigned]]</f>
        <v xml:space="preserve"> </v>
      </c>
      <c r="C174" t="str">
        <f t="shared" si="24"/>
        <v>Collection source event</v>
      </c>
      <c r="D174" t="str">
        <f t="shared" si="25"/>
        <v>mm/dd/yyyy</v>
      </c>
      <c r="E17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4" s="76" t="str">
        <f>IF(Master[[#This Row],[Geography (Collection) -Lookup Picker in GRIN]]="","",Master[[#This Row],[Geography (Collection) -Lookup Picker in GRIN]])</f>
        <v/>
      </c>
      <c r="G174" t="str">
        <f t="shared" si="26"/>
        <v>Y</v>
      </c>
      <c r="H174" s="45" t="str">
        <f>IF(Master[[#This Row],[Collecting or Acquisition Source - List]]="","",Master[[#This Row],[Collecting or Acquisition Source - List]])</f>
        <v/>
      </c>
      <c r="I174" t="str">
        <f>IF(Master[[#This Row],[Inventory Type - Lookup Picker]]="","",Master[[#This Row],[Inventory Type - Lookup Picker]])</f>
        <v/>
      </c>
      <c r="J174" s="4" t="str">
        <f>IF(Master[[#This Row],[Number Plants Sampled]]="","",Master[[#This Row],[Number Plants Sampled]])</f>
        <v/>
      </c>
      <c r="K174" s="4" t="str">
        <f>IF(Master[[#This Row],[Environment Description]]="","",Master[[#This Row],[Environment Description]])</f>
        <v/>
      </c>
      <c r="L174" s="4" t="str">
        <f>IF(Master[[#This Row],[Collector Verbatim Locality]]="","",Master[[#This Row],[Collector Verbatim Locality]])</f>
        <v/>
      </c>
      <c r="M174" s="4" t="str">
        <f>IF(Master[[#This Row],[Elevation (meters)]]=0,"",Master[[#This Row],[Elevation (meters)]])</f>
        <v/>
      </c>
      <c r="N174" s="55" t="str">
        <f>IF(Master[[#This Row],[Latitude -decimal degrees]]="","",Master[[#This Row],[Latitude -decimal degrees]])</f>
        <v/>
      </c>
      <c r="O174" s="55" t="str">
        <f>IF(Master[[#This Row],[Longitude -decimal degrees]]="","",Master[[#This Row],[Longitude -decimal degrees]])</f>
        <v/>
      </c>
      <c r="P174" s="5" t="str">
        <f>IF(Master[[#This Row],[Georeference Datum]]="","",Master[[#This Row],[Georeference Datum]])</f>
        <v/>
      </c>
      <c r="Q174" s="5" t="str">
        <f>IF(Master[[#This Row],[Georeference Protocol - Lookup Picker]]="","",Master[[#This Row],[Georeference Protocol - Lookup Picker]])</f>
        <v/>
      </c>
      <c r="R174" s="5" t="str">
        <f>IF(Master[[#This Row],[Associated Species]]="","",Master[[#This Row],[Associated Species]])</f>
        <v/>
      </c>
      <c r="S174" t="str">
        <f t="shared" si="27"/>
        <v>Y</v>
      </c>
      <c r="T174" s="5" t="str">
        <f>IF(Master[[#This Row],[Note (Accession Source - Collector)]]="","",Master[[#This Row],[Note (Accession Source - Collector)]])</f>
        <v/>
      </c>
    </row>
    <row r="175" spans="2:20" x14ac:dyDescent="0.25">
      <c r="B175" t="str">
        <f>Master[[#This Row],[Accession Prefix (NPGS)]]&amp;" "&amp;Master[[#This Row],[Accession Number -Assigned]]</f>
        <v xml:space="preserve"> </v>
      </c>
      <c r="C175" t="str">
        <f t="shared" si="24"/>
        <v>Collection source event</v>
      </c>
      <c r="D175" t="str">
        <f t="shared" si="25"/>
        <v>mm/dd/yyyy</v>
      </c>
      <c r="E17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5" s="76" t="str">
        <f>IF(Master[[#This Row],[Geography (Collection) -Lookup Picker in GRIN]]="","",Master[[#This Row],[Geography (Collection) -Lookup Picker in GRIN]])</f>
        <v/>
      </c>
      <c r="G175" t="str">
        <f t="shared" si="26"/>
        <v>Y</v>
      </c>
      <c r="H175" s="45" t="str">
        <f>IF(Master[[#This Row],[Collecting or Acquisition Source - List]]="","",Master[[#This Row],[Collecting or Acquisition Source - List]])</f>
        <v/>
      </c>
      <c r="I175" t="str">
        <f>IF(Master[[#This Row],[Inventory Type - Lookup Picker]]="","",Master[[#This Row],[Inventory Type - Lookup Picker]])</f>
        <v/>
      </c>
      <c r="J175" s="4" t="str">
        <f>IF(Master[[#This Row],[Number Plants Sampled]]="","",Master[[#This Row],[Number Plants Sampled]])</f>
        <v/>
      </c>
      <c r="K175" s="4" t="str">
        <f>IF(Master[[#This Row],[Environment Description]]="","",Master[[#This Row],[Environment Description]])</f>
        <v/>
      </c>
      <c r="L175" s="4" t="str">
        <f>IF(Master[[#This Row],[Collector Verbatim Locality]]="","",Master[[#This Row],[Collector Verbatim Locality]])</f>
        <v/>
      </c>
      <c r="M175" s="4" t="str">
        <f>IF(Master[[#This Row],[Elevation (meters)]]=0,"",Master[[#This Row],[Elevation (meters)]])</f>
        <v/>
      </c>
      <c r="N175" s="55" t="str">
        <f>IF(Master[[#This Row],[Latitude -decimal degrees]]="","",Master[[#This Row],[Latitude -decimal degrees]])</f>
        <v/>
      </c>
      <c r="O175" s="55" t="str">
        <f>IF(Master[[#This Row],[Longitude -decimal degrees]]="","",Master[[#This Row],[Longitude -decimal degrees]])</f>
        <v/>
      </c>
      <c r="P175" s="5" t="str">
        <f>IF(Master[[#This Row],[Georeference Datum]]="","",Master[[#This Row],[Georeference Datum]])</f>
        <v/>
      </c>
      <c r="Q175" s="5" t="str">
        <f>IF(Master[[#This Row],[Georeference Protocol - Lookup Picker]]="","",Master[[#This Row],[Georeference Protocol - Lookup Picker]])</f>
        <v/>
      </c>
      <c r="R175" s="5" t="str">
        <f>IF(Master[[#This Row],[Associated Species]]="","",Master[[#This Row],[Associated Species]])</f>
        <v/>
      </c>
      <c r="S175" t="str">
        <f t="shared" si="27"/>
        <v>Y</v>
      </c>
      <c r="T175" s="5" t="str">
        <f>IF(Master[[#This Row],[Note (Accession Source - Collector)]]="","",Master[[#This Row],[Note (Accession Source - Collector)]])</f>
        <v/>
      </c>
    </row>
    <row r="176" spans="2:20" x14ac:dyDescent="0.25">
      <c r="B176" t="str">
        <f>Master[[#This Row],[Accession Prefix (NPGS)]]&amp;" "&amp;Master[[#This Row],[Accession Number -Assigned]]</f>
        <v xml:space="preserve"> </v>
      </c>
      <c r="C176" t="str">
        <f t="shared" si="24"/>
        <v>Collection source event</v>
      </c>
      <c r="D176" t="str">
        <f t="shared" si="25"/>
        <v>mm/dd/yyyy</v>
      </c>
      <c r="E17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6" s="76" t="str">
        <f>IF(Master[[#This Row],[Geography (Collection) -Lookup Picker in GRIN]]="","",Master[[#This Row],[Geography (Collection) -Lookup Picker in GRIN]])</f>
        <v/>
      </c>
      <c r="G176" t="str">
        <f t="shared" si="26"/>
        <v>Y</v>
      </c>
      <c r="H176" s="45" t="str">
        <f>IF(Master[[#This Row],[Collecting or Acquisition Source - List]]="","",Master[[#This Row],[Collecting or Acquisition Source - List]])</f>
        <v/>
      </c>
      <c r="I176" t="str">
        <f>IF(Master[[#This Row],[Inventory Type - Lookup Picker]]="","",Master[[#This Row],[Inventory Type - Lookup Picker]])</f>
        <v/>
      </c>
      <c r="J176" s="4" t="str">
        <f>IF(Master[[#This Row],[Number Plants Sampled]]="","",Master[[#This Row],[Number Plants Sampled]])</f>
        <v/>
      </c>
      <c r="K176" s="4" t="str">
        <f>IF(Master[[#This Row],[Environment Description]]="","",Master[[#This Row],[Environment Description]])</f>
        <v/>
      </c>
      <c r="L176" s="4" t="str">
        <f>IF(Master[[#This Row],[Collector Verbatim Locality]]="","",Master[[#This Row],[Collector Verbatim Locality]])</f>
        <v/>
      </c>
      <c r="M176" s="4" t="str">
        <f>IF(Master[[#This Row],[Elevation (meters)]]=0,"",Master[[#This Row],[Elevation (meters)]])</f>
        <v/>
      </c>
      <c r="N176" s="55" t="str">
        <f>IF(Master[[#This Row],[Latitude -decimal degrees]]="","",Master[[#This Row],[Latitude -decimal degrees]])</f>
        <v/>
      </c>
      <c r="O176" s="55" t="str">
        <f>IF(Master[[#This Row],[Longitude -decimal degrees]]="","",Master[[#This Row],[Longitude -decimal degrees]])</f>
        <v/>
      </c>
      <c r="P176" s="5" t="str">
        <f>IF(Master[[#This Row],[Georeference Datum]]="","",Master[[#This Row],[Georeference Datum]])</f>
        <v/>
      </c>
      <c r="Q176" s="5" t="str">
        <f>IF(Master[[#This Row],[Georeference Protocol - Lookup Picker]]="","",Master[[#This Row],[Georeference Protocol - Lookup Picker]])</f>
        <v/>
      </c>
      <c r="R176" s="5" t="str">
        <f>IF(Master[[#This Row],[Associated Species]]="","",Master[[#This Row],[Associated Species]])</f>
        <v/>
      </c>
      <c r="S176" t="str">
        <f t="shared" si="27"/>
        <v>Y</v>
      </c>
      <c r="T176" s="5" t="str">
        <f>IF(Master[[#This Row],[Note (Accession Source - Collector)]]="","",Master[[#This Row],[Note (Accession Source - Collector)]])</f>
        <v/>
      </c>
    </row>
    <row r="177" spans="2:20" x14ac:dyDescent="0.25">
      <c r="B177" t="str">
        <f>Master[[#This Row],[Accession Prefix (NPGS)]]&amp;" "&amp;Master[[#This Row],[Accession Number -Assigned]]</f>
        <v xml:space="preserve"> </v>
      </c>
      <c r="C177" t="str">
        <f t="shared" si="24"/>
        <v>Collection source event</v>
      </c>
      <c r="D177" t="str">
        <f t="shared" si="25"/>
        <v>mm/dd/yyyy</v>
      </c>
      <c r="E17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7" s="76" t="str">
        <f>IF(Master[[#This Row],[Geography (Collection) -Lookup Picker in GRIN]]="","",Master[[#This Row],[Geography (Collection) -Lookup Picker in GRIN]])</f>
        <v/>
      </c>
      <c r="G177" t="str">
        <f t="shared" si="26"/>
        <v>Y</v>
      </c>
      <c r="H177" s="45" t="str">
        <f>IF(Master[[#This Row],[Collecting or Acquisition Source - List]]="","",Master[[#This Row],[Collecting or Acquisition Source - List]])</f>
        <v/>
      </c>
      <c r="I177" t="str">
        <f>IF(Master[[#This Row],[Inventory Type - Lookup Picker]]="","",Master[[#This Row],[Inventory Type - Lookup Picker]])</f>
        <v/>
      </c>
      <c r="J177" s="4" t="str">
        <f>IF(Master[[#This Row],[Number Plants Sampled]]="","",Master[[#This Row],[Number Plants Sampled]])</f>
        <v/>
      </c>
      <c r="K177" s="4" t="str">
        <f>IF(Master[[#This Row],[Environment Description]]="","",Master[[#This Row],[Environment Description]])</f>
        <v/>
      </c>
      <c r="L177" s="4" t="str">
        <f>IF(Master[[#This Row],[Collector Verbatim Locality]]="","",Master[[#This Row],[Collector Verbatim Locality]])</f>
        <v/>
      </c>
      <c r="M177" s="4" t="str">
        <f>IF(Master[[#This Row],[Elevation (meters)]]=0,"",Master[[#This Row],[Elevation (meters)]])</f>
        <v/>
      </c>
      <c r="N177" s="55" t="str">
        <f>IF(Master[[#This Row],[Latitude -decimal degrees]]="","",Master[[#This Row],[Latitude -decimal degrees]])</f>
        <v/>
      </c>
      <c r="O177" s="55" t="str">
        <f>IF(Master[[#This Row],[Longitude -decimal degrees]]="","",Master[[#This Row],[Longitude -decimal degrees]])</f>
        <v/>
      </c>
      <c r="P177" s="5" t="str">
        <f>IF(Master[[#This Row],[Georeference Datum]]="","",Master[[#This Row],[Georeference Datum]])</f>
        <v/>
      </c>
      <c r="Q177" s="5" t="str">
        <f>IF(Master[[#This Row],[Georeference Protocol - Lookup Picker]]="","",Master[[#This Row],[Georeference Protocol - Lookup Picker]])</f>
        <v/>
      </c>
      <c r="R177" s="5" t="str">
        <f>IF(Master[[#This Row],[Associated Species]]="","",Master[[#This Row],[Associated Species]])</f>
        <v/>
      </c>
      <c r="S177" t="str">
        <f t="shared" si="27"/>
        <v>Y</v>
      </c>
      <c r="T177" s="5" t="str">
        <f>IF(Master[[#This Row],[Note (Accession Source - Collector)]]="","",Master[[#This Row],[Note (Accession Source - Collector)]])</f>
        <v/>
      </c>
    </row>
    <row r="178" spans="2:20" x14ac:dyDescent="0.25">
      <c r="B178" t="str">
        <f>Master[[#This Row],[Accession Prefix (NPGS)]]&amp;" "&amp;Master[[#This Row],[Accession Number -Assigned]]</f>
        <v xml:space="preserve"> </v>
      </c>
      <c r="C178" t="str">
        <f t="shared" si="24"/>
        <v>Collection source event</v>
      </c>
      <c r="D178" t="str">
        <f t="shared" si="25"/>
        <v>mm/dd/yyyy</v>
      </c>
      <c r="E17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8" s="76" t="str">
        <f>IF(Master[[#This Row],[Geography (Collection) -Lookup Picker in GRIN]]="","",Master[[#This Row],[Geography (Collection) -Lookup Picker in GRIN]])</f>
        <v/>
      </c>
      <c r="G178" t="str">
        <f t="shared" si="26"/>
        <v>Y</v>
      </c>
      <c r="H178" s="45" t="str">
        <f>IF(Master[[#This Row],[Collecting or Acquisition Source - List]]="","",Master[[#This Row],[Collecting or Acquisition Source - List]])</f>
        <v/>
      </c>
      <c r="I178" t="str">
        <f>IF(Master[[#This Row],[Inventory Type - Lookup Picker]]="","",Master[[#This Row],[Inventory Type - Lookup Picker]])</f>
        <v/>
      </c>
      <c r="J178" s="4" t="str">
        <f>IF(Master[[#This Row],[Number Plants Sampled]]="","",Master[[#This Row],[Number Plants Sampled]])</f>
        <v/>
      </c>
      <c r="K178" s="4" t="str">
        <f>IF(Master[[#This Row],[Environment Description]]="","",Master[[#This Row],[Environment Description]])</f>
        <v/>
      </c>
      <c r="L178" s="4" t="str">
        <f>IF(Master[[#This Row],[Collector Verbatim Locality]]="","",Master[[#This Row],[Collector Verbatim Locality]])</f>
        <v/>
      </c>
      <c r="M178" s="4" t="str">
        <f>IF(Master[[#This Row],[Elevation (meters)]]=0,"",Master[[#This Row],[Elevation (meters)]])</f>
        <v/>
      </c>
      <c r="N178" s="55" t="str">
        <f>IF(Master[[#This Row],[Latitude -decimal degrees]]="","",Master[[#This Row],[Latitude -decimal degrees]])</f>
        <v/>
      </c>
      <c r="O178" s="55" t="str">
        <f>IF(Master[[#This Row],[Longitude -decimal degrees]]="","",Master[[#This Row],[Longitude -decimal degrees]])</f>
        <v/>
      </c>
      <c r="P178" s="5" t="str">
        <f>IF(Master[[#This Row],[Georeference Datum]]="","",Master[[#This Row],[Georeference Datum]])</f>
        <v/>
      </c>
      <c r="Q178" s="5" t="str">
        <f>IF(Master[[#This Row],[Georeference Protocol - Lookup Picker]]="","",Master[[#This Row],[Georeference Protocol - Lookup Picker]])</f>
        <v/>
      </c>
      <c r="R178" s="5" t="str">
        <f>IF(Master[[#This Row],[Associated Species]]="","",Master[[#This Row],[Associated Species]])</f>
        <v/>
      </c>
      <c r="S178" t="str">
        <f t="shared" si="27"/>
        <v>Y</v>
      </c>
      <c r="T178" s="5" t="str">
        <f>IF(Master[[#This Row],[Note (Accession Source - Collector)]]="","",Master[[#This Row],[Note (Accession Source - Collector)]])</f>
        <v/>
      </c>
    </row>
    <row r="179" spans="2:20" x14ac:dyDescent="0.25">
      <c r="B179" t="str">
        <f>Master[[#This Row],[Accession Prefix (NPGS)]]&amp;" "&amp;Master[[#This Row],[Accession Number -Assigned]]</f>
        <v xml:space="preserve"> </v>
      </c>
      <c r="C179" t="str">
        <f t="shared" si="24"/>
        <v>Collection source event</v>
      </c>
      <c r="D179" t="str">
        <f t="shared" si="25"/>
        <v>mm/dd/yyyy</v>
      </c>
      <c r="E17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9" s="76" t="str">
        <f>IF(Master[[#This Row],[Geography (Collection) -Lookup Picker in GRIN]]="","",Master[[#This Row],[Geography (Collection) -Lookup Picker in GRIN]])</f>
        <v/>
      </c>
      <c r="G179" t="str">
        <f t="shared" si="26"/>
        <v>Y</v>
      </c>
      <c r="H179" s="45" t="str">
        <f>IF(Master[[#This Row],[Collecting or Acquisition Source - List]]="","",Master[[#This Row],[Collecting or Acquisition Source - List]])</f>
        <v/>
      </c>
      <c r="I179" t="str">
        <f>IF(Master[[#This Row],[Inventory Type - Lookup Picker]]="","",Master[[#This Row],[Inventory Type - Lookup Picker]])</f>
        <v/>
      </c>
      <c r="J179" s="4" t="str">
        <f>IF(Master[[#This Row],[Number Plants Sampled]]="","",Master[[#This Row],[Number Plants Sampled]])</f>
        <v/>
      </c>
      <c r="K179" s="4" t="str">
        <f>IF(Master[[#This Row],[Environment Description]]="","",Master[[#This Row],[Environment Description]])</f>
        <v/>
      </c>
      <c r="L179" s="4" t="str">
        <f>IF(Master[[#This Row],[Collector Verbatim Locality]]="","",Master[[#This Row],[Collector Verbatim Locality]])</f>
        <v/>
      </c>
      <c r="M179" s="4" t="str">
        <f>IF(Master[[#This Row],[Elevation (meters)]]=0,"",Master[[#This Row],[Elevation (meters)]])</f>
        <v/>
      </c>
      <c r="N179" s="55" t="str">
        <f>IF(Master[[#This Row],[Latitude -decimal degrees]]="","",Master[[#This Row],[Latitude -decimal degrees]])</f>
        <v/>
      </c>
      <c r="O179" s="55" t="str">
        <f>IF(Master[[#This Row],[Longitude -decimal degrees]]="","",Master[[#This Row],[Longitude -decimal degrees]])</f>
        <v/>
      </c>
      <c r="P179" s="5" t="str">
        <f>IF(Master[[#This Row],[Georeference Datum]]="","",Master[[#This Row],[Georeference Datum]])</f>
        <v/>
      </c>
      <c r="Q179" s="5" t="str">
        <f>IF(Master[[#This Row],[Georeference Protocol - Lookup Picker]]="","",Master[[#This Row],[Georeference Protocol - Lookup Picker]])</f>
        <v/>
      </c>
      <c r="R179" s="5" t="str">
        <f>IF(Master[[#This Row],[Associated Species]]="","",Master[[#This Row],[Associated Species]])</f>
        <v/>
      </c>
      <c r="S179" t="str">
        <f t="shared" si="27"/>
        <v>Y</v>
      </c>
      <c r="T179" s="5" t="str">
        <f>IF(Master[[#This Row],[Note (Accession Source - Collector)]]="","",Master[[#This Row],[Note (Accession Source - Collector)]])</f>
        <v/>
      </c>
    </row>
    <row r="180" spans="2:20" x14ac:dyDescent="0.25">
      <c r="B180" t="str">
        <f>Master[[#This Row],[Accession Prefix (NPGS)]]&amp;" "&amp;Master[[#This Row],[Accession Number -Assigned]]</f>
        <v xml:space="preserve"> </v>
      </c>
      <c r="C180" t="str">
        <f t="shared" si="24"/>
        <v>Collection source event</v>
      </c>
      <c r="D180" t="str">
        <f t="shared" si="25"/>
        <v>mm/dd/yyyy</v>
      </c>
      <c r="E18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0" s="76" t="str">
        <f>IF(Master[[#This Row],[Geography (Collection) -Lookup Picker in GRIN]]="","",Master[[#This Row],[Geography (Collection) -Lookup Picker in GRIN]])</f>
        <v/>
      </c>
      <c r="G180" t="str">
        <f t="shared" si="26"/>
        <v>Y</v>
      </c>
      <c r="H180" s="45" t="str">
        <f>IF(Master[[#This Row],[Collecting or Acquisition Source - List]]="","",Master[[#This Row],[Collecting or Acquisition Source - List]])</f>
        <v/>
      </c>
      <c r="I180" t="str">
        <f>IF(Master[[#This Row],[Inventory Type - Lookup Picker]]="","",Master[[#This Row],[Inventory Type - Lookup Picker]])</f>
        <v/>
      </c>
      <c r="J180" s="4" t="str">
        <f>IF(Master[[#This Row],[Number Plants Sampled]]="","",Master[[#This Row],[Number Plants Sampled]])</f>
        <v/>
      </c>
      <c r="K180" s="4" t="str">
        <f>IF(Master[[#This Row],[Environment Description]]="","",Master[[#This Row],[Environment Description]])</f>
        <v/>
      </c>
      <c r="L180" s="4" t="str">
        <f>IF(Master[[#This Row],[Collector Verbatim Locality]]="","",Master[[#This Row],[Collector Verbatim Locality]])</f>
        <v/>
      </c>
      <c r="M180" s="4" t="str">
        <f>IF(Master[[#This Row],[Elevation (meters)]]=0,"",Master[[#This Row],[Elevation (meters)]])</f>
        <v/>
      </c>
      <c r="N180" s="55" t="str">
        <f>IF(Master[[#This Row],[Latitude -decimal degrees]]="","",Master[[#This Row],[Latitude -decimal degrees]])</f>
        <v/>
      </c>
      <c r="O180" s="55" t="str">
        <f>IF(Master[[#This Row],[Longitude -decimal degrees]]="","",Master[[#This Row],[Longitude -decimal degrees]])</f>
        <v/>
      </c>
      <c r="P180" s="5" t="str">
        <f>IF(Master[[#This Row],[Georeference Datum]]="","",Master[[#This Row],[Georeference Datum]])</f>
        <v/>
      </c>
      <c r="Q180" s="5" t="str">
        <f>IF(Master[[#This Row],[Georeference Protocol - Lookup Picker]]="","",Master[[#This Row],[Georeference Protocol - Lookup Picker]])</f>
        <v/>
      </c>
      <c r="R180" s="5" t="str">
        <f>IF(Master[[#This Row],[Associated Species]]="","",Master[[#This Row],[Associated Species]])</f>
        <v/>
      </c>
      <c r="S180" t="str">
        <f t="shared" si="27"/>
        <v>Y</v>
      </c>
      <c r="T180" s="5" t="str">
        <f>IF(Master[[#This Row],[Note (Accession Source - Collector)]]="","",Master[[#This Row],[Note (Accession Source - Collector)]])</f>
        <v/>
      </c>
    </row>
    <row r="181" spans="2:20" x14ac:dyDescent="0.25">
      <c r="B181" t="str">
        <f>Master[[#This Row],[Accession Prefix (NPGS)]]&amp;" "&amp;Master[[#This Row],[Accession Number -Assigned]]</f>
        <v xml:space="preserve"> </v>
      </c>
      <c r="C181" t="str">
        <f t="shared" si="24"/>
        <v>Collection source event</v>
      </c>
      <c r="D181" t="str">
        <f t="shared" si="25"/>
        <v>mm/dd/yyyy</v>
      </c>
      <c r="E18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1" s="76" t="str">
        <f>IF(Master[[#This Row],[Geography (Collection) -Lookup Picker in GRIN]]="","",Master[[#This Row],[Geography (Collection) -Lookup Picker in GRIN]])</f>
        <v/>
      </c>
      <c r="G181" t="str">
        <f t="shared" si="26"/>
        <v>Y</v>
      </c>
      <c r="H181" s="45" t="str">
        <f>IF(Master[[#This Row],[Collecting or Acquisition Source - List]]="","",Master[[#This Row],[Collecting or Acquisition Source - List]])</f>
        <v/>
      </c>
      <c r="I181" t="str">
        <f>IF(Master[[#This Row],[Inventory Type - Lookup Picker]]="","",Master[[#This Row],[Inventory Type - Lookup Picker]])</f>
        <v/>
      </c>
      <c r="J181" s="4" t="str">
        <f>IF(Master[[#This Row],[Number Plants Sampled]]="","",Master[[#This Row],[Number Plants Sampled]])</f>
        <v/>
      </c>
      <c r="K181" s="4" t="str">
        <f>IF(Master[[#This Row],[Environment Description]]="","",Master[[#This Row],[Environment Description]])</f>
        <v/>
      </c>
      <c r="L181" s="4" t="str">
        <f>IF(Master[[#This Row],[Collector Verbatim Locality]]="","",Master[[#This Row],[Collector Verbatim Locality]])</f>
        <v/>
      </c>
      <c r="M181" s="4" t="str">
        <f>IF(Master[[#This Row],[Elevation (meters)]]=0,"",Master[[#This Row],[Elevation (meters)]])</f>
        <v/>
      </c>
      <c r="N181" s="55" t="str">
        <f>IF(Master[[#This Row],[Latitude -decimal degrees]]="","",Master[[#This Row],[Latitude -decimal degrees]])</f>
        <v/>
      </c>
      <c r="O181" s="55" t="str">
        <f>IF(Master[[#This Row],[Longitude -decimal degrees]]="","",Master[[#This Row],[Longitude -decimal degrees]])</f>
        <v/>
      </c>
      <c r="P181" s="5" t="str">
        <f>IF(Master[[#This Row],[Georeference Datum]]="","",Master[[#This Row],[Georeference Datum]])</f>
        <v/>
      </c>
      <c r="Q181" s="5" t="str">
        <f>IF(Master[[#This Row],[Georeference Protocol - Lookup Picker]]="","",Master[[#This Row],[Georeference Protocol - Lookup Picker]])</f>
        <v/>
      </c>
      <c r="R181" s="5" t="str">
        <f>IF(Master[[#This Row],[Associated Species]]="","",Master[[#This Row],[Associated Species]])</f>
        <v/>
      </c>
      <c r="S181" t="str">
        <f t="shared" si="27"/>
        <v>Y</v>
      </c>
      <c r="T181" s="5" t="str">
        <f>IF(Master[[#This Row],[Note (Accession Source - Collector)]]="","",Master[[#This Row],[Note (Accession Source - Collector)]])</f>
        <v/>
      </c>
    </row>
    <row r="182" spans="2:20" x14ac:dyDescent="0.25">
      <c r="B182" t="str">
        <f>Master[[#This Row],[Accession Prefix (NPGS)]]&amp;" "&amp;Master[[#This Row],[Accession Number -Assigned]]</f>
        <v xml:space="preserve"> </v>
      </c>
      <c r="C182" t="str">
        <f t="shared" ref="C182:C201" si="28">"Collection source event"</f>
        <v>Collection source event</v>
      </c>
      <c r="D182" t="str">
        <f t="shared" ref="D182:D201" si="29">"mm/dd/yyyy"</f>
        <v>mm/dd/yyyy</v>
      </c>
      <c r="E18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2" s="76" t="str">
        <f>IF(Master[[#This Row],[Geography (Collection) -Lookup Picker in GRIN]]="","",Master[[#This Row],[Geography (Collection) -Lookup Picker in GRIN]])</f>
        <v/>
      </c>
      <c r="G182" t="str">
        <f t="shared" ref="G182:G201" si="30">"Y"</f>
        <v>Y</v>
      </c>
      <c r="H182" s="45" t="str">
        <f>IF(Master[[#This Row],[Collecting or Acquisition Source - List]]="","",Master[[#This Row],[Collecting or Acquisition Source - List]])</f>
        <v/>
      </c>
      <c r="I182" t="str">
        <f>IF(Master[[#This Row],[Inventory Type - Lookup Picker]]="","",Master[[#This Row],[Inventory Type - Lookup Picker]])</f>
        <v/>
      </c>
      <c r="J182" s="4" t="str">
        <f>IF(Master[[#This Row],[Number Plants Sampled]]="","",Master[[#This Row],[Number Plants Sampled]])</f>
        <v/>
      </c>
      <c r="K182" s="4" t="str">
        <f>IF(Master[[#This Row],[Environment Description]]="","",Master[[#This Row],[Environment Description]])</f>
        <v/>
      </c>
      <c r="L182" s="4" t="str">
        <f>IF(Master[[#This Row],[Collector Verbatim Locality]]="","",Master[[#This Row],[Collector Verbatim Locality]])</f>
        <v/>
      </c>
      <c r="M182" s="4" t="str">
        <f>IF(Master[[#This Row],[Elevation (meters)]]=0,"",Master[[#This Row],[Elevation (meters)]])</f>
        <v/>
      </c>
      <c r="N182" s="55" t="str">
        <f>IF(Master[[#This Row],[Latitude -decimal degrees]]="","",Master[[#This Row],[Latitude -decimal degrees]])</f>
        <v/>
      </c>
      <c r="O182" s="55" t="str">
        <f>IF(Master[[#This Row],[Longitude -decimal degrees]]="","",Master[[#This Row],[Longitude -decimal degrees]])</f>
        <v/>
      </c>
      <c r="P182" s="5" t="str">
        <f>IF(Master[[#This Row],[Georeference Datum]]="","",Master[[#This Row],[Georeference Datum]])</f>
        <v/>
      </c>
      <c r="Q182" s="5" t="str">
        <f>IF(Master[[#This Row],[Georeference Protocol - Lookup Picker]]="","",Master[[#This Row],[Georeference Protocol - Lookup Picker]])</f>
        <v/>
      </c>
      <c r="R182" s="5" t="str">
        <f>IF(Master[[#This Row],[Associated Species]]="","",Master[[#This Row],[Associated Species]])</f>
        <v/>
      </c>
      <c r="S182" t="str">
        <f t="shared" ref="S182:S201" si="31">"Y"</f>
        <v>Y</v>
      </c>
      <c r="T182" s="5" t="str">
        <f>IF(Master[[#This Row],[Note (Accession Source - Collector)]]="","",Master[[#This Row],[Note (Accession Source - Collector)]])</f>
        <v/>
      </c>
    </row>
    <row r="183" spans="2:20" x14ac:dyDescent="0.25">
      <c r="B183" t="str">
        <f>Master[[#This Row],[Accession Prefix (NPGS)]]&amp;" "&amp;Master[[#This Row],[Accession Number -Assigned]]</f>
        <v xml:space="preserve"> </v>
      </c>
      <c r="C183" t="str">
        <f t="shared" si="28"/>
        <v>Collection source event</v>
      </c>
      <c r="D183" t="str">
        <f t="shared" si="29"/>
        <v>mm/dd/yyyy</v>
      </c>
      <c r="E18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3" s="76" t="str">
        <f>IF(Master[[#This Row],[Geography (Collection) -Lookup Picker in GRIN]]="","",Master[[#This Row],[Geography (Collection) -Lookup Picker in GRIN]])</f>
        <v/>
      </c>
      <c r="G183" t="str">
        <f t="shared" si="30"/>
        <v>Y</v>
      </c>
      <c r="H183" s="45" t="str">
        <f>IF(Master[[#This Row],[Collecting or Acquisition Source - List]]="","",Master[[#This Row],[Collecting or Acquisition Source - List]])</f>
        <v/>
      </c>
      <c r="I183" t="str">
        <f>IF(Master[[#This Row],[Inventory Type - Lookup Picker]]="","",Master[[#This Row],[Inventory Type - Lookup Picker]])</f>
        <v/>
      </c>
      <c r="J183" s="4" t="str">
        <f>IF(Master[[#This Row],[Number Plants Sampled]]="","",Master[[#This Row],[Number Plants Sampled]])</f>
        <v/>
      </c>
      <c r="K183" s="4" t="str">
        <f>IF(Master[[#This Row],[Environment Description]]="","",Master[[#This Row],[Environment Description]])</f>
        <v/>
      </c>
      <c r="L183" s="4" t="str">
        <f>IF(Master[[#This Row],[Collector Verbatim Locality]]="","",Master[[#This Row],[Collector Verbatim Locality]])</f>
        <v/>
      </c>
      <c r="M183" s="4" t="str">
        <f>IF(Master[[#This Row],[Elevation (meters)]]=0,"",Master[[#This Row],[Elevation (meters)]])</f>
        <v/>
      </c>
      <c r="N183" s="55" t="str">
        <f>IF(Master[[#This Row],[Latitude -decimal degrees]]="","",Master[[#This Row],[Latitude -decimal degrees]])</f>
        <v/>
      </c>
      <c r="O183" s="55" t="str">
        <f>IF(Master[[#This Row],[Longitude -decimal degrees]]="","",Master[[#This Row],[Longitude -decimal degrees]])</f>
        <v/>
      </c>
      <c r="P183" s="5" t="str">
        <f>IF(Master[[#This Row],[Georeference Datum]]="","",Master[[#This Row],[Georeference Datum]])</f>
        <v/>
      </c>
      <c r="Q183" s="5" t="str">
        <f>IF(Master[[#This Row],[Georeference Protocol - Lookup Picker]]="","",Master[[#This Row],[Georeference Protocol - Lookup Picker]])</f>
        <v/>
      </c>
      <c r="R183" s="5" t="str">
        <f>IF(Master[[#This Row],[Associated Species]]="","",Master[[#This Row],[Associated Species]])</f>
        <v/>
      </c>
      <c r="S183" t="str">
        <f t="shared" si="31"/>
        <v>Y</v>
      </c>
      <c r="T183" s="5" t="str">
        <f>IF(Master[[#This Row],[Note (Accession Source - Collector)]]="","",Master[[#This Row],[Note (Accession Source - Collector)]])</f>
        <v/>
      </c>
    </row>
    <row r="184" spans="2:20" x14ac:dyDescent="0.25">
      <c r="B184" t="str">
        <f>Master[[#This Row],[Accession Prefix (NPGS)]]&amp;" "&amp;Master[[#This Row],[Accession Number -Assigned]]</f>
        <v xml:space="preserve"> </v>
      </c>
      <c r="C184" t="str">
        <f t="shared" si="28"/>
        <v>Collection source event</v>
      </c>
      <c r="D184" t="str">
        <f t="shared" si="29"/>
        <v>mm/dd/yyyy</v>
      </c>
      <c r="E18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4" s="76" t="str">
        <f>IF(Master[[#This Row],[Geography (Collection) -Lookup Picker in GRIN]]="","",Master[[#This Row],[Geography (Collection) -Lookup Picker in GRIN]])</f>
        <v/>
      </c>
      <c r="G184" t="str">
        <f t="shared" si="30"/>
        <v>Y</v>
      </c>
      <c r="H184" s="45" t="str">
        <f>IF(Master[[#This Row],[Collecting or Acquisition Source - List]]="","",Master[[#This Row],[Collecting or Acquisition Source - List]])</f>
        <v/>
      </c>
      <c r="I184" t="str">
        <f>IF(Master[[#This Row],[Inventory Type - Lookup Picker]]="","",Master[[#This Row],[Inventory Type - Lookup Picker]])</f>
        <v/>
      </c>
      <c r="J184" s="4" t="str">
        <f>IF(Master[[#This Row],[Number Plants Sampled]]="","",Master[[#This Row],[Number Plants Sampled]])</f>
        <v/>
      </c>
      <c r="K184" s="4" t="str">
        <f>IF(Master[[#This Row],[Environment Description]]="","",Master[[#This Row],[Environment Description]])</f>
        <v/>
      </c>
      <c r="L184" s="4" t="str">
        <f>IF(Master[[#This Row],[Collector Verbatim Locality]]="","",Master[[#This Row],[Collector Verbatim Locality]])</f>
        <v/>
      </c>
      <c r="M184" s="4" t="str">
        <f>IF(Master[[#This Row],[Elevation (meters)]]=0,"",Master[[#This Row],[Elevation (meters)]])</f>
        <v/>
      </c>
      <c r="N184" s="55" t="str">
        <f>IF(Master[[#This Row],[Latitude -decimal degrees]]="","",Master[[#This Row],[Latitude -decimal degrees]])</f>
        <v/>
      </c>
      <c r="O184" s="55" t="str">
        <f>IF(Master[[#This Row],[Longitude -decimal degrees]]="","",Master[[#This Row],[Longitude -decimal degrees]])</f>
        <v/>
      </c>
      <c r="P184" s="5" t="str">
        <f>IF(Master[[#This Row],[Georeference Datum]]="","",Master[[#This Row],[Georeference Datum]])</f>
        <v/>
      </c>
      <c r="Q184" s="5" t="str">
        <f>IF(Master[[#This Row],[Georeference Protocol - Lookup Picker]]="","",Master[[#This Row],[Georeference Protocol - Lookup Picker]])</f>
        <v/>
      </c>
      <c r="R184" s="5" t="str">
        <f>IF(Master[[#This Row],[Associated Species]]="","",Master[[#This Row],[Associated Species]])</f>
        <v/>
      </c>
      <c r="S184" t="str">
        <f t="shared" si="31"/>
        <v>Y</v>
      </c>
      <c r="T184" s="5" t="str">
        <f>IF(Master[[#This Row],[Note (Accession Source - Collector)]]="","",Master[[#This Row],[Note (Accession Source - Collector)]])</f>
        <v/>
      </c>
    </row>
    <row r="185" spans="2:20" x14ac:dyDescent="0.25">
      <c r="B185" t="str">
        <f>Master[[#This Row],[Accession Prefix (NPGS)]]&amp;" "&amp;Master[[#This Row],[Accession Number -Assigned]]</f>
        <v xml:space="preserve"> </v>
      </c>
      <c r="C185" t="str">
        <f t="shared" si="28"/>
        <v>Collection source event</v>
      </c>
      <c r="D185" t="str">
        <f t="shared" si="29"/>
        <v>mm/dd/yyyy</v>
      </c>
      <c r="E18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5" s="76" t="str">
        <f>IF(Master[[#This Row],[Geography (Collection) -Lookup Picker in GRIN]]="","",Master[[#This Row],[Geography (Collection) -Lookup Picker in GRIN]])</f>
        <v/>
      </c>
      <c r="G185" t="str">
        <f t="shared" si="30"/>
        <v>Y</v>
      </c>
      <c r="H185" s="45" t="str">
        <f>IF(Master[[#This Row],[Collecting or Acquisition Source - List]]="","",Master[[#This Row],[Collecting or Acquisition Source - List]])</f>
        <v/>
      </c>
      <c r="I185" t="str">
        <f>IF(Master[[#This Row],[Inventory Type - Lookup Picker]]="","",Master[[#This Row],[Inventory Type - Lookup Picker]])</f>
        <v/>
      </c>
      <c r="J185" s="4" t="str">
        <f>IF(Master[[#This Row],[Number Plants Sampled]]="","",Master[[#This Row],[Number Plants Sampled]])</f>
        <v/>
      </c>
      <c r="K185" s="4" t="str">
        <f>IF(Master[[#This Row],[Environment Description]]="","",Master[[#This Row],[Environment Description]])</f>
        <v/>
      </c>
      <c r="L185" s="4" t="str">
        <f>IF(Master[[#This Row],[Collector Verbatim Locality]]="","",Master[[#This Row],[Collector Verbatim Locality]])</f>
        <v/>
      </c>
      <c r="M185" s="4" t="str">
        <f>IF(Master[[#This Row],[Elevation (meters)]]=0,"",Master[[#This Row],[Elevation (meters)]])</f>
        <v/>
      </c>
      <c r="N185" s="55" t="str">
        <f>IF(Master[[#This Row],[Latitude -decimal degrees]]="","",Master[[#This Row],[Latitude -decimal degrees]])</f>
        <v/>
      </c>
      <c r="O185" s="55" t="str">
        <f>IF(Master[[#This Row],[Longitude -decimal degrees]]="","",Master[[#This Row],[Longitude -decimal degrees]])</f>
        <v/>
      </c>
      <c r="P185" s="5" t="str">
        <f>IF(Master[[#This Row],[Georeference Datum]]="","",Master[[#This Row],[Georeference Datum]])</f>
        <v/>
      </c>
      <c r="Q185" s="5" t="str">
        <f>IF(Master[[#This Row],[Georeference Protocol - Lookup Picker]]="","",Master[[#This Row],[Georeference Protocol - Lookup Picker]])</f>
        <v/>
      </c>
      <c r="R185" s="5" t="str">
        <f>IF(Master[[#This Row],[Associated Species]]="","",Master[[#This Row],[Associated Species]])</f>
        <v/>
      </c>
      <c r="S185" t="str">
        <f t="shared" si="31"/>
        <v>Y</v>
      </c>
      <c r="T185" s="5" t="str">
        <f>IF(Master[[#This Row],[Note (Accession Source - Collector)]]="","",Master[[#This Row],[Note (Accession Source - Collector)]])</f>
        <v/>
      </c>
    </row>
    <row r="186" spans="2:20" x14ac:dyDescent="0.25">
      <c r="B186" t="str">
        <f>Master[[#This Row],[Accession Prefix (NPGS)]]&amp;" "&amp;Master[[#This Row],[Accession Number -Assigned]]</f>
        <v xml:space="preserve"> </v>
      </c>
      <c r="C186" t="str">
        <f t="shared" si="28"/>
        <v>Collection source event</v>
      </c>
      <c r="D186" t="str">
        <f t="shared" si="29"/>
        <v>mm/dd/yyyy</v>
      </c>
      <c r="E18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6" s="76" t="str">
        <f>IF(Master[[#This Row],[Geography (Collection) -Lookup Picker in GRIN]]="","",Master[[#This Row],[Geography (Collection) -Lookup Picker in GRIN]])</f>
        <v/>
      </c>
      <c r="G186" t="str">
        <f t="shared" si="30"/>
        <v>Y</v>
      </c>
      <c r="H186" s="45" t="str">
        <f>IF(Master[[#This Row],[Collecting or Acquisition Source - List]]="","",Master[[#This Row],[Collecting or Acquisition Source - List]])</f>
        <v/>
      </c>
      <c r="I186" t="str">
        <f>IF(Master[[#This Row],[Inventory Type - Lookup Picker]]="","",Master[[#This Row],[Inventory Type - Lookup Picker]])</f>
        <v/>
      </c>
      <c r="J186" s="4" t="str">
        <f>IF(Master[[#This Row],[Number Plants Sampled]]="","",Master[[#This Row],[Number Plants Sampled]])</f>
        <v/>
      </c>
      <c r="K186" s="4" t="str">
        <f>IF(Master[[#This Row],[Environment Description]]="","",Master[[#This Row],[Environment Description]])</f>
        <v/>
      </c>
      <c r="L186" s="4" t="str">
        <f>IF(Master[[#This Row],[Collector Verbatim Locality]]="","",Master[[#This Row],[Collector Verbatim Locality]])</f>
        <v/>
      </c>
      <c r="M186" s="4" t="str">
        <f>IF(Master[[#This Row],[Elevation (meters)]]=0,"",Master[[#This Row],[Elevation (meters)]])</f>
        <v/>
      </c>
      <c r="N186" s="55" t="str">
        <f>IF(Master[[#This Row],[Latitude -decimal degrees]]="","",Master[[#This Row],[Latitude -decimal degrees]])</f>
        <v/>
      </c>
      <c r="O186" s="55" t="str">
        <f>IF(Master[[#This Row],[Longitude -decimal degrees]]="","",Master[[#This Row],[Longitude -decimal degrees]])</f>
        <v/>
      </c>
      <c r="P186" s="5" t="str">
        <f>IF(Master[[#This Row],[Georeference Datum]]="","",Master[[#This Row],[Georeference Datum]])</f>
        <v/>
      </c>
      <c r="Q186" s="5" t="str">
        <f>IF(Master[[#This Row],[Georeference Protocol - Lookup Picker]]="","",Master[[#This Row],[Georeference Protocol - Lookup Picker]])</f>
        <v/>
      </c>
      <c r="R186" s="5" t="str">
        <f>IF(Master[[#This Row],[Associated Species]]="","",Master[[#This Row],[Associated Species]])</f>
        <v/>
      </c>
      <c r="S186" t="str">
        <f t="shared" si="31"/>
        <v>Y</v>
      </c>
      <c r="T186" s="5" t="str">
        <f>IF(Master[[#This Row],[Note (Accession Source - Collector)]]="","",Master[[#This Row],[Note (Accession Source - Collector)]])</f>
        <v/>
      </c>
    </row>
    <row r="187" spans="2:20" x14ac:dyDescent="0.25">
      <c r="B187" t="str">
        <f>Master[[#This Row],[Accession Prefix (NPGS)]]&amp;" "&amp;Master[[#This Row],[Accession Number -Assigned]]</f>
        <v xml:space="preserve"> </v>
      </c>
      <c r="C187" t="str">
        <f t="shared" si="28"/>
        <v>Collection source event</v>
      </c>
      <c r="D187" t="str">
        <f t="shared" si="29"/>
        <v>mm/dd/yyyy</v>
      </c>
      <c r="E18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7" s="76" t="str">
        <f>IF(Master[[#This Row],[Geography (Collection) -Lookup Picker in GRIN]]="","",Master[[#This Row],[Geography (Collection) -Lookup Picker in GRIN]])</f>
        <v/>
      </c>
      <c r="G187" t="str">
        <f t="shared" si="30"/>
        <v>Y</v>
      </c>
      <c r="H187" s="45" t="str">
        <f>IF(Master[[#This Row],[Collecting or Acquisition Source - List]]="","",Master[[#This Row],[Collecting or Acquisition Source - List]])</f>
        <v/>
      </c>
      <c r="I187" t="str">
        <f>IF(Master[[#This Row],[Inventory Type - Lookup Picker]]="","",Master[[#This Row],[Inventory Type - Lookup Picker]])</f>
        <v/>
      </c>
      <c r="J187" s="4" t="str">
        <f>IF(Master[[#This Row],[Number Plants Sampled]]="","",Master[[#This Row],[Number Plants Sampled]])</f>
        <v/>
      </c>
      <c r="K187" s="4" t="str">
        <f>IF(Master[[#This Row],[Environment Description]]="","",Master[[#This Row],[Environment Description]])</f>
        <v/>
      </c>
      <c r="L187" s="4" t="str">
        <f>IF(Master[[#This Row],[Collector Verbatim Locality]]="","",Master[[#This Row],[Collector Verbatim Locality]])</f>
        <v/>
      </c>
      <c r="M187" s="4" t="str">
        <f>IF(Master[[#This Row],[Elevation (meters)]]=0,"",Master[[#This Row],[Elevation (meters)]])</f>
        <v/>
      </c>
      <c r="N187" s="55" t="str">
        <f>IF(Master[[#This Row],[Latitude -decimal degrees]]="","",Master[[#This Row],[Latitude -decimal degrees]])</f>
        <v/>
      </c>
      <c r="O187" s="55" t="str">
        <f>IF(Master[[#This Row],[Longitude -decimal degrees]]="","",Master[[#This Row],[Longitude -decimal degrees]])</f>
        <v/>
      </c>
      <c r="P187" s="5" t="str">
        <f>IF(Master[[#This Row],[Georeference Datum]]="","",Master[[#This Row],[Georeference Datum]])</f>
        <v/>
      </c>
      <c r="Q187" s="5" t="str">
        <f>IF(Master[[#This Row],[Georeference Protocol - Lookup Picker]]="","",Master[[#This Row],[Georeference Protocol - Lookup Picker]])</f>
        <v/>
      </c>
      <c r="R187" s="5" t="str">
        <f>IF(Master[[#This Row],[Associated Species]]="","",Master[[#This Row],[Associated Species]])</f>
        <v/>
      </c>
      <c r="S187" t="str">
        <f t="shared" si="31"/>
        <v>Y</v>
      </c>
      <c r="T187" s="5" t="str">
        <f>IF(Master[[#This Row],[Note (Accession Source - Collector)]]="","",Master[[#This Row],[Note (Accession Source - Collector)]])</f>
        <v/>
      </c>
    </row>
    <row r="188" spans="2:20" x14ac:dyDescent="0.25">
      <c r="B188" t="str">
        <f>Master[[#This Row],[Accession Prefix (NPGS)]]&amp;" "&amp;Master[[#This Row],[Accession Number -Assigned]]</f>
        <v xml:space="preserve"> </v>
      </c>
      <c r="C188" t="str">
        <f t="shared" si="28"/>
        <v>Collection source event</v>
      </c>
      <c r="D188" t="str">
        <f t="shared" si="29"/>
        <v>mm/dd/yyyy</v>
      </c>
      <c r="E18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8" s="76" t="str">
        <f>IF(Master[[#This Row],[Geography (Collection) -Lookup Picker in GRIN]]="","",Master[[#This Row],[Geography (Collection) -Lookup Picker in GRIN]])</f>
        <v/>
      </c>
      <c r="G188" t="str">
        <f t="shared" si="30"/>
        <v>Y</v>
      </c>
      <c r="H188" s="45" t="str">
        <f>IF(Master[[#This Row],[Collecting or Acquisition Source - List]]="","",Master[[#This Row],[Collecting or Acquisition Source - List]])</f>
        <v/>
      </c>
      <c r="I188" t="str">
        <f>IF(Master[[#This Row],[Inventory Type - Lookup Picker]]="","",Master[[#This Row],[Inventory Type - Lookup Picker]])</f>
        <v/>
      </c>
      <c r="J188" s="4" t="str">
        <f>IF(Master[[#This Row],[Number Plants Sampled]]="","",Master[[#This Row],[Number Plants Sampled]])</f>
        <v/>
      </c>
      <c r="K188" s="4" t="str">
        <f>IF(Master[[#This Row],[Environment Description]]="","",Master[[#This Row],[Environment Description]])</f>
        <v/>
      </c>
      <c r="L188" s="4" t="str">
        <f>IF(Master[[#This Row],[Collector Verbatim Locality]]="","",Master[[#This Row],[Collector Verbatim Locality]])</f>
        <v/>
      </c>
      <c r="M188" s="4" t="str">
        <f>IF(Master[[#This Row],[Elevation (meters)]]=0,"",Master[[#This Row],[Elevation (meters)]])</f>
        <v/>
      </c>
      <c r="N188" s="55" t="str">
        <f>IF(Master[[#This Row],[Latitude -decimal degrees]]="","",Master[[#This Row],[Latitude -decimal degrees]])</f>
        <v/>
      </c>
      <c r="O188" s="55" t="str">
        <f>IF(Master[[#This Row],[Longitude -decimal degrees]]="","",Master[[#This Row],[Longitude -decimal degrees]])</f>
        <v/>
      </c>
      <c r="P188" s="5" t="str">
        <f>IF(Master[[#This Row],[Georeference Datum]]="","",Master[[#This Row],[Georeference Datum]])</f>
        <v/>
      </c>
      <c r="Q188" s="5" t="str">
        <f>IF(Master[[#This Row],[Georeference Protocol - Lookup Picker]]="","",Master[[#This Row],[Georeference Protocol - Lookup Picker]])</f>
        <v/>
      </c>
      <c r="R188" s="5" t="str">
        <f>IF(Master[[#This Row],[Associated Species]]="","",Master[[#This Row],[Associated Species]])</f>
        <v/>
      </c>
      <c r="S188" t="str">
        <f t="shared" si="31"/>
        <v>Y</v>
      </c>
      <c r="T188" s="5" t="str">
        <f>IF(Master[[#This Row],[Note (Accession Source - Collector)]]="","",Master[[#This Row],[Note (Accession Source - Collector)]])</f>
        <v/>
      </c>
    </row>
    <row r="189" spans="2:20" x14ac:dyDescent="0.25">
      <c r="B189" t="str">
        <f>Master[[#This Row],[Accession Prefix (NPGS)]]&amp;" "&amp;Master[[#This Row],[Accession Number -Assigned]]</f>
        <v xml:space="preserve"> </v>
      </c>
      <c r="C189" t="str">
        <f t="shared" si="28"/>
        <v>Collection source event</v>
      </c>
      <c r="D189" t="str">
        <f t="shared" si="29"/>
        <v>mm/dd/yyyy</v>
      </c>
      <c r="E18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9" s="76" t="str">
        <f>IF(Master[[#This Row],[Geography (Collection) -Lookup Picker in GRIN]]="","",Master[[#This Row],[Geography (Collection) -Lookup Picker in GRIN]])</f>
        <v/>
      </c>
      <c r="G189" t="str">
        <f t="shared" si="30"/>
        <v>Y</v>
      </c>
      <c r="H189" s="45" t="str">
        <f>IF(Master[[#This Row],[Collecting or Acquisition Source - List]]="","",Master[[#This Row],[Collecting or Acquisition Source - List]])</f>
        <v/>
      </c>
      <c r="I189" t="str">
        <f>IF(Master[[#This Row],[Inventory Type - Lookup Picker]]="","",Master[[#This Row],[Inventory Type - Lookup Picker]])</f>
        <v/>
      </c>
      <c r="J189" s="4" t="str">
        <f>IF(Master[[#This Row],[Number Plants Sampled]]="","",Master[[#This Row],[Number Plants Sampled]])</f>
        <v/>
      </c>
      <c r="K189" s="4" t="str">
        <f>IF(Master[[#This Row],[Environment Description]]="","",Master[[#This Row],[Environment Description]])</f>
        <v/>
      </c>
      <c r="L189" s="4" t="str">
        <f>IF(Master[[#This Row],[Collector Verbatim Locality]]="","",Master[[#This Row],[Collector Verbatim Locality]])</f>
        <v/>
      </c>
      <c r="M189" s="4" t="str">
        <f>IF(Master[[#This Row],[Elevation (meters)]]=0,"",Master[[#This Row],[Elevation (meters)]])</f>
        <v/>
      </c>
      <c r="N189" s="55" t="str">
        <f>IF(Master[[#This Row],[Latitude -decimal degrees]]="","",Master[[#This Row],[Latitude -decimal degrees]])</f>
        <v/>
      </c>
      <c r="O189" s="55" t="str">
        <f>IF(Master[[#This Row],[Longitude -decimal degrees]]="","",Master[[#This Row],[Longitude -decimal degrees]])</f>
        <v/>
      </c>
      <c r="P189" s="5" t="str">
        <f>IF(Master[[#This Row],[Georeference Datum]]="","",Master[[#This Row],[Georeference Datum]])</f>
        <v/>
      </c>
      <c r="Q189" s="5" t="str">
        <f>IF(Master[[#This Row],[Georeference Protocol - Lookup Picker]]="","",Master[[#This Row],[Georeference Protocol - Lookup Picker]])</f>
        <v/>
      </c>
      <c r="R189" s="5" t="str">
        <f>IF(Master[[#This Row],[Associated Species]]="","",Master[[#This Row],[Associated Species]])</f>
        <v/>
      </c>
      <c r="S189" t="str">
        <f t="shared" si="31"/>
        <v>Y</v>
      </c>
      <c r="T189" s="5" t="str">
        <f>IF(Master[[#This Row],[Note (Accession Source - Collector)]]="","",Master[[#This Row],[Note (Accession Source - Collector)]])</f>
        <v/>
      </c>
    </row>
    <row r="190" spans="2:20" x14ac:dyDescent="0.25">
      <c r="B190" t="str">
        <f>Master[[#This Row],[Accession Prefix (NPGS)]]&amp;" "&amp;Master[[#This Row],[Accession Number -Assigned]]</f>
        <v xml:space="preserve"> </v>
      </c>
      <c r="C190" t="str">
        <f t="shared" si="28"/>
        <v>Collection source event</v>
      </c>
      <c r="D190" t="str">
        <f t="shared" si="29"/>
        <v>mm/dd/yyyy</v>
      </c>
      <c r="E19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0" s="76" t="str">
        <f>IF(Master[[#This Row],[Geography (Collection) -Lookup Picker in GRIN]]="","",Master[[#This Row],[Geography (Collection) -Lookup Picker in GRIN]])</f>
        <v/>
      </c>
      <c r="G190" t="str">
        <f t="shared" si="30"/>
        <v>Y</v>
      </c>
      <c r="H190" s="45" t="str">
        <f>IF(Master[[#This Row],[Collecting or Acquisition Source - List]]="","",Master[[#This Row],[Collecting or Acquisition Source - List]])</f>
        <v/>
      </c>
      <c r="I190" t="str">
        <f>IF(Master[[#This Row],[Inventory Type - Lookup Picker]]="","",Master[[#This Row],[Inventory Type - Lookup Picker]])</f>
        <v/>
      </c>
      <c r="J190" s="4" t="str">
        <f>IF(Master[[#This Row],[Number Plants Sampled]]="","",Master[[#This Row],[Number Plants Sampled]])</f>
        <v/>
      </c>
      <c r="K190" s="4" t="str">
        <f>IF(Master[[#This Row],[Environment Description]]="","",Master[[#This Row],[Environment Description]])</f>
        <v/>
      </c>
      <c r="L190" s="4" t="str">
        <f>IF(Master[[#This Row],[Collector Verbatim Locality]]="","",Master[[#This Row],[Collector Verbatim Locality]])</f>
        <v/>
      </c>
      <c r="M190" s="4" t="str">
        <f>IF(Master[[#This Row],[Elevation (meters)]]=0,"",Master[[#This Row],[Elevation (meters)]])</f>
        <v/>
      </c>
      <c r="N190" s="55" t="str">
        <f>IF(Master[[#This Row],[Latitude -decimal degrees]]="","",Master[[#This Row],[Latitude -decimal degrees]])</f>
        <v/>
      </c>
      <c r="O190" s="55" t="str">
        <f>IF(Master[[#This Row],[Longitude -decimal degrees]]="","",Master[[#This Row],[Longitude -decimal degrees]])</f>
        <v/>
      </c>
      <c r="P190" s="5" t="str">
        <f>IF(Master[[#This Row],[Georeference Datum]]="","",Master[[#This Row],[Georeference Datum]])</f>
        <v/>
      </c>
      <c r="Q190" s="5" t="str">
        <f>IF(Master[[#This Row],[Georeference Protocol - Lookup Picker]]="","",Master[[#This Row],[Georeference Protocol - Lookup Picker]])</f>
        <v/>
      </c>
      <c r="R190" s="5" t="str">
        <f>IF(Master[[#This Row],[Associated Species]]="","",Master[[#This Row],[Associated Species]])</f>
        <v/>
      </c>
      <c r="S190" t="str">
        <f t="shared" si="31"/>
        <v>Y</v>
      </c>
      <c r="T190" s="5" t="str">
        <f>IF(Master[[#This Row],[Note (Accession Source - Collector)]]="","",Master[[#This Row],[Note (Accession Source - Collector)]])</f>
        <v/>
      </c>
    </row>
    <row r="191" spans="2:20" x14ac:dyDescent="0.25">
      <c r="B191" t="str">
        <f>Master[[#This Row],[Accession Prefix (NPGS)]]&amp;" "&amp;Master[[#This Row],[Accession Number -Assigned]]</f>
        <v xml:space="preserve"> </v>
      </c>
      <c r="C191" t="str">
        <f t="shared" si="28"/>
        <v>Collection source event</v>
      </c>
      <c r="D191" t="str">
        <f t="shared" si="29"/>
        <v>mm/dd/yyyy</v>
      </c>
      <c r="E19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1" s="76" t="str">
        <f>IF(Master[[#This Row],[Geography (Collection) -Lookup Picker in GRIN]]="","",Master[[#This Row],[Geography (Collection) -Lookup Picker in GRIN]])</f>
        <v/>
      </c>
      <c r="G191" t="str">
        <f t="shared" si="30"/>
        <v>Y</v>
      </c>
      <c r="H191" s="45" t="str">
        <f>IF(Master[[#This Row],[Collecting or Acquisition Source - List]]="","",Master[[#This Row],[Collecting or Acquisition Source - List]])</f>
        <v/>
      </c>
      <c r="I191" t="str">
        <f>IF(Master[[#This Row],[Inventory Type - Lookup Picker]]="","",Master[[#This Row],[Inventory Type - Lookup Picker]])</f>
        <v/>
      </c>
      <c r="J191" s="4" t="str">
        <f>IF(Master[[#This Row],[Number Plants Sampled]]="","",Master[[#This Row],[Number Plants Sampled]])</f>
        <v/>
      </c>
      <c r="K191" s="4" t="str">
        <f>IF(Master[[#This Row],[Environment Description]]="","",Master[[#This Row],[Environment Description]])</f>
        <v/>
      </c>
      <c r="L191" s="4" t="str">
        <f>IF(Master[[#This Row],[Collector Verbatim Locality]]="","",Master[[#This Row],[Collector Verbatim Locality]])</f>
        <v/>
      </c>
      <c r="M191" s="4" t="str">
        <f>IF(Master[[#This Row],[Elevation (meters)]]=0,"",Master[[#This Row],[Elevation (meters)]])</f>
        <v/>
      </c>
      <c r="N191" s="55" t="str">
        <f>IF(Master[[#This Row],[Latitude -decimal degrees]]="","",Master[[#This Row],[Latitude -decimal degrees]])</f>
        <v/>
      </c>
      <c r="O191" s="55" t="str">
        <f>IF(Master[[#This Row],[Longitude -decimal degrees]]="","",Master[[#This Row],[Longitude -decimal degrees]])</f>
        <v/>
      </c>
      <c r="P191" s="5" t="str">
        <f>IF(Master[[#This Row],[Georeference Datum]]="","",Master[[#This Row],[Georeference Datum]])</f>
        <v/>
      </c>
      <c r="Q191" s="5" t="str">
        <f>IF(Master[[#This Row],[Georeference Protocol - Lookup Picker]]="","",Master[[#This Row],[Georeference Protocol - Lookup Picker]])</f>
        <v/>
      </c>
      <c r="R191" s="5" t="str">
        <f>IF(Master[[#This Row],[Associated Species]]="","",Master[[#This Row],[Associated Species]])</f>
        <v/>
      </c>
      <c r="S191" t="str">
        <f t="shared" si="31"/>
        <v>Y</v>
      </c>
      <c r="T191" s="5" t="str">
        <f>IF(Master[[#This Row],[Note (Accession Source - Collector)]]="","",Master[[#This Row],[Note (Accession Source - Collector)]])</f>
        <v/>
      </c>
    </row>
    <row r="192" spans="2:20" x14ac:dyDescent="0.25">
      <c r="B192" t="str">
        <f>Master[[#This Row],[Accession Prefix (NPGS)]]&amp;" "&amp;Master[[#This Row],[Accession Number -Assigned]]</f>
        <v xml:space="preserve"> </v>
      </c>
      <c r="C192" t="str">
        <f t="shared" si="28"/>
        <v>Collection source event</v>
      </c>
      <c r="D192" t="str">
        <f t="shared" si="29"/>
        <v>mm/dd/yyyy</v>
      </c>
      <c r="E19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2" s="76" t="str">
        <f>IF(Master[[#This Row],[Geography (Collection) -Lookup Picker in GRIN]]="","",Master[[#This Row],[Geography (Collection) -Lookup Picker in GRIN]])</f>
        <v/>
      </c>
      <c r="G192" t="str">
        <f t="shared" si="30"/>
        <v>Y</v>
      </c>
      <c r="H192" s="45" t="str">
        <f>IF(Master[[#This Row],[Collecting or Acquisition Source - List]]="","",Master[[#This Row],[Collecting or Acquisition Source - List]])</f>
        <v/>
      </c>
      <c r="I192" t="str">
        <f>IF(Master[[#This Row],[Inventory Type - Lookup Picker]]="","",Master[[#This Row],[Inventory Type - Lookup Picker]])</f>
        <v/>
      </c>
      <c r="J192" s="4" t="str">
        <f>IF(Master[[#This Row],[Number Plants Sampled]]="","",Master[[#This Row],[Number Plants Sampled]])</f>
        <v/>
      </c>
      <c r="K192" s="4" t="str">
        <f>IF(Master[[#This Row],[Environment Description]]="","",Master[[#This Row],[Environment Description]])</f>
        <v/>
      </c>
      <c r="L192" s="4" t="str">
        <f>IF(Master[[#This Row],[Collector Verbatim Locality]]="","",Master[[#This Row],[Collector Verbatim Locality]])</f>
        <v/>
      </c>
      <c r="M192" s="4" t="str">
        <f>IF(Master[[#This Row],[Elevation (meters)]]=0,"",Master[[#This Row],[Elevation (meters)]])</f>
        <v/>
      </c>
      <c r="N192" s="55" t="str">
        <f>IF(Master[[#This Row],[Latitude -decimal degrees]]="","",Master[[#This Row],[Latitude -decimal degrees]])</f>
        <v/>
      </c>
      <c r="O192" s="55" t="str">
        <f>IF(Master[[#This Row],[Longitude -decimal degrees]]="","",Master[[#This Row],[Longitude -decimal degrees]])</f>
        <v/>
      </c>
      <c r="P192" s="5" t="str">
        <f>IF(Master[[#This Row],[Georeference Datum]]="","",Master[[#This Row],[Georeference Datum]])</f>
        <v/>
      </c>
      <c r="Q192" s="5" t="str">
        <f>IF(Master[[#This Row],[Georeference Protocol - Lookup Picker]]="","",Master[[#This Row],[Georeference Protocol - Lookup Picker]])</f>
        <v/>
      </c>
      <c r="R192" s="5" t="str">
        <f>IF(Master[[#This Row],[Associated Species]]="","",Master[[#This Row],[Associated Species]])</f>
        <v/>
      </c>
      <c r="S192" t="str">
        <f t="shared" si="31"/>
        <v>Y</v>
      </c>
      <c r="T192" s="5" t="str">
        <f>IF(Master[[#This Row],[Note (Accession Source - Collector)]]="","",Master[[#This Row],[Note (Accession Source - Collector)]])</f>
        <v/>
      </c>
    </row>
    <row r="193" spans="2:20" x14ac:dyDescent="0.25">
      <c r="B193" t="str">
        <f>Master[[#This Row],[Accession Prefix (NPGS)]]&amp;" "&amp;Master[[#This Row],[Accession Number -Assigned]]</f>
        <v xml:space="preserve"> </v>
      </c>
      <c r="C193" t="str">
        <f t="shared" si="28"/>
        <v>Collection source event</v>
      </c>
      <c r="D193" t="str">
        <f t="shared" si="29"/>
        <v>mm/dd/yyyy</v>
      </c>
      <c r="E19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3" s="76" t="str">
        <f>IF(Master[[#This Row],[Geography (Collection) -Lookup Picker in GRIN]]="","",Master[[#This Row],[Geography (Collection) -Lookup Picker in GRIN]])</f>
        <v/>
      </c>
      <c r="G193" t="str">
        <f t="shared" si="30"/>
        <v>Y</v>
      </c>
      <c r="H193" s="45" t="str">
        <f>IF(Master[[#This Row],[Collecting or Acquisition Source - List]]="","",Master[[#This Row],[Collecting or Acquisition Source - List]])</f>
        <v/>
      </c>
      <c r="I193" t="str">
        <f>IF(Master[[#This Row],[Inventory Type - Lookup Picker]]="","",Master[[#This Row],[Inventory Type - Lookup Picker]])</f>
        <v/>
      </c>
      <c r="J193" s="4" t="str">
        <f>IF(Master[[#This Row],[Number Plants Sampled]]="","",Master[[#This Row],[Number Plants Sampled]])</f>
        <v/>
      </c>
      <c r="K193" s="4" t="str">
        <f>IF(Master[[#This Row],[Environment Description]]="","",Master[[#This Row],[Environment Description]])</f>
        <v/>
      </c>
      <c r="L193" s="4" t="str">
        <f>IF(Master[[#This Row],[Collector Verbatim Locality]]="","",Master[[#This Row],[Collector Verbatim Locality]])</f>
        <v/>
      </c>
      <c r="M193" s="4" t="str">
        <f>IF(Master[[#This Row],[Elevation (meters)]]=0,"",Master[[#This Row],[Elevation (meters)]])</f>
        <v/>
      </c>
      <c r="N193" s="55" t="str">
        <f>IF(Master[[#This Row],[Latitude -decimal degrees]]="","",Master[[#This Row],[Latitude -decimal degrees]])</f>
        <v/>
      </c>
      <c r="O193" s="55" t="str">
        <f>IF(Master[[#This Row],[Longitude -decimal degrees]]="","",Master[[#This Row],[Longitude -decimal degrees]])</f>
        <v/>
      </c>
      <c r="P193" s="5" t="str">
        <f>IF(Master[[#This Row],[Georeference Datum]]="","",Master[[#This Row],[Georeference Datum]])</f>
        <v/>
      </c>
      <c r="Q193" s="5" t="str">
        <f>IF(Master[[#This Row],[Georeference Protocol - Lookup Picker]]="","",Master[[#This Row],[Georeference Protocol - Lookup Picker]])</f>
        <v/>
      </c>
      <c r="R193" s="5" t="str">
        <f>IF(Master[[#This Row],[Associated Species]]="","",Master[[#This Row],[Associated Species]])</f>
        <v/>
      </c>
      <c r="S193" t="str">
        <f t="shared" si="31"/>
        <v>Y</v>
      </c>
      <c r="T193" s="5" t="str">
        <f>IF(Master[[#This Row],[Note (Accession Source - Collector)]]="","",Master[[#This Row],[Note (Accession Source - Collector)]])</f>
        <v/>
      </c>
    </row>
    <row r="194" spans="2:20" x14ac:dyDescent="0.25">
      <c r="B194" t="str">
        <f>Master[[#This Row],[Accession Prefix (NPGS)]]&amp;" "&amp;Master[[#This Row],[Accession Number -Assigned]]</f>
        <v xml:space="preserve"> </v>
      </c>
      <c r="C194" t="str">
        <f t="shared" si="28"/>
        <v>Collection source event</v>
      </c>
      <c r="D194" t="str">
        <f t="shared" si="29"/>
        <v>mm/dd/yyyy</v>
      </c>
      <c r="E19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4" s="76" t="str">
        <f>IF(Master[[#This Row],[Geography (Collection) -Lookup Picker in GRIN]]="","",Master[[#This Row],[Geography (Collection) -Lookup Picker in GRIN]])</f>
        <v/>
      </c>
      <c r="G194" t="str">
        <f t="shared" si="30"/>
        <v>Y</v>
      </c>
      <c r="H194" s="45" t="str">
        <f>IF(Master[[#This Row],[Collecting or Acquisition Source - List]]="","",Master[[#This Row],[Collecting or Acquisition Source - List]])</f>
        <v/>
      </c>
      <c r="I194" t="str">
        <f>IF(Master[[#This Row],[Inventory Type - Lookup Picker]]="","",Master[[#This Row],[Inventory Type - Lookup Picker]])</f>
        <v/>
      </c>
      <c r="J194" s="4" t="str">
        <f>IF(Master[[#This Row],[Number Plants Sampled]]="","",Master[[#This Row],[Number Plants Sampled]])</f>
        <v/>
      </c>
      <c r="K194" s="4" t="str">
        <f>IF(Master[[#This Row],[Environment Description]]="","",Master[[#This Row],[Environment Description]])</f>
        <v/>
      </c>
      <c r="L194" s="4" t="str">
        <f>IF(Master[[#This Row],[Collector Verbatim Locality]]="","",Master[[#This Row],[Collector Verbatim Locality]])</f>
        <v/>
      </c>
      <c r="M194" s="4" t="str">
        <f>IF(Master[[#This Row],[Elevation (meters)]]=0,"",Master[[#This Row],[Elevation (meters)]])</f>
        <v/>
      </c>
      <c r="N194" s="55" t="str">
        <f>IF(Master[[#This Row],[Latitude -decimal degrees]]="","",Master[[#This Row],[Latitude -decimal degrees]])</f>
        <v/>
      </c>
      <c r="O194" s="55" t="str">
        <f>IF(Master[[#This Row],[Longitude -decimal degrees]]="","",Master[[#This Row],[Longitude -decimal degrees]])</f>
        <v/>
      </c>
      <c r="P194" s="5" t="str">
        <f>IF(Master[[#This Row],[Georeference Datum]]="","",Master[[#This Row],[Georeference Datum]])</f>
        <v/>
      </c>
      <c r="Q194" s="5" t="str">
        <f>IF(Master[[#This Row],[Georeference Protocol - Lookup Picker]]="","",Master[[#This Row],[Georeference Protocol - Lookup Picker]])</f>
        <v/>
      </c>
      <c r="R194" s="5" t="str">
        <f>IF(Master[[#This Row],[Associated Species]]="","",Master[[#This Row],[Associated Species]])</f>
        <v/>
      </c>
      <c r="S194" t="str">
        <f t="shared" si="31"/>
        <v>Y</v>
      </c>
      <c r="T194" s="5" t="str">
        <f>IF(Master[[#This Row],[Note (Accession Source - Collector)]]="","",Master[[#This Row],[Note (Accession Source - Collector)]])</f>
        <v/>
      </c>
    </row>
    <row r="195" spans="2:20" x14ac:dyDescent="0.25">
      <c r="B195" t="str">
        <f>Master[[#This Row],[Accession Prefix (NPGS)]]&amp;" "&amp;Master[[#This Row],[Accession Number -Assigned]]</f>
        <v xml:space="preserve"> </v>
      </c>
      <c r="C195" t="str">
        <f t="shared" si="28"/>
        <v>Collection source event</v>
      </c>
      <c r="D195" t="str">
        <f t="shared" si="29"/>
        <v>mm/dd/yyyy</v>
      </c>
      <c r="E19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5" s="76" t="str">
        <f>IF(Master[[#This Row],[Geography (Collection) -Lookup Picker in GRIN]]="","",Master[[#This Row],[Geography (Collection) -Lookup Picker in GRIN]])</f>
        <v/>
      </c>
      <c r="G195" t="str">
        <f t="shared" si="30"/>
        <v>Y</v>
      </c>
      <c r="H195" s="45" t="str">
        <f>IF(Master[[#This Row],[Collecting or Acquisition Source - List]]="","",Master[[#This Row],[Collecting or Acquisition Source - List]])</f>
        <v/>
      </c>
      <c r="I195" t="str">
        <f>IF(Master[[#This Row],[Inventory Type - Lookup Picker]]="","",Master[[#This Row],[Inventory Type - Lookup Picker]])</f>
        <v/>
      </c>
      <c r="J195" s="4" t="str">
        <f>IF(Master[[#This Row],[Number Plants Sampled]]="","",Master[[#This Row],[Number Plants Sampled]])</f>
        <v/>
      </c>
      <c r="K195" s="4" t="str">
        <f>IF(Master[[#This Row],[Environment Description]]="","",Master[[#This Row],[Environment Description]])</f>
        <v/>
      </c>
      <c r="L195" s="4" t="str">
        <f>IF(Master[[#This Row],[Collector Verbatim Locality]]="","",Master[[#This Row],[Collector Verbatim Locality]])</f>
        <v/>
      </c>
      <c r="M195" s="4" t="str">
        <f>IF(Master[[#This Row],[Elevation (meters)]]=0,"",Master[[#This Row],[Elevation (meters)]])</f>
        <v/>
      </c>
      <c r="N195" s="55" t="str">
        <f>IF(Master[[#This Row],[Latitude -decimal degrees]]="","",Master[[#This Row],[Latitude -decimal degrees]])</f>
        <v/>
      </c>
      <c r="O195" s="55" t="str">
        <f>IF(Master[[#This Row],[Longitude -decimal degrees]]="","",Master[[#This Row],[Longitude -decimal degrees]])</f>
        <v/>
      </c>
      <c r="P195" s="5" t="str">
        <f>IF(Master[[#This Row],[Georeference Datum]]="","",Master[[#This Row],[Georeference Datum]])</f>
        <v/>
      </c>
      <c r="Q195" s="5" t="str">
        <f>IF(Master[[#This Row],[Georeference Protocol - Lookup Picker]]="","",Master[[#This Row],[Georeference Protocol - Lookup Picker]])</f>
        <v/>
      </c>
      <c r="R195" s="5" t="str">
        <f>IF(Master[[#This Row],[Associated Species]]="","",Master[[#This Row],[Associated Species]])</f>
        <v/>
      </c>
      <c r="S195" t="str">
        <f t="shared" si="31"/>
        <v>Y</v>
      </c>
      <c r="T195" s="5" t="str">
        <f>IF(Master[[#This Row],[Note (Accession Source - Collector)]]="","",Master[[#This Row],[Note (Accession Source - Collector)]])</f>
        <v/>
      </c>
    </row>
    <row r="196" spans="2:20" x14ac:dyDescent="0.25">
      <c r="B196" t="str">
        <f>Master[[#This Row],[Accession Prefix (NPGS)]]&amp;" "&amp;Master[[#This Row],[Accession Number -Assigned]]</f>
        <v xml:space="preserve"> </v>
      </c>
      <c r="C196" t="str">
        <f t="shared" si="28"/>
        <v>Collection source event</v>
      </c>
      <c r="D196" t="str">
        <f t="shared" si="29"/>
        <v>mm/dd/yyyy</v>
      </c>
      <c r="E19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6" s="76" t="str">
        <f>IF(Master[[#This Row],[Geography (Collection) -Lookup Picker in GRIN]]="","",Master[[#This Row],[Geography (Collection) -Lookup Picker in GRIN]])</f>
        <v/>
      </c>
      <c r="G196" t="str">
        <f t="shared" si="30"/>
        <v>Y</v>
      </c>
      <c r="H196" s="45" t="str">
        <f>IF(Master[[#This Row],[Collecting or Acquisition Source - List]]="","",Master[[#This Row],[Collecting or Acquisition Source - List]])</f>
        <v/>
      </c>
      <c r="I196" t="str">
        <f>IF(Master[[#This Row],[Inventory Type - Lookup Picker]]="","",Master[[#This Row],[Inventory Type - Lookup Picker]])</f>
        <v/>
      </c>
      <c r="J196" s="4" t="str">
        <f>IF(Master[[#This Row],[Number Plants Sampled]]="","",Master[[#This Row],[Number Plants Sampled]])</f>
        <v/>
      </c>
      <c r="K196" s="4" t="str">
        <f>IF(Master[[#This Row],[Environment Description]]="","",Master[[#This Row],[Environment Description]])</f>
        <v/>
      </c>
      <c r="L196" s="4" t="str">
        <f>IF(Master[[#This Row],[Collector Verbatim Locality]]="","",Master[[#This Row],[Collector Verbatim Locality]])</f>
        <v/>
      </c>
      <c r="M196" s="4" t="str">
        <f>IF(Master[[#This Row],[Elevation (meters)]]=0,"",Master[[#This Row],[Elevation (meters)]])</f>
        <v/>
      </c>
      <c r="N196" s="55" t="str">
        <f>IF(Master[[#This Row],[Latitude -decimal degrees]]="","",Master[[#This Row],[Latitude -decimal degrees]])</f>
        <v/>
      </c>
      <c r="O196" s="55" t="str">
        <f>IF(Master[[#This Row],[Longitude -decimal degrees]]="","",Master[[#This Row],[Longitude -decimal degrees]])</f>
        <v/>
      </c>
      <c r="P196" s="5" t="str">
        <f>IF(Master[[#This Row],[Georeference Datum]]="","",Master[[#This Row],[Georeference Datum]])</f>
        <v/>
      </c>
      <c r="Q196" s="5" t="str">
        <f>IF(Master[[#This Row],[Georeference Protocol - Lookup Picker]]="","",Master[[#This Row],[Georeference Protocol - Lookup Picker]])</f>
        <v/>
      </c>
      <c r="R196" s="5" t="str">
        <f>IF(Master[[#This Row],[Associated Species]]="","",Master[[#This Row],[Associated Species]])</f>
        <v/>
      </c>
      <c r="S196" t="str">
        <f t="shared" si="31"/>
        <v>Y</v>
      </c>
      <c r="T196" s="5" t="str">
        <f>IF(Master[[#This Row],[Note (Accession Source - Collector)]]="","",Master[[#This Row],[Note (Accession Source - Collector)]])</f>
        <v/>
      </c>
    </row>
    <row r="197" spans="2:20" x14ac:dyDescent="0.25">
      <c r="B197" t="str">
        <f>Master[[#This Row],[Accession Prefix (NPGS)]]&amp;" "&amp;Master[[#This Row],[Accession Number -Assigned]]</f>
        <v xml:space="preserve"> </v>
      </c>
      <c r="C197" t="str">
        <f t="shared" si="28"/>
        <v>Collection source event</v>
      </c>
      <c r="D197" t="str">
        <f t="shared" si="29"/>
        <v>mm/dd/yyyy</v>
      </c>
      <c r="E19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7" s="76" t="str">
        <f>IF(Master[[#This Row],[Geography (Collection) -Lookup Picker in GRIN]]="","",Master[[#This Row],[Geography (Collection) -Lookup Picker in GRIN]])</f>
        <v/>
      </c>
      <c r="G197" t="str">
        <f t="shared" si="30"/>
        <v>Y</v>
      </c>
      <c r="H197" s="45" t="str">
        <f>IF(Master[[#This Row],[Collecting or Acquisition Source - List]]="","",Master[[#This Row],[Collecting or Acquisition Source - List]])</f>
        <v/>
      </c>
      <c r="I197" t="str">
        <f>IF(Master[[#This Row],[Inventory Type - Lookup Picker]]="","",Master[[#This Row],[Inventory Type - Lookup Picker]])</f>
        <v/>
      </c>
      <c r="J197" s="4" t="str">
        <f>IF(Master[[#This Row],[Number Plants Sampled]]="","",Master[[#This Row],[Number Plants Sampled]])</f>
        <v/>
      </c>
      <c r="K197" s="4" t="str">
        <f>IF(Master[[#This Row],[Environment Description]]="","",Master[[#This Row],[Environment Description]])</f>
        <v/>
      </c>
      <c r="L197" s="4" t="str">
        <f>IF(Master[[#This Row],[Collector Verbatim Locality]]="","",Master[[#This Row],[Collector Verbatim Locality]])</f>
        <v/>
      </c>
      <c r="M197" s="4" t="str">
        <f>IF(Master[[#This Row],[Elevation (meters)]]=0,"",Master[[#This Row],[Elevation (meters)]])</f>
        <v/>
      </c>
      <c r="N197" s="55" t="str">
        <f>IF(Master[[#This Row],[Latitude -decimal degrees]]="","",Master[[#This Row],[Latitude -decimal degrees]])</f>
        <v/>
      </c>
      <c r="O197" s="55" t="str">
        <f>IF(Master[[#This Row],[Longitude -decimal degrees]]="","",Master[[#This Row],[Longitude -decimal degrees]])</f>
        <v/>
      </c>
      <c r="P197" s="5" t="str">
        <f>IF(Master[[#This Row],[Georeference Datum]]="","",Master[[#This Row],[Georeference Datum]])</f>
        <v/>
      </c>
      <c r="Q197" s="5" t="str">
        <f>IF(Master[[#This Row],[Georeference Protocol - Lookup Picker]]="","",Master[[#This Row],[Georeference Protocol - Lookup Picker]])</f>
        <v/>
      </c>
      <c r="R197" s="5" t="str">
        <f>IF(Master[[#This Row],[Associated Species]]="","",Master[[#This Row],[Associated Species]])</f>
        <v/>
      </c>
      <c r="S197" t="str">
        <f t="shared" si="31"/>
        <v>Y</v>
      </c>
      <c r="T197" s="5" t="str">
        <f>IF(Master[[#This Row],[Note (Accession Source - Collector)]]="","",Master[[#This Row],[Note (Accession Source - Collector)]])</f>
        <v/>
      </c>
    </row>
    <row r="198" spans="2:20" x14ac:dyDescent="0.25">
      <c r="B198" t="str">
        <f>Master[[#This Row],[Accession Prefix (NPGS)]]&amp;" "&amp;Master[[#This Row],[Accession Number -Assigned]]</f>
        <v xml:space="preserve"> </v>
      </c>
      <c r="C198" t="str">
        <f t="shared" si="28"/>
        <v>Collection source event</v>
      </c>
      <c r="D198" t="str">
        <f t="shared" si="29"/>
        <v>mm/dd/yyyy</v>
      </c>
      <c r="E19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8" s="76" t="str">
        <f>IF(Master[[#This Row],[Geography (Collection) -Lookup Picker in GRIN]]="","",Master[[#This Row],[Geography (Collection) -Lookup Picker in GRIN]])</f>
        <v/>
      </c>
      <c r="G198" t="str">
        <f t="shared" si="30"/>
        <v>Y</v>
      </c>
      <c r="H198" s="45" t="str">
        <f>IF(Master[[#This Row],[Collecting or Acquisition Source - List]]="","",Master[[#This Row],[Collecting or Acquisition Source - List]])</f>
        <v/>
      </c>
      <c r="I198" t="str">
        <f>IF(Master[[#This Row],[Inventory Type - Lookup Picker]]="","",Master[[#This Row],[Inventory Type - Lookup Picker]])</f>
        <v/>
      </c>
      <c r="J198" s="4" t="str">
        <f>IF(Master[[#This Row],[Number Plants Sampled]]="","",Master[[#This Row],[Number Plants Sampled]])</f>
        <v/>
      </c>
      <c r="K198" s="4" t="str">
        <f>IF(Master[[#This Row],[Environment Description]]="","",Master[[#This Row],[Environment Description]])</f>
        <v/>
      </c>
      <c r="L198" s="4" t="str">
        <f>IF(Master[[#This Row],[Collector Verbatim Locality]]="","",Master[[#This Row],[Collector Verbatim Locality]])</f>
        <v/>
      </c>
      <c r="M198" s="4" t="str">
        <f>IF(Master[[#This Row],[Elevation (meters)]]=0,"",Master[[#This Row],[Elevation (meters)]])</f>
        <v/>
      </c>
      <c r="N198" s="55" t="str">
        <f>IF(Master[[#This Row],[Latitude -decimal degrees]]="","",Master[[#This Row],[Latitude -decimal degrees]])</f>
        <v/>
      </c>
      <c r="O198" s="55" t="str">
        <f>IF(Master[[#This Row],[Longitude -decimal degrees]]="","",Master[[#This Row],[Longitude -decimal degrees]])</f>
        <v/>
      </c>
      <c r="P198" s="5" t="str">
        <f>IF(Master[[#This Row],[Georeference Datum]]="","",Master[[#This Row],[Georeference Datum]])</f>
        <v/>
      </c>
      <c r="Q198" s="5" t="str">
        <f>IF(Master[[#This Row],[Georeference Protocol - Lookup Picker]]="","",Master[[#This Row],[Georeference Protocol - Lookup Picker]])</f>
        <v/>
      </c>
      <c r="R198" s="5" t="str">
        <f>IF(Master[[#This Row],[Associated Species]]="","",Master[[#This Row],[Associated Species]])</f>
        <v/>
      </c>
      <c r="S198" t="str">
        <f t="shared" si="31"/>
        <v>Y</v>
      </c>
      <c r="T198" s="5" t="str">
        <f>IF(Master[[#This Row],[Note (Accession Source - Collector)]]="","",Master[[#This Row],[Note (Accession Source - Collector)]])</f>
        <v/>
      </c>
    </row>
    <row r="199" spans="2:20" x14ac:dyDescent="0.25">
      <c r="B199" t="str">
        <f>Master[[#This Row],[Accession Prefix (NPGS)]]&amp;" "&amp;Master[[#This Row],[Accession Number -Assigned]]</f>
        <v xml:space="preserve"> </v>
      </c>
      <c r="C199" t="str">
        <f t="shared" si="28"/>
        <v>Collection source event</v>
      </c>
      <c r="D199" t="str">
        <f t="shared" si="29"/>
        <v>mm/dd/yyyy</v>
      </c>
      <c r="E19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9" s="76" t="str">
        <f>IF(Master[[#This Row],[Geography (Collection) -Lookup Picker in GRIN]]="","",Master[[#This Row],[Geography (Collection) -Lookup Picker in GRIN]])</f>
        <v/>
      </c>
      <c r="G199" t="str">
        <f t="shared" si="30"/>
        <v>Y</v>
      </c>
      <c r="H199" s="45" t="str">
        <f>IF(Master[[#This Row],[Collecting or Acquisition Source - List]]="","",Master[[#This Row],[Collecting or Acquisition Source - List]])</f>
        <v/>
      </c>
      <c r="I199" t="str">
        <f>IF(Master[[#This Row],[Inventory Type - Lookup Picker]]="","",Master[[#This Row],[Inventory Type - Lookup Picker]])</f>
        <v/>
      </c>
      <c r="J199" s="4" t="str">
        <f>IF(Master[[#This Row],[Number Plants Sampled]]="","",Master[[#This Row],[Number Plants Sampled]])</f>
        <v/>
      </c>
      <c r="K199" s="4" t="str">
        <f>IF(Master[[#This Row],[Environment Description]]="","",Master[[#This Row],[Environment Description]])</f>
        <v/>
      </c>
      <c r="L199" s="4" t="str">
        <f>IF(Master[[#This Row],[Collector Verbatim Locality]]="","",Master[[#This Row],[Collector Verbatim Locality]])</f>
        <v/>
      </c>
      <c r="M199" s="4" t="str">
        <f>IF(Master[[#This Row],[Elevation (meters)]]=0,"",Master[[#This Row],[Elevation (meters)]])</f>
        <v/>
      </c>
      <c r="N199" s="55" t="str">
        <f>IF(Master[[#This Row],[Latitude -decimal degrees]]="","",Master[[#This Row],[Latitude -decimal degrees]])</f>
        <v/>
      </c>
      <c r="O199" s="55" t="str">
        <f>IF(Master[[#This Row],[Longitude -decimal degrees]]="","",Master[[#This Row],[Longitude -decimal degrees]])</f>
        <v/>
      </c>
      <c r="P199" s="5" t="str">
        <f>IF(Master[[#This Row],[Georeference Datum]]="","",Master[[#This Row],[Georeference Datum]])</f>
        <v/>
      </c>
      <c r="Q199" s="5" t="str">
        <f>IF(Master[[#This Row],[Georeference Protocol - Lookup Picker]]="","",Master[[#This Row],[Georeference Protocol - Lookup Picker]])</f>
        <v/>
      </c>
      <c r="R199" s="5" t="str">
        <f>IF(Master[[#This Row],[Associated Species]]="","",Master[[#This Row],[Associated Species]])</f>
        <v/>
      </c>
      <c r="S199" t="str">
        <f t="shared" si="31"/>
        <v>Y</v>
      </c>
      <c r="T199" s="5" t="str">
        <f>IF(Master[[#This Row],[Note (Accession Source - Collector)]]="","",Master[[#This Row],[Note (Accession Source - Collector)]])</f>
        <v/>
      </c>
    </row>
    <row r="200" spans="2:20" x14ac:dyDescent="0.25">
      <c r="B200" t="str">
        <f>Master[[#This Row],[Accession Prefix (NPGS)]]&amp;" "&amp;Master[[#This Row],[Accession Number -Assigned]]</f>
        <v xml:space="preserve"> </v>
      </c>
      <c r="C200" t="str">
        <f t="shared" si="28"/>
        <v>Collection source event</v>
      </c>
      <c r="D200" t="str">
        <f t="shared" si="29"/>
        <v>mm/dd/yyyy</v>
      </c>
      <c r="E20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200" s="76" t="str">
        <f>IF(Master[[#This Row],[Geography (Collection) -Lookup Picker in GRIN]]="","",Master[[#This Row],[Geography (Collection) -Lookup Picker in GRIN]])</f>
        <v/>
      </c>
      <c r="G200" t="str">
        <f t="shared" si="30"/>
        <v>Y</v>
      </c>
      <c r="H200" s="45" t="str">
        <f>IF(Master[[#This Row],[Collecting or Acquisition Source - List]]="","",Master[[#This Row],[Collecting or Acquisition Source - List]])</f>
        <v/>
      </c>
      <c r="I200" t="str">
        <f>IF(Master[[#This Row],[Inventory Type - Lookup Picker]]="","",Master[[#This Row],[Inventory Type - Lookup Picker]])</f>
        <v/>
      </c>
      <c r="J200" s="4" t="str">
        <f>IF(Master[[#This Row],[Number Plants Sampled]]="","",Master[[#This Row],[Number Plants Sampled]])</f>
        <v/>
      </c>
      <c r="K200" s="4" t="str">
        <f>IF(Master[[#This Row],[Environment Description]]="","",Master[[#This Row],[Environment Description]])</f>
        <v/>
      </c>
      <c r="L200" s="4" t="str">
        <f>IF(Master[[#This Row],[Collector Verbatim Locality]]="","",Master[[#This Row],[Collector Verbatim Locality]])</f>
        <v/>
      </c>
      <c r="M200" s="4" t="str">
        <f>IF(Master[[#This Row],[Elevation (meters)]]=0,"",Master[[#This Row],[Elevation (meters)]])</f>
        <v/>
      </c>
      <c r="N200" s="55" t="str">
        <f>IF(Master[[#This Row],[Latitude -decimal degrees]]="","",Master[[#This Row],[Latitude -decimal degrees]])</f>
        <v/>
      </c>
      <c r="O200" s="55" t="str">
        <f>IF(Master[[#This Row],[Longitude -decimal degrees]]="","",Master[[#This Row],[Longitude -decimal degrees]])</f>
        <v/>
      </c>
      <c r="P200" s="5" t="str">
        <f>IF(Master[[#This Row],[Georeference Datum]]="","",Master[[#This Row],[Georeference Datum]])</f>
        <v/>
      </c>
      <c r="Q200" s="5" t="str">
        <f>IF(Master[[#This Row],[Georeference Protocol - Lookup Picker]]="","",Master[[#This Row],[Georeference Protocol - Lookup Picker]])</f>
        <v/>
      </c>
      <c r="R200" s="5" t="str">
        <f>IF(Master[[#This Row],[Associated Species]]="","",Master[[#This Row],[Associated Species]])</f>
        <v/>
      </c>
      <c r="S200" t="str">
        <f t="shared" si="31"/>
        <v>Y</v>
      </c>
      <c r="T200" s="5" t="str">
        <f>IF(Master[[#This Row],[Note (Accession Source - Collector)]]="","",Master[[#This Row],[Note (Accession Source - Collector)]])</f>
        <v/>
      </c>
    </row>
    <row r="201" spans="2:20" x14ac:dyDescent="0.25">
      <c r="B201" t="str">
        <f>Master[[#This Row],[Accession Prefix (NPGS)]]&amp;" "&amp;Master[[#This Row],[Accession Number -Assigned]]</f>
        <v xml:space="preserve"> </v>
      </c>
      <c r="C201" t="str">
        <f t="shared" si="28"/>
        <v>Collection source event</v>
      </c>
      <c r="D201" t="str">
        <f t="shared" si="29"/>
        <v>mm/dd/yyyy</v>
      </c>
      <c r="E20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201" s="76" t="str">
        <f>IF(Master[[#This Row],[Geography (Collection) -Lookup Picker in GRIN]]="","",Master[[#This Row],[Geography (Collection) -Lookup Picker in GRIN]])</f>
        <v/>
      </c>
      <c r="G201" t="str">
        <f t="shared" si="30"/>
        <v>Y</v>
      </c>
      <c r="H201" s="45" t="str">
        <f>IF(Master[[#This Row],[Collecting or Acquisition Source - List]]="","",Master[[#This Row],[Collecting or Acquisition Source - List]])</f>
        <v/>
      </c>
      <c r="I201" t="str">
        <f>IF(Master[[#This Row],[Inventory Type - Lookup Picker]]="","",Master[[#This Row],[Inventory Type - Lookup Picker]])</f>
        <v/>
      </c>
      <c r="J201" s="4" t="str">
        <f>IF(Master[[#This Row],[Number Plants Sampled]]="","",Master[[#This Row],[Number Plants Sampled]])</f>
        <v/>
      </c>
      <c r="K201" s="4" t="str">
        <f>IF(Master[[#This Row],[Environment Description]]="","",Master[[#This Row],[Environment Description]])</f>
        <v/>
      </c>
      <c r="L201" s="4" t="str">
        <f>IF(Master[[#This Row],[Collector Verbatim Locality]]="","",Master[[#This Row],[Collector Verbatim Locality]])</f>
        <v/>
      </c>
      <c r="M201" s="4" t="str">
        <f>IF(Master[[#This Row],[Elevation (meters)]]=0,"",Master[[#This Row],[Elevation (meters)]])</f>
        <v/>
      </c>
      <c r="N201" s="55" t="str">
        <f>IF(Master[[#This Row],[Latitude -decimal degrees]]="","",Master[[#This Row],[Latitude -decimal degrees]])</f>
        <v/>
      </c>
      <c r="O201" s="55" t="str">
        <f>IF(Master[[#This Row],[Longitude -decimal degrees]]="","",Master[[#This Row],[Longitude -decimal degrees]])</f>
        <v/>
      </c>
      <c r="P201" s="5" t="str">
        <f>IF(Master[[#This Row],[Georeference Datum]]="","",Master[[#This Row],[Georeference Datum]])</f>
        <v/>
      </c>
      <c r="Q201" s="5" t="str">
        <f>IF(Master[[#This Row],[Georeference Protocol - Lookup Picker]]="","",Master[[#This Row],[Georeference Protocol - Lookup Picker]])</f>
        <v/>
      </c>
      <c r="R201" s="5" t="str">
        <f>IF(Master[[#This Row],[Associated Species]]="","",Master[[#This Row],[Associated Species]])</f>
        <v/>
      </c>
      <c r="S201" t="str">
        <f t="shared" si="31"/>
        <v>Y</v>
      </c>
      <c r="T201" s="5" t="str">
        <f>IF(Master[[#This Row],[Note (Accession Source - Collector)]]="","",Master[[#This Row],[Note (Accession Source - Collector)]])</f>
        <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theme="0" tint="-0.249977111117893"/>
  </sheetPr>
  <dimension ref="A1:I201"/>
  <sheetViews>
    <sheetView workbookViewId="0">
      <selection activeCell="A2" sqref="A2"/>
    </sheetView>
  </sheetViews>
  <sheetFormatPr defaultRowHeight="15" x14ac:dyDescent="0.25"/>
  <cols>
    <col min="1" max="1" width="9.7109375" customWidth="1"/>
    <col min="2" max="2" width="11.85546875" customWidth="1"/>
    <col min="3" max="3" width="18.5703125" bestFit="1" customWidth="1"/>
    <col min="4" max="4" width="12.85546875" customWidth="1"/>
    <col min="5" max="5" width="11.5703125" style="2" customWidth="1"/>
    <col min="6" max="6" width="20.7109375" style="45" bestFit="1" customWidth="1"/>
    <col min="7" max="7" width="6.5703125" customWidth="1"/>
    <col min="8" max="8" width="23.5703125" bestFit="1" customWidth="1"/>
    <col min="9" max="9" width="14.85546875" bestFit="1" customWidth="1"/>
    <col min="10" max="10" width="23.5703125" bestFit="1" customWidth="1"/>
  </cols>
  <sheetData>
    <row r="1" spans="1:9" s="116" customFormat="1" ht="45" x14ac:dyDescent="0.25">
      <c r="A1" s="116" t="s">
        <v>61</v>
      </c>
      <c r="B1" s="118" t="s">
        <v>10</v>
      </c>
      <c r="C1" s="118" t="s">
        <v>62</v>
      </c>
      <c r="D1" s="116" t="s">
        <v>63</v>
      </c>
      <c r="E1" s="128" t="s">
        <v>64</v>
      </c>
      <c r="F1" s="129" t="s">
        <v>65</v>
      </c>
      <c r="G1" s="116" t="s">
        <v>66</v>
      </c>
      <c r="H1" s="116" t="s">
        <v>9</v>
      </c>
    </row>
    <row r="2" spans="1:9" ht="15.75" x14ac:dyDescent="0.25">
      <c r="A2" s="1"/>
      <c r="B2" t="str">
        <f>Master[[#This Row],[Accession Prefix (NPGS)]]&amp;" "&amp;Master[[#This Row],[Accession Number -Assigned]]</f>
        <v>W6 57036</v>
      </c>
      <c r="C2" t="str">
        <f>"Donor source event"</f>
        <v>Donor source event</v>
      </c>
      <c r="D2" t="str">
        <f>"mm/dd/yyyy"</f>
        <v>mm/dd/yyyy</v>
      </c>
      <c r="E2" s="77">
        <f>Master[[#This Row],[Received Date -received by site]]</f>
        <v>43734</v>
      </c>
      <c r="F2" s="76" t="str">
        <f>IF(Master[[#This Row],[Geography (Donor)  -Lookup Picker in GRIN]]="","",Master[[#This Row],[Geography (Donor)  -Lookup Picker in GRIN]])</f>
        <v>United States, Oregon</v>
      </c>
      <c r="G2" t="str">
        <f>"N"</f>
        <v>N</v>
      </c>
      <c r="I2" s="3"/>
    </row>
    <row r="3" spans="1:9" x14ac:dyDescent="0.25">
      <c r="A3" s="7"/>
      <c r="B3" t="str">
        <f>Master[[#This Row],[Accession Prefix (NPGS)]]&amp;" "&amp;Master[[#This Row],[Accession Number -Assigned]]</f>
        <v xml:space="preserve">W6 </v>
      </c>
      <c r="C3" t="str">
        <f t="shared" ref="C3:C21" si="0">"Donor source event"</f>
        <v>Donor source event</v>
      </c>
      <c r="D3" t="str">
        <f t="shared" ref="D3:D21" si="1">"mm/dd/yyyy"</f>
        <v>mm/dd/yyyy</v>
      </c>
      <c r="E3" s="77">
        <f>Master[[#This Row],[Received Date -received by site]]</f>
        <v>0</v>
      </c>
      <c r="F3" s="76" t="str">
        <f>IF(Master[[#This Row],[Geography (Donor)  -Lookup Picker in GRIN]]="","",Master[[#This Row],[Geography (Donor)  -Lookup Picker in GRIN]])</f>
        <v/>
      </c>
      <c r="G3" t="str">
        <f t="shared" ref="G3:G21" si="2">"N"</f>
        <v>N</v>
      </c>
      <c r="I3" s="3"/>
    </row>
    <row r="4" spans="1:9" x14ac:dyDescent="0.25">
      <c r="A4" s="7"/>
      <c r="B4" t="str">
        <f>Master[[#This Row],[Accession Prefix (NPGS)]]&amp;" "&amp;Master[[#This Row],[Accession Number -Assigned]]</f>
        <v>W6 59590</v>
      </c>
      <c r="C4" t="str">
        <f t="shared" si="0"/>
        <v>Donor source event</v>
      </c>
      <c r="D4" t="str">
        <f t="shared" si="1"/>
        <v>mm/dd/yyyy</v>
      </c>
      <c r="E4" s="77">
        <f>Master[[#This Row],[Received Date -received by site]]</f>
        <v>44466</v>
      </c>
      <c r="F4" s="76" t="str">
        <f>IF(Master[[#This Row],[Geography (Donor)  -Lookup Picker in GRIN]]="","",Master[[#This Row],[Geography (Donor)  -Lookup Picker in GRIN]])</f>
        <v/>
      </c>
      <c r="G4" t="str">
        <f t="shared" si="2"/>
        <v>N</v>
      </c>
      <c r="I4" s="3"/>
    </row>
    <row r="5" spans="1:9" x14ac:dyDescent="0.25">
      <c r="A5" s="7"/>
      <c r="B5" t="str">
        <f>Master[[#This Row],[Accession Prefix (NPGS)]]&amp;" "&amp;Master[[#This Row],[Accession Number -Assigned]]</f>
        <v>W6 59591</v>
      </c>
      <c r="C5" t="str">
        <f t="shared" si="0"/>
        <v>Donor source event</v>
      </c>
      <c r="D5" t="str">
        <f t="shared" si="1"/>
        <v>mm/dd/yyyy</v>
      </c>
      <c r="E5" s="77">
        <f>Master[[#This Row],[Received Date -received by site]]</f>
        <v>44466</v>
      </c>
      <c r="F5" s="76" t="str">
        <f>IF(Master[[#This Row],[Geography (Donor)  -Lookup Picker in GRIN]]="","",Master[[#This Row],[Geography (Donor)  -Lookup Picker in GRIN]])</f>
        <v/>
      </c>
      <c r="G5" t="str">
        <f t="shared" si="2"/>
        <v>N</v>
      </c>
      <c r="I5" s="3"/>
    </row>
    <row r="6" spans="1:9" x14ac:dyDescent="0.25">
      <c r="A6" s="7"/>
      <c r="B6" t="str">
        <f>Master[[#This Row],[Accession Prefix (NPGS)]]&amp;" "&amp;Master[[#This Row],[Accession Number -Assigned]]</f>
        <v>W6 59592</v>
      </c>
      <c r="C6" t="str">
        <f t="shared" si="0"/>
        <v>Donor source event</v>
      </c>
      <c r="D6" t="str">
        <f t="shared" si="1"/>
        <v>mm/dd/yyyy</v>
      </c>
      <c r="E6" s="77">
        <f>Master[[#This Row],[Received Date -received by site]]</f>
        <v>44466</v>
      </c>
      <c r="F6" s="76" t="str">
        <f>IF(Master[[#This Row],[Geography (Donor)  -Lookup Picker in GRIN]]="","",Master[[#This Row],[Geography (Donor)  -Lookup Picker in GRIN]])</f>
        <v/>
      </c>
      <c r="G6" t="str">
        <f t="shared" si="2"/>
        <v>N</v>
      </c>
      <c r="I6" s="3"/>
    </row>
    <row r="7" spans="1:9" x14ac:dyDescent="0.25">
      <c r="A7" s="7"/>
      <c r="B7" t="str">
        <f>Master[[#This Row],[Accession Prefix (NPGS)]]&amp;" "&amp;Master[[#This Row],[Accession Number -Assigned]]</f>
        <v>W6 59593</v>
      </c>
      <c r="C7" t="str">
        <f t="shared" si="0"/>
        <v>Donor source event</v>
      </c>
      <c r="D7" t="str">
        <f t="shared" si="1"/>
        <v>mm/dd/yyyy</v>
      </c>
      <c r="E7" s="77">
        <f>Master[[#This Row],[Received Date -received by site]]</f>
        <v>44466</v>
      </c>
      <c r="F7" s="76" t="str">
        <f>IF(Master[[#This Row],[Geography (Donor)  -Lookup Picker in GRIN]]="","",Master[[#This Row],[Geography (Donor)  -Lookup Picker in GRIN]])</f>
        <v/>
      </c>
      <c r="G7" t="str">
        <f t="shared" si="2"/>
        <v>N</v>
      </c>
      <c r="I7" s="3"/>
    </row>
    <row r="8" spans="1:9" x14ac:dyDescent="0.25">
      <c r="A8" s="7"/>
      <c r="B8" t="str">
        <f>Master[[#This Row],[Accession Prefix (NPGS)]]&amp;" "&amp;Master[[#This Row],[Accession Number -Assigned]]</f>
        <v>W6 59594</v>
      </c>
      <c r="C8" t="str">
        <f t="shared" si="0"/>
        <v>Donor source event</v>
      </c>
      <c r="D8" t="str">
        <f t="shared" si="1"/>
        <v>mm/dd/yyyy</v>
      </c>
      <c r="E8" s="77">
        <f>Master[[#This Row],[Received Date -received by site]]</f>
        <v>44466</v>
      </c>
      <c r="F8" s="76" t="str">
        <f>IF(Master[[#This Row],[Geography (Donor)  -Lookup Picker in GRIN]]="","",Master[[#This Row],[Geography (Donor)  -Lookup Picker in GRIN]])</f>
        <v/>
      </c>
      <c r="G8" t="str">
        <f t="shared" si="2"/>
        <v>N</v>
      </c>
      <c r="I8" s="3"/>
    </row>
    <row r="9" spans="1:9" x14ac:dyDescent="0.25">
      <c r="A9" s="7"/>
      <c r="B9" t="str">
        <f>Master[[#This Row],[Accession Prefix (NPGS)]]&amp;" "&amp;Master[[#This Row],[Accession Number -Assigned]]</f>
        <v>W6 59595</v>
      </c>
      <c r="C9" t="str">
        <f t="shared" si="0"/>
        <v>Donor source event</v>
      </c>
      <c r="D9" t="str">
        <f t="shared" si="1"/>
        <v>mm/dd/yyyy</v>
      </c>
      <c r="E9" s="77">
        <f>Master[[#This Row],[Received Date -received by site]]</f>
        <v>44466</v>
      </c>
      <c r="F9" s="76" t="str">
        <f>IF(Master[[#This Row],[Geography (Donor)  -Lookup Picker in GRIN]]="","",Master[[#This Row],[Geography (Donor)  -Lookup Picker in GRIN]])</f>
        <v/>
      </c>
      <c r="G9" t="str">
        <f t="shared" si="2"/>
        <v>N</v>
      </c>
      <c r="I9" s="3"/>
    </row>
    <row r="10" spans="1:9" x14ac:dyDescent="0.25">
      <c r="A10" s="7"/>
      <c r="B10" t="str">
        <f>Master[[#This Row],[Accession Prefix (NPGS)]]&amp;" "&amp;Master[[#This Row],[Accession Number -Assigned]]</f>
        <v>W6 59596</v>
      </c>
      <c r="C10" t="str">
        <f t="shared" si="0"/>
        <v>Donor source event</v>
      </c>
      <c r="D10" t="str">
        <f t="shared" si="1"/>
        <v>mm/dd/yyyy</v>
      </c>
      <c r="E10" s="77">
        <f>Master[[#This Row],[Received Date -received by site]]</f>
        <v>44466</v>
      </c>
      <c r="F10" s="76" t="str">
        <f>IF(Master[[#This Row],[Geography (Donor)  -Lookup Picker in GRIN]]="","",Master[[#This Row],[Geography (Donor)  -Lookup Picker in GRIN]])</f>
        <v/>
      </c>
      <c r="G10" t="str">
        <f t="shared" si="2"/>
        <v>N</v>
      </c>
      <c r="I10" s="3"/>
    </row>
    <row r="11" spans="1:9" x14ac:dyDescent="0.25">
      <c r="A11" s="7"/>
      <c r="B11" t="str">
        <f>Master[[#This Row],[Accession Prefix (NPGS)]]&amp;" "&amp;Master[[#This Row],[Accession Number -Assigned]]</f>
        <v>W6 59597</v>
      </c>
      <c r="C11" t="str">
        <f t="shared" si="0"/>
        <v>Donor source event</v>
      </c>
      <c r="D11" t="str">
        <f t="shared" si="1"/>
        <v>mm/dd/yyyy</v>
      </c>
      <c r="E11" s="77">
        <f>Master[[#This Row],[Received Date -received by site]]</f>
        <v>44466</v>
      </c>
      <c r="F11" s="76" t="str">
        <f>IF(Master[[#This Row],[Geography (Donor)  -Lookup Picker in GRIN]]="","",Master[[#This Row],[Geography (Donor)  -Lookup Picker in GRIN]])</f>
        <v/>
      </c>
      <c r="G11" t="str">
        <f t="shared" si="2"/>
        <v>N</v>
      </c>
      <c r="I11" s="3"/>
    </row>
    <row r="12" spans="1:9" x14ac:dyDescent="0.25">
      <c r="A12" s="7"/>
      <c r="B12" t="str">
        <f>Master[[#This Row],[Accession Prefix (NPGS)]]&amp;" "&amp;Master[[#This Row],[Accession Number -Assigned]]</f>
        <v>W6 59598</v>
      </c>
      <c r="C12" t="str">
        <f t="shared" si="0"/>
        <v>Donor source event</v>
      </c>
      <c r="D12" t="str">
        <f t="shared" si="1"/>
        <v>mm/dd/yyyy</v>
      </c>
      <c r="E12" s="77">
        <f>Master[[#This Row],[Received Date -received by site]]</f>
        <v>44466</v>
      </c>
      <c r="F12" s="76" t="str">
        <f>IF(Master[[#This Row],[Geography (Donor)  -Lookup Picker in GRIN]]="","",Master[[#This Row],[Geography (Donor)  -Lookup Picker in GRIN]])</f>
        <v/>
      </c>
      <c r="G12" t="str">
        <f t="shared" si="2"/>
        <v>N</v>
      </c>
      <c r="I12" s="3"/>
    </row>
    <row r="13" spans="1:9" x14ac:dyDescent="0.25">
      <c r="A13" s="7"/>
      <c r="B13" t="str">
        <f>Master[[#This Row],[Accession Prefix (NPGS)]]&amp;" "&amp;Master[[#This Row],[Accession Number -Assigned]]</f>
        <v>W6 59599</v>
      </c>
      <c r="C13" t="str">
        <f t="shared" si="0"/>
        <v>Donor source event</v>
      </c>
      <c r="D13" t="str">
        <f t="shared" si="1"/>
        <v>mm/dd/yyyy</v>
      </c>
      <c r="E13" s="77">
        <f>Master[[#This Row],[Received Date -received by site]]</f>
        <v>44466</v>
      </c>
      <c r="F13" s="76" t="str">
        <f>IF(Master[[#This Row],[Geography (Donor)  -Lookup Picker in GRIN]]="","",Master[[#This Row],[Geography (Donor)  -Lookup Picker in GRIN]])</f>
        <v/>
      </c>
      <c r="G13" t="str">
        <f t="shared" si="2"/>
        <v>N</v>
      </c>
      <c r="I13" s="3"/>
    </row>
    <row r="14" spans="1:9" x14ac:dyDescent="0.25">
      <c r="A14" s="7"/>
      <c r="B14" t="str">
        <f>Master[[#This Row],[Accession Prefix (NPGS)]]&amp;" "&amp;Master[[#This Row],[Accession Number -Assigned]]</f>
        <v>W6 59600</v>
      </c>
      <c r="C14" t="str">
        <f t="shared" si="0"/>
        <v>Donor source event</v>
      </c>
      <c r="D14" t="str">
        <f t="shared" si="1"/>
        <v>mm/dd/yyyy</v>
      </c>
      <c r="E14" s="77">
        <f>Master[[#This Row],[Received Date -received by site]]</f>
        <v>44466</v>
      </c>
      <c r="F14" s="76" t="str">
        <f>IF(Master[[#This Row],[Geography (Donor)  -Lookup Picker in GRIN]]="","",Master[[#This Row],[Geography (Donor)  -Lookup Picker in GRIN]])</f>
        <v/>
      </c>
      <c r="G14" t="str">
        <f t="shared" si="2"/>
        <v>N</v>
      </c>
      <c r="I14" s="3"/>
    </row>
    <row r="15" spans="1:9" x14ac:dyDescent="0.25">
      <c r="A15" s="7"/>
      <c r="B15" t="str">
        <f>Master[[#This Row],[Accession Prefix (NPGS)]]&amp;" "&amp;Master[[#This Row],[Accession Number -Assigned]]</f>
        <v>W6 59601</v>
      </c>
      <c r="C15" t="str">
        <f t="shared" si="0"/>
        <v>Donor source event</v>
      </c>
      <c r="D15" t="str">
        <f t="shared" si="1"/>
        <v>mm/dd/yyyy</v>
      </c>
      <c r="E15" s="77">
        <f>Master[[#This Row],[Received Date -received by site]]</f>
        <v>44466</v>
      </c>
      <c r="F15" s="76" t="str">
        <f>IF(Master[[#This Row],[Geography (Donor)  -Lookup Picker in GRIN]]="","",Master[[#This Row],[Geography (Donor)  -Lookup Picker in GRIN]])</f>
        <v/>
      </c>
      <c r="G15" t="str">
        <f t="shared" si="2"/>
        <v>N</v>
      </c>
      <c r="I15" s="3"/>
    </row>
    <row r="16" spans="1:9" x14ac:dyDescent="0.25">
      <c r="A16" s="7"/>
      <c r="B16" t="str">
        <f>Master[[#This Row],[Accession Prefix (NPGS)]]&amp;" "&amp;Master[[#This Row],[Accession Number -Assigned]]</f>
        <v>W6 59602</v>
      </c>
      <c r="C16" t="str">
        <f t="shared" si="0"/>
        <v>Donor source event</v>
      </c>
      <c r="D16" t="str">
        <f t="shared" si="1"/>
        <v>mm/dd/yyyy</v>
      </c>
      <c r="E16" s="77">
        <f>Master[[#This Row],[Received Date -received by site]]</f>
        <v>44466</v>
      </c>
      <c r="F16" s="76" t="str">
        <f>IF(Master[[#This Row],[Geography (Donor)  -Lookup Picker in GRIN]]="","",Master[[#This Row],[Geography (Donor)  -Lookup Picker in GRIN]])</f>
        <v/>
      </c>
      <c r="G16" t="str">
        <f t="shared" si="2"/>
        <v>N</v>
      </c>
      <c r="I16" s="3"/>
    </row>
    <row r="17" spans="1:9" x14ac:dyDescent="0.25">
      <c r="A17" s="7"/>
      <c r="B17" t="str">
        <f>Master[[#This Row],[Accession Prefix (NPGS)]]&amp;" "&amp;Master[[#This Row],[Accession Number -Assigned]]</f>
        <v>W6 59603</v>
      </c>
      <c r="C17" t="str">
        <f t="shared" si="0"/>
        <v>Donor source event</v>
      </c>
      <c r="D17" t="str">
        <f t="shared" si="1"/>
        <v>mm/dd/yyyy</v>
      </c>
      <c r="E17" s="77">
        <f>Master[[#This Row],[Received Date -received by site]]</f>
        <v>44466</v>
      </c>
      <c r="F17" s="76" t="str">
        <f>IF(Master[[#This Row],[Geography (Donor)  -Lookup Picker in GRIN]]="","",Master[[#This Row],[Geography (Donor)  -Lookup Picker in GRIN]])</f>
        <v/>
      </c>
      <c r="G17" t="str">
        <f t="shared" si="2"/>
        <v>N</v>
      </c>
      <c r="I17" s="3"/>
    </row>
    <row r="18" spans="1:9" x14ac:dyDescent="0.25">
      <c r="A18" s="7"/>
      <c r="B18" t="str">
        <f>Master[[#This Row],[Accession Prefix (NPGS)]]&amp;" "&amp;Master[[#This Row],[Accession Number -Assigned]]</f>
        <v>W6 59604</v>
      </c>
      <c r="C18" t="str">
        <f t="shared" si="0"/>
        <v>Donor source event</v>
      </c>
      <c r="D18" t="str">
        <f t="shared" si="1"/>
        <v>mm/dd/yyyy</v>
      </c>
      <c r="E18" s="77">
        <f>Master[[#This Row],[Received Date -received by site]]</f>
        <v>44466</v>
      </c>
      <c r="F18" s="76" t="str">
        <f>IF(Master[[#This Row],[Geography (Donor)  -Lookup Picker in GRIN]]="","",Master[[#This Row],[Geography (Donor)  -Lookup Picker in GRIN]])</f>
        <v/>
      </c>
      <c r="G18" t="str">
        <f t="shared" si="2"/>
        <v>N</v>
      </c>
      <c r="I18" s="3"/>
    </row>
    <row r="19" spans="1:9" x14ac:dyDescent="0.25">
      <c r="A19" s="7"/>
      <c r="B19" t="str">
        <f>Master[[#This Row],[Accession Prefix (NPGS)]]&amp;" "&amp;Master[[#This Row],[Accession Number -Assigned]]</f>
        <v>W6 59605</v>
      </c>
      <c r="C19" t="str">
        <f t="shared" si="0"/>
        <v>Donor source event</v>
      </c>
      <c r="D19" t="str">
        <f t="shared" si="1"/>
        <v>mm/dd/yyyy</v>
      </c>
      <c r="E19" s="77">
        <f>Master[[#This Row],[Received Date -received by site]]</f>
        <v>44466</v>
      </c>
      <c r="F19" s="76" t="str">
        <f>IF(Master[[#This Row],[Geography (Donor)  -Lookup Picker in GRIN]]="","",Master[[#This Row],[Geography (Donor)  -Lookup Picker in GRIN]])</f>
        <v/>
      </c>
      <c r="G19" t="str">
        <f t="shared" si="2"/>
        <v>N</v>
      </c>
      <c r="I19" s="3"/>
    </row>
    <row r="20" spans="1:9" x14ac:dyDescent="0.25">
      <c r="A20" s="7"/>
      <c r="B20" t="str">
        <f>Master[[#This Row],[Accession Prefix (NPGS)]]&amp;" "&amp;Master[[#This Row],[Accession Number -Assigned]]</f>
        <v>W6 59606</v>
      </c>
      <c r="C20" t="str">
        <f t="shared" si="0"/>
        <v>Donor source event</v>
      </c>
      <c r="D20" t="str">
        <f t="shared" si="1"/>
        <v>mm/dd/yyyy</v>
      </c>
      <c r="E20" s="77">
        <f>Master[[#This Row],[Received Date -received by site]]</f>
        <v>44466</v>
      </c>
      <c r="F20" s="76" t="str">
        <f>IF(Master[[#This Row],[Geography (Donor)  -Lookup Picker in GRIN]]="","",Master[[#This Row],[Geography (Donor)  -Lookup Picker in GRIN]])</f>
        <v/>
      </c>
      <c r="G20" t="str">
        <f t="shared" si="2"/>
        <v>N</v>
      </c>
      <c r="I20" s="3"/>
    </row>
    <row r="21" spans="1:9" x14ac:dyDescent="0.25">
      <c r="A21" s="7"/>
      <c r="B21" t="str">
        <f>Master[[#This Row],[Accession Prefix (NPGS)]]&amp;" "&amp;Master[[#This Row],[Accession Number -Assigned]]</f>
        <v>W6 59607</v>
      </c>
      <c r="C21" t="str">
        <f t="shared" si="0"/>
        <v>Donor source event</v>
      </c>
      <c r="D21" t="str">
        <f t="shared" si="1"/>
        <v>mm/dd/yyyy</v>
      </c>
      <c r="E21" s="77">
        <f>Master[[#This Row],[Received Date -received by site]]</f>
        <v>44466</v>
      </c>
      <c r="F21" s="76" t="str">
        <f>IF(Master[[#This Row],[Geography (Donor)  -Lookup Picker in GRIN]]="","",Master[[#This Row],[Geography (Donor)  -Lookup Picker in GRIN]])</f>
        <v/>
      </c>
      <c r="G21" t="str">
        <f t="shared" si="2"/>
        <v>N</v>
      </c>
      <c r="I21" s="3"/>
    </row>
    <row r="22" spans="1:9" x14ac:dyDescent="0.25">
      <c r="B22" t="str">
        <f>Master[[#This Row],[Accession Prefix (NPGS)]]&amp;" "&amp;Master[[#This Row],[Accession Number -Assigned]]</f>
        <v>W6 59608</v>
      </c>
      <c r="C22" t="str">
        <f t="shared" ref="C22:C53" si="3">"Donor source event"</f>
        <v>Donor source event</v>
      </c>
      <c r="D22" t="str">
        <f t="shared" ref="D22:D53" si="4">"mm/dd/yyyy"</f>
        <v>mm/dd/yyyy</v>
      </c>
      <c r="E22" s="77">
        <f>Master[[#This Row],[Received Date -received by site]]</f>
        <v>44466</v>
      </c>
      <c r="F22" s="76" t="str">
        <f>IF(Master[[#This Row],[Geography (Donor)  -Lookup Picker in GRIN]]="","",Master[[#This Row],[Geography (Donor)  -Lookup Picker in GRIN]])</f>
        <v/>
      </c>
      <c r="G22" t="str">
        <f t="shared" ref="G22:G53" si="5">"N"</f>
        <v>N</v>
      </c>
      <c r="I22" s="3"/>
    </row>
    <row r="23" spans="1:9" x14ac:dyDescent="0.25">
      <c r="B23" t="str">
        <f>Master[[#This Row],[Accession Prefix (NPGS)]]&amp;" "&amp;Master[[#This Row],[Accession Number -Assigned]]</f>
        <v>W6 59609</v>
      </c>
      <c r="C23" t="str">
        <f t="shared" si="3"/>
        <v>Donor source event</v>
      </c>
      <c r="D23" t="str">
        <f t="shared" si="4"/>
        <v>mm/dd/yyyy</v>
      </c>
      <c r="E23" s="77">
        <f>Master[[#This Row],[Received Date -received by site]]</f>
        <v>44466</v>
      </c>
      <c r="F23" s="76" t="str">
        <f>IF(Master[[#This Row],[Geography (Donor)  -Lookup Picker in GRIN]]="","",Master[[#This Row],[Geography (Donor)  -Lookup Picker in GRIN]])</f>
        <v/>
      </c>
      <c r="G23" t="str">
        <f t="shared" si="5"/>
        <v>N</v>
      </c>
      <c r="I23" s="3"/>
    </row>
    <row r="24" spans="1:9" x14ac:dyDescent="0.25">
      <c r="B24" t="str">
        <f>Master[[#This Row],[Accession Prefix (NPGS)]]&amp;" "&amp;Master[[#This Row],[Accession Number -Assigned]]</f>
        <v>W6 59610</v>
      </c>
      <c r="C24" t="str">
        <f t="shared" si="3"/>
        <v>Donor source event</v>
      </c>
      <c r="D24" t="str">
        <f t="shared" si="4"/>
        <v>mm/dd/yyyy</v>
      </c>
      <c r="E24" s="77">
        <f>Master[[#This Row],[Received Date -received by site]]</f>
        <v>44466</v>
      </c>
      <c r="F24" s="76" t="str">
        <f>IF(Master[[#This Row],[Geography (Donor)  -Lookup Picker in GRIN]]="","",Master[[#This Row],[Geography (Donor)  -Lookup Picker in GRIN]])</f>
        <v/>
      </c>
      <c r="G24" t="str">
        <f t="shared" si="5"/>
        <v>N</v>
      </c>
      <c r="I24" s="3"/>
    </row>
    <row r="25" spans="1:9" x14ac:dyDescent="0.25">
      <c r="B25" t="str">
        <f>Master[[#This Row],[Accession Prefix (NPGS)]]&amp;" "&amp;Master[[#This Row],[Accession Number -Assigned]]</f>
        <v>W6 59611</v>
      </c>
      <c r="C25" t="str">
        <f t="shared" si="3"/>
        <v>Donor source event</v>
      </c>
      <c r="D25" t="str">
        <f t="shared" si="4"/>
        <v>mm/dd/yyyy</v>
      </c>
      <c r="E25" s="77">
        <f>Master[[#This Row],[Received Date -received by site]]</f>
        <v>44466</v>
      </c>
      <c r="F25" s="76" t="str">
        <f>IF(Master[[#This Row],[Geography (Donor)  -Lookup Picker in GRIN]]="","",Master[[#This Row],[Geography (Donor)  -Lookup Picker in GRIN]])</f>
        <v/>
      </c>
      <c r="G25" t="str">
        <f t="shared" si="5"/>
        <v>N</v>
      </c>
      <c r="I25" s="3"/>
    </row>
    <row r="26" spans="1:9" x14ac:dyDescent="0.25">
      <c r="B26" t="str">
        <f>Master[[#This Row],[Accession Prefix (NPGS)]]&amp;" "&amp;Master[[#This Row],[Accession Number -Assigned]]</f>
        <v>W6 59612</v>
      </c>
      <c r="C26" t="str">
        <f t="shared" si="3"/>
        <v>Donor source event</v>
      </c>
      <c r="D26" t="str">
        <f t="shared" si="4"/>
        <v>mm/dd/yyyy</v>
      </c>
      <c r="E26" s="77">
        <f>Master[[#This Row],[Received Date -received by site]]</f>
        <v>44466</v>
      </c>
      <c r="F26" s="76" t="str">
        <f>IF(Master[[#This Row],[Geography (Donor)  -Lookup Picker in GRIN]]="","",Master[[#This Row],[Geography (Donor)  -Lookup Picker in GRIN]])</f>
        <v/>
      </c>
      <c r="G26" t="str">
        <f t="shared" si="5"/>
        <v>N</v>
      </c>
      <c r="I26" s="3"/>
    </row>
    <row r="27" spans="1:9" x14ac:dyDescent="0.25">
      <c r="B27" t="str">
        <f>Master[[#This Row],[Accession Prefix (NPGS)]]&amp;" "&amp;Master[[#This Row],[Accession Number -Assigned]]</f>
        <v>W6 59613</v>
      </c>
      <c r="C27" t="str">
        <f t="shared" si="3"/>
        <v>Donor source event</v>
      </c>
      <c r="D27" t="str">
        <f t="shared" si="4"/>
        <v>mm/dd/yyyy</v>
      </c>
      <c r="E27" s="77">
        <f>Master[[#This Row],[Received Date -received by site]]</f>
        <v>44466</v>
      </c>
      <c r="F27" s="76" t="str">
        <f>IF(Master[[#This Row],[Geography (Donor)  -Lookup Picker in GRIN]]="","",Master[[#This Row],[Geography (Donor)  -Lookup Picker in GRIN]])</f>
        <v/>
      </c>
      <c r="G27" t="str">
        <f t="shared" si="5"/>
        <v>N</v>
      </c>
      <c r="I27" s="3"/>
    </row>
    <row r="28" spans="1:9" x14ac:dyDescent="0.25">
      <c r="B28" t="str">
        <f>Master[[#This Row],[Accession Prefix (NPGS)]]&amp;" "&amp;Master[[#This Row],[Accession Number -Assigned]]</f>
        <v>W6 59614</v>
      </c>
      <c r="C28" t="str">
        <f t="shared" si="3"/>
        <v>Donor source event</v>
      </c>
      <c r="D28" t="str">
        <f t="shared" si="4"/>
        <v>mm/dd/yyyy</v>
      </c>
      <c r="E28" s="77">
        <f>Master[[#This Row],[Received Date -received by site]]</f>
        <v>44466</v>
      </c>
      <c r="F28" s="76" t="str">
        <f>IF(Master[[#This Row],[Geography (Donor)  -Lookup Picker in GRIN]]="","",Master[[#This Row],[Geography (Donor)  -Lookup Picker in GRIN]])</f>
        <v/>
      </c>
      <c r="G28" t="str">
        <f t="shared" si="5"/>
        <v>N</v>
      </c>
      <c r="I28" s="3"/>
    </row>
    <row r="29" spans="1:9" x14ac:dyDescent="0.25">
      <c r="B29" t="str">
        <f>Master[[#This Row],[Accession Prefix (NPGS)]]&amp;" "&amp;Master[[#This Row],[Accession Number -Assigned]]</f>
        <v>W6 59615</v>
      </c>
      <c r="C29" t="str">
        <f t="shared" si="3"/>
        <v>Donor source event</v>
      </c>
      <c r="D29" t="str">
        <f t="shared" si="4"/>
        <v>mm/dd/yyyy</v>
      </c>
      <c r="E29" s="77">
        <f>Master[[#This Row],[Received Date -received by site]]</f>
        <v>44466</v>
      </c>
      <c r="F29" s="76" t="str">
        <f>IF(Master[[#This Row],[Geography (Donor)  -Lookup Picker in GRIN]]="","",Master[[#This Row],[Geography (Donor)  -Lookup Picker in GRIN]])</f>
        <v/>
      </c>
      <c r="G29" t="str">
        <f t="shared" si="5"/>
        <v>N</v>
      </c>
      <c r="I29" s="3"/>
    </row>
    <row r="30" spans="1:9" x14ac:dyDescent="0.25">
      <c r="B30" t="str">
        <f>Master[[#This Row],[Accession Prefix (NPGS)]]&amp;" "&amp;Master[[#This Row],[Accession Number -Assigned]]</f>
        <v>W6 59616</v>
      </c>
      <c r="C30" t="str">
        <f t="shared" si="3"/>
        <v>Donor source event</v>
      </c>
      <c r="D30" t="str">
        <f t="shared" si="4"/>
        <v>mm/dd/yyyy</v>
      </c>
      <c r="E30" s="77">
        <f>Master[[#This Row],[Received Date -received by site]]</f>
        <v>44466</v>
      </c>
      <c r="F30" s="76" t="str">
        <f>IF(Master[[#This Row],[Geography (Donor)  -Lookup Picker in GRIN]]="","",Master[[#This Row],[Geography (Donor)  -Lookup Picker in GRIN]])</f>
        <v/>
      </c>
      <c r="G30" t="str">
        <f t="shared" si="5"/>
        <v>N</v>
      </c>
      <c r="I30" s="3"/>
    </row>
    <row r="31" spans="1:9" x14ac:dyDescent="0.25">
      <c r="B31" t="str">
        <f>Master[[#This Row],[Accession Prefix (NPGS)]]&amp;" "&amp;Master[[#This Row],[Accession Number -Assigned]]</f>
        <v>W6 59617</v>
      </c>
      <c r="C31" t="str">
        <f t="shared" si="3"/>
        <v>Donor source event</v>
      </c>
      <c r="D31" t="str">
        <f t="shared" si="4"/>
        <v>mm/dd/yyyy</v>
      </c>
      <c r="E31" s="77">
        <f>Master[[#This Row],[Received Date -received by site]]</f>
        <v>44466</v>
      </c>
      <c r="F31" s="76" t="str">
        <f>IF(Master[[#This Row],[Geography (Donor)  -Lookup Picker in GRIN]]="","",Master[[#This Row],[Geography (Donor)  -Lookup Picker in GRIN]])</f>
        <v/>
      </c>
      <c r="G31" t="str">
        <f t="shared" si="5"/>
        <v>N</v>
      </c>
      <c r="I31" s="3"/>
    </row>
    <row r="32" spans="1:9" x14ac:dyDescent="0.25">
      <c r="B32" t="str">
        <f>Master[[#This Row],[Accession Prefix (NPGS)]]&amp;" "&amp;Master[[#This Row],[Accession Number -Assigned]]</f>
        <v>W6 59618</v>
      </c>
      <c r="C32" t="str">
        <f t="shared" si="3"/>
        <v>Donor source event</v>
      </c>
      <c r="D32" t="str">
        <f t="shared" si="4"/>
        <v>mm/dd/yyyy</v>
      </c>
      <c r="E32" s="77">
        <f>Master[[#This Row],[Received Date -received by site]]</f>
        <v>44466</v>
      </c>
      <c r="F32" s="76" t="str">
        <f>IF(Master[[#This Row],[Geography (Donor)  -Lookup Picker in GRIN]]="","",Master[[#This Row],[Geography (Donor)  -Lookup Picker in GRIN]])</f>
        <v/>
      </c>
      <c r="G32" t="str">
        <f t="shared" si="5"/>
        <v>N</v>
      </c>
      <c r="I32" s="3"/>
    </row>
    <row r="33" spans="2:9" x14ac:dyDescent="0.25">
      <c r="B33" t="str">
        <f>Master[[#This Row],[Accession Prefix (NPGS)]]&amp;" "&amp;Master[[#This Row],[Accession Number -Assigned]]</f>
        <v>W6 59619</v>
      </c>
      <c r="C33" t="str">
        <f t="shared" si="3"/>
        <v>Donor source event</v>
      </c>
      <c r="D33" t="str">
        <f t="shared" si="4"/>
        <v>mm/dd/yyyy</v>
      </c>
      <c r="E33" s="77">
        <f>Master[[#This Row],[Received Date -received by site]]</f>
        <v>44466</v>
      </c>
      <c r="F33" s="76" t="str">
        <f>IF(Master[[#This Row],[Geography (Donor)  -Lookup Picker in GRIN]]="","",Master[[#This Row],[Geography (Donor)  -Lookup Picker in GRIN]])</f>
        <v/>
      </c>
      <c r="G33" t="str">
        <f t="shared" si="5"/>
        <v>N</v>
      </c>
      <c r="I33" s="3"/>
    </row>
    <row r="34" spans="2:9" x14ac:dyDescent="0.25">
      <c r="B34" t="str">
        <f>Master[[#This Row],[Accession Prefix (NPGS)]]&amp;" "&amp;Master[[#This Row],[Accession Number -Assigned]]</f>
        <v>W6 59620</v>
      </c>
      <c r="C34" t="str">
        <f t="shared" si="3"/>
        <v>Donor source event</v>
      </c>
      <c r="D34" t="str">
        <f t="shared" si="4"/>
        <v>mm/dd/yyyy</v>
      </c>
      <c r="E34" s="77">
        <f>Master[[#This Row],[Received Date -received by site]]</f>
        <v>44466</v>
      </c>
      <c r="F34" s="76" t="str">
        <f>IF(Master[[#This Row],[Geography (Donor)  -Lookup Picker in GRIN]]="","",Master[[#This Row],[Geography (Donor)  -Lookup Picker in GRIN]])</f>
        <v/>
      </c>
      <c r="G34" t="str">
        <f t="shared" si="5"/>
        <v>N</v>
      </c>
      <c r="I34" s="3"/>
    </row>
    <row r="35" spans="2:9" x14ac:dyDescent="0.25">
      <c r="B35" t="str">
        <f>Master[[#This Row],[Accession Prefix (NPGS)]]&amp;" "&amp;Master[[#This Row],[Accession Number -Assigned]]</f>
        <v>W6 59621</v>
      </c>
      <c r="C35" t="str">
        <f t="shared" si="3"/>
        <v>Donor source event</v>
      </c>
      <c r="D35" t="str">
        <f t="shared" si="4"/>
        <v>mm/dd/yyyy</v>
      </c>
      <c r="E35" s="77">
        <f>Master[[#This Row],[Received Date -received by site]]</f>
        <v>44466</v>
      </c>
      <c r="F35" s="76" t="str">
        <f>IF(Master[[#This Row],[Geography (Donor)  -Lookup Picker in GRIN]]="","",Master[[#This Row],[Geography (Donor)  -Lookup Picker in GRIN]])</f>
        <v/>
      </c>
      <c r="G35" t="str">
        <f t="shared" si="5"/>
        <v>N</v>
      </c>
      <c r="I35" s="3"/>
    </row>
    <row r="36" spans="2:9" x14ac:dyDescent="0.25">
      <c r="B36" t="str">
        <f>Master[[#This Row],[Accession Prefix (NPGS)]]&amp;" "&amp;Master[[#This Row],[Accession Number -Assigned]]</f>
        <v>W6 59622</v>
      </c>
      <c r="C36" t="str">
        <f t="shared" si="3"/>
        <v>Donor source event</v>
      </c>
      <c r="D36" t="str">
        <f t="shared" si="4"/>
        <v>mm/dd/yyyy</v>
      </c>
      <c r="E36" s="77">
        <f>Master[[#This Row],[Received Date -received by site]]</f>
        <v>44466</v>
      </c>
      <c r="F36" s="76" t="str">
        <f>IF(Master[[#This Row],[Geography (Donor)  -Lookup Picker in GRIN]]="","",Master[[#This Row],[Geography (Donor)  -Lookup Picker in GRIN]])</f>
        <v/>
      </c>
      <c r="G36" t="str">
        <f t="shared" si="5"/>
        <v>N</v>
      </c>
      <c r="I36" s="3"/>
    </row>
    <row r="37" spans="2:9" x14ac:dyDescent="0.25">
      <c r="B37" t="str">
        <f>Master[[#This Row],[Accession Prefix (NPGS)]]&amp;" "&amp;Master[[#This Row],[Accession Number -Assigned]]</f>
        <v>W6 59623</v>
      </c>
      <c r="C37" t="str">
        <f t="shared" si="3"/>
        <v>Donor source event</v>
      </c>
      <c r="D37" t="str">
        <f t="shared" si="4"/>
        <v>mm/dd/yyyy</v>
      </c>
      <c r="E37" s="77">
        <f>Master[[#This Row],[Received Date -received by site]]</f>
        <v>44466</v>
      </c>
      <c r="F37" s="76" t="str">
        <f>IF(Master[[#This Row],[Geography (Donor)  -Lookup Picker in GRIN]]="","",Master[[#This Row],[Geography (Donor)  -Lookup Picker in GRIN]])</f>
        <v/>
      </c>
      <c r="G37" t="str">
        <f t="shared" si="5"/>
        <v>N</v>
      </c>
      <c r="I37" s="3"/>
    </row>
    <row r="38" spans="2:9" x14ac:dyDescent="0.25">
      <c r="B38" t="str">
        <f>Master[[#This Row],[Accession Prefix (NPGS)]]&amp;" "&amp;Master[[#This Row],[Accession Number -Assigned]]</f>
        <v>W6 59624</v>
      </c>
      <c r="C38" t="str">
        <f t="shared" si="3"/>
        <v>Donor source event</v>
      </c>
      <c r="D38" t="str">
        <f t="shared" si="4"/>
        <v>mm/dd/yyyy</v>
      </c>
      <c r="E38" s="77">
        <f>Master[[#This Row],[Received Date -received by site]]</f>
        <v>44466</v>
      </c>
      <c r="F38" s="76" t="str">
        <f>IF(Master[[#This Row],[Geography (Donor)  -Lookup Picker in GRIN]]="","",Master[[#This Row],[Geography (Donor)  -Lookup Picker in GRIN]])</f>
        <v/>
      </c>
      <c r="G38" t="str">
        <f t="shared" si="5"/>
        <v>N</v>
      </c>
      <c r="I38" s="3"/>
    </row>
    <row r="39" spans="2:9" x14ac:dyDescent="0.25">
      <c r="B39" t="str">
        <f>Master[[#This Row],[Accession Prefix (NPGS)]]&amp;" "&amp;Master[[#This Row],[Accession Number -Assigned]]</f>
        <v>W6 59625</v>
      </c>
      <c r="C39" t="str">
        <f t="shared" si="3"/>
        <v>Donor source event</v>
      </c>
      <c r="D39" t="str">
        <f t="shared" si="4"/>
        <v>mm/dd/yyyy</v>
      </c>
      <c r="E39" s="77">
        <f>Master[[#This Row],[Received Date -received by site]]</f>
        <v>44466</v>
      </c>
      <c r="F39" s="76" t="str">
        <f>IF(Master[[#This Row],[Geography (Donor)  -Lookup Picker in GRIN]]="","",Master[[#This Row],[Geography (Donor)  -Lookup Picker in GRIN]])</f>
        <v/>
      </c>
      <c r="G39" t="str">
        <f t="shared" si="5"/>
        <v>N</v>
      </c>
      <c r="I39" s="3"/>
    </row>
    <row r="40" spans="2:9" x14ac:dyDescent="0.25">
      <c r="B40" t="str">
        <f>Master[[#This Row],[Accession Prefix (NPGS)]]&amp;" "&amp;Master[[#This Row],[Accession Number -Assigned]]</f>
        <v>W6 59626</v>
      </c>
      <c r="C40" t="str">
        <f t="shared" si="3"/>
        <v>Donor source event</v>
      </c>
      <c r="D40" t="str">
        <f t="shared" si="4"/>
        <v>mm/dd/yyyy</v>
      </c>
      <c r="E40" s="77">
        <f>Master[[#This Row],[Received Date -received by site]]</f>
        <v>44466</v>
      </c>
      <c r="F40" s="76" t="str">
        <f>IF(Master[[#This Row],[Geography (Donor)  -Lookup Picker in GRIN]]="","",Master[[#This Row],[Geography (Donor)  -Lookup Picker in GRIN]])</f>
        <v/>
      </c>
      <c r="G40" t="str">
        <f t="shared" si="5"/>
        <v>N</v>
      </c>
      <c r="I40" s="3"/>
    </row>
    <row r="41" spans="2:9" x14ac:dyDescent="0.25">
      <c r="B41" t="str">
        <f>Master[[#This Row],[Accession Prefix (NPGS)]]&amp;" "&amp;Master[[#This Row],[Accession Number -Assigned]]</f>
        <v>W6 59627</v>
      </c>
      <c r="C41" t="str">
        <f t="shared" si="3"/>
        <v>Donor source event</v>
      </c>
      <c r="D41" t="str">
        <f t="shared" si="4"/>
        <v>mm/dd/yyyy</v>
      </c>
      <c r="E41" s="77">
        <f>Master[[#This Row],[Received Date -received by site]]</f>
        <v>44466</v>
      </c>
      <c r="F41" s="76" t="str">
        <f>IF(Master[[#This Row],[Geography (Donor)  -Lookup Picker in GRIN]]="","",Master[[#This Row],[Geography (Donor)  -Lookup Picker in GRIN]])</f>
        <v/>
      </c>
      <c r="G41" t="str">
        <f t="shared" si="5"/>
        <v>N</v>
      </c>
      <c r="I41" s="3"/>
    </row>
    <row r="42" spans="2:9" x14ac:dyDescent="0.25">
      <c r="B42" t="str">
        <f>Master[[#This Row],[Accession Prefix (NPGS)]]&amp;" "&amp;Master[[#This Row],[Accession Number -Assigned]]</f>
        <v>W6 59628</v>
      </c>
      <c r="C42" t="str">
        <f t="shared" si="3"/>
        <v>Donor source event</v>
      </c>
      <c r="D42" t="str">
        <f t="shared" si="4"/>
        <v>mm/dd/yyyy</v>
      </c>
      <c r="E42" s="77">
        <f>Master[[#This Row],[Received Date -received by site]]</f>
        <v>44466</v>
      </c>
      <c r="F42" s="76" t="str">
        <f>IF(Master[[#This Row],[Geography (Donor)  -Lookup Picker in GRIN]]="","",Master[[#This Row],[Geography (Donor)  -Lookup Picker in GRIN]])</f>
        <v/>
      </c>
      <c r="G42" t="str">
        <f t="shared" si="5"/>
        <v>N</v>
      </c>
      <c r="I42" s="3"/>
    </row>
    <row r="43" spans="2:9" x14ac:dyDescent="0.25">
      <c r="B43" t="str">
        <f>Master[[#This Row],[Accession Prefix (NPGS)]]&amp;" "&amp;Master[[#This Row],[Accession Number -Assigned]]</f>
        <v>W6 59629</v>
      </c>
      <c r="C43" t="str">
        <f t="shared" si="3"/>
        <v>Donor source event</v>
      </c>
      <c r="D43" t="str">
        <f t="shared" si="4"/>
        <v>mm/dd/yyyy</v>
      </c>
      <c r="E43" s="77">
        <f>Master[[#This Row],[Received Date -received by site]]</f>
        <v>44466</v>
      </c>
      <c r="F43" s="76" t="str">
        <f>IF(Master[[#This Row],[Geography (Donor)  -Lookup Picker in GRIN]]="","",Master[[#This Row],[Geography (Donor)  -Lookup Picker in GRIN]])</f>
        <v/>
      </c>
      <c r="G43" t="str">
        <f t="shared" si="5"/>
        <v>N</v>
      </c>
      <c r="I43" s="3"/>
    </row>
    <row r="44" spans="2:9" x14ac:dyDescent="0.25">
      <c r="B44" t="str">
        <f>Master[[#This Row],[Accession Prefix (NPGS)]]&amp;" "&amp;Master[[#This Row],[Accession Number -Assigned]]</f>
        <v>W6 59630</v>
      </c>
      <c r="C44" t="str">
        <f t="shared" si="3"/>
        <v>Donor source event</v>
      </c>
      <c r="D44" t="str">
        <f t="shared" si="4"/>
        <v>mm/dd/yyyy</v>
      </c>
      <c r="E44" s="77">
        <f>Master[[#This Row],[Received Date -received by site]]</f>
        <v>44466</v>
      </c>
      <c r="F44" s="76" t="str">
        <f>IF(Master[[#This Row],[Geography (Donor)  -Lookup Picker in GRIN]]="","",Master[[#This Row],[Geography (Donor)  -Lookup Picker in GRIN]])</f>
        <v/>
      </c>
      <c r="G44" t="str">
        <f t="shared" si="5"/>
        <v>N</v>
      </c>
      <c r="I44" s="3"/>
    </row>
    <row r="45" spans="2:9" x14ac:dyDescent="0.25">
      <c r="B45" t="str">
        <f>Master[[#This Row],[Accession Prefix (NPGS)]]&amp;" "&amp;Master[[#This Row],[Accession Number -Assigned]]</f>
        <v>W6 59631</v>
      </c>
      <c r="C45" t="str">
        <f t="shared" si="3"/>
        <v>Donor source event</v>
      </c>
      <c r="D45" t="str">
        <f t="shared" si="4"/>
        <v>mm/dd/yyyy</v>
      </c>
      <c r="E45" s="77">
        <f>Master[[#This Row],[Received Date -received by site]]</f>
        <v>44466</v>
      </c>
      <c r="F45" s="76" t="str">
        <f>IF(Master[[#This Row],[Geography (Donor)  -Lookup Picker in GRIN]]="","",Master[[#This Row],[Geography (Donor)  -Lookup Picker in GRIN]])</f>
        <v/>
      </c>
      <c r="G45" t="str">
        <f t="shared" si="5"/>
        <v>N</v>
      </c>
      <c r="I45" s="3"/>
    </row>
    <row r="46" spans="2:9" x14ac:dyDescent="0.25">
      <c r="B46" t="str">
        <f>Master[[#This Row],[Accession Prefix (NPGS)]]&amp;" "&amp;Master[[#This Row],[Accession Number -Assigned]]</f>
        <v>W6 59632</v>
      </c>
      <c r="C46" t="str">
        <f t="shared" si="3"/>
        <v>Donor source event</v>
      </c>
      <c r="D46" t="str">
        <f t="shared" si="4"/>
        <v>mm/dd/yyyy</v>
      </c>
      <c r="E46" s="77">
        <f>Master[[#This Row],[Received Date -received by site]]</f>
        <v>44466</v>
      </c>
      <c r="F46" s="76" t="str">
        <f>IF(Master[[#This Row],[Geography (Donor)  -Lookup Picker in GRIN]]="","",Master[[#This Row],[Geography (Donor)  -Lookup Picker in GRIN]])</f>
        <v/>
      </c>
      <c r="G46" t="str">
        <f t="shared" si="5"/>
        <v>N</v>
      </c>
      <c r="I46" s="3"/>
    </row>
    <row r="47" spans="2:9" x14ac:dyDescent="0.25">
      <c r="B47" t="str">
        <f>Master[[#This Row],[Accession Prefix (NPGS)]]&amp;" "&amp;Master[[#This Row],[Accession Number -Assigned]]</f>
        <v>W6 59633</v>
      </c>
      <c r="C47" t="str">
        <f t="shared" si="3"/>
        <v>Donor source event</v>
      </c>
      <c r="D47" t="str">
        <f t="shared" si="4"/>
        <v>mm/dd/yyyy</v>
      </c>
      <c r="E47" s="77">
        <f>Master[[#This Row],[Received Date -received by site]]</f>
        <v>44466</v>
      </c>
      <c r="F47" s="76" t="str">
        <f>IF(Master[[#This Row],[Geography (Donor)  -Lookup Picker in GRIN]]="","",Master[[#This Row],[Geography (Donor)  -Lookup Picker in GRIN]])</f>
        <v/>
      </c>
      <c r="G47" t="str">
        <f t="shared" si="5"/>
        <v>N</v>
      </c>
      <c r="I47" s="3"/>
    </row>
    <row r="48" spans="2:9" x14ac:dyDescent="0.25">
      <c r="B48" t="str">
        <f>Master[[#This Row],[Accession Prefix (NPGS)]]&amp;" "&amp;Master[[#This Row],[Accession Number -Assigned]]</f>
        <v>W6 59634</v>
      </c>
      <c r="C48" t="str">
        <f t="shared" si="3"/>
        <v>Donor source event</v>
      </c>
      <c r="D48" t="str">
        <f t="shared" si="4"/>
        <v>mm/dd/yyyy</v>
      </c>
      <c r="E48" s="77">
        <f>Master[[#This Row],[Received Date -received by site]]</f>
        <v>44466</v>
      </c>
      <c r="F48" s="76" t="str">
        <f>IF(Master[[#This Row],[Geography (Donor)  -Lookup Picker in GRIN]]="","",Master[[#This Row],[Geography (Donor)  -Lookup Picker in GRIN]])</f>
        <v/>
      </c>
      <c r="G48" t="str">
        <f t="shared" si="5"/>
        <v>N</v>
      </c>
      <c r="I48" s="3"/>
    </row>
    <row r="49" spans="2:9" x14ac:dyDescent="0.25">
      <c r="B49" t="str">
        <f>Master[[#This Row],[Accession Prefix (NPGS)]]&amp;" "&amp;Master[[#This Row],[Accession Number -Assigned]]</f>
        <v>W6 59635</v>
      </c>
      <c r="C49" t="str">
        <f t="shared" si="3"/>
        <v>Donor source event</v>
      </c>
      <c r="D49" t="str">
        <f t="shared" si="4"/>
        <v>mm/dd/yyyy</v>
      </c>
      <c r="E49" s="77">
        <f>Master[[#This Row],[Received Date -received by site]]</f>
        <v>44466</v>
      </c>
      <c r="F49" s="76" t="str">
        <f>IF(Master[[#This Row],[Geography (Donor)  -Lookup Picker in GRIN]]="","",Master[[#This Row],[Geography (Donor)  -Lookup Picker in GRIN]])</f>
        <v/>
      </c>
      <c r="G49" t="str">
        <f t="shared" si="5"/>
        <v>N</v>
      </c>
      <c r="I49" s="3"/>
    </row>
    <row r="50" spans="2:9" x14ac:dyDescent="0.25">
      <c r="B50" t="str">
        <f>Master[[#This Row],[Accession Prefix (NPGS)]]&amp;" "&amp;Master[[#This Row],[Accession Number -Assigned]]</f>
        <v>W6 59636</v>
      </c>
      <c r="C50" t="str">
        <f t="shared" si="3"/>
        <v>Donor source event</v>
      </c>
      <c r="D50" t="str">
        <f t="shared" si="4"/>
        <v>mm/dd/yyyy</v>
      </c>
      <c r="E50" s="77">
        <f>Master[[#This Row],[Received Date -received by site]]</f>
        <v>44466</v>
      </c>
      <c r="F50" s="76" t="str">
        <f>IF(Master[[#This Row],[Geography (Donor)  -Lookup Picker in GRIN]]="","",Master[[#This Row],[Geography (Donor)  -Lookup Picker in GRIN]])</f>
        <v/>
      </c>
      <c r="G50" t="str">
        <f t="shared" si="5"/>
        <v>N</v>
      </c>
      <c r="I50" s="3"/>
    </row>
    <row r="51" spans="2:9" x14ac:dyDescent="0.25">
      <c r="B51" t="str">
        <f>Master[[#This Row],[Accession Prefix (NPGS)]]&amp;" "&amp;Master[[#This Row],[Accession Number -Assigned]]</f>
        <v>W6 59637</v>
      </c>
      <c r="C51" t="str">
        <f t="shared" si="3"/>
        <v>Donor source event</v>
      </c>
      <c r="D51" t="str">
        <f t="shared" si="4"/>
        <v>mm/dd/yyyy</v>
      </c>
      <c r="E51" s="77">
        <f>Master[[#This Row],[Received Date -received by site]]</f>
        <v>44466</v>
      </c>
      <c r="F51" s="76" t="str">
        <f>IF(Master[[#This Row],[Geography (Donor)  -Lookup Picker in GRIN]]="","",Master[[#This Row],[Geography (Donor)  -Lookup Picker in GRIN]])</f>
        <v/>
      </c>
      <c r="G51" t="str">
        <f t="shared" si="5"/>
        <v>N</v>
      </c>
      <c r="I51" s="3"/>
    </row>
    <row r="52" spans="2:9" x14ac:dyDescent="0.25">
      <c r="B52" t="str">
        <f>Master[[#This Row],[Accession Prefix (NPGS)]]&amp;" "&amp;Master[[#This Row],[Accession Number -Assigned]]</f>
        <v>W6 59638</v>
      </c>
      <c r="C52" t="str">
        <f t="shared" si="3"/>
        <v>Donor source event</v>
      </c>
      <c r="D52" t="str">
        <f t="shared" si="4"/>
        <v>mm/dd/yyyy</v>
      </c>
      <c r="E52" s="77">
        <f>Master[[#This Row],[Received Date -received by site]]</f>
        <v>44466</v>
      </c>
      <c r="F52" s="76" t="str">
        <f>IF(Master[[#This Row],[Geography (Donor)  -Lookup Picker in GRIN]]="","",Master[[#This Row],[Geography (Donor)  -Lookup Picker in GRIN]])</f>
        <v/>
      </c>
      <c r="G52" t="str">
        <f t="shared" si="5"/>
        <v>N</v>
      </c>
      <c r="I52" s="3"/>
    </row>
    <row r="53" spans="2:9" x14ac:dyDescent="0.25">
      <c r="B53" t="str">
        <f>Master[[#This Row],[Accession Prefix (NPGS)]]&amp;" "&amp;Master[[#This Row],[Accession Number -Assigned]]</f>
        <v>W6 59639</v>
      </c>
      <c r="C53" t="str">
        <f t="shared" si="3"/>
        <v>Donor source event</v>
      </c>
      <c r="D53" t="str">
        <f t="shared" si="4"/>
        <v>mm/dd/yyyy</v>
      </c>
      <c r="E53" s="77">
        <f>Master[[#This Row],[Received Date -received by site]]</f>
        <v>44466</v>
      </c>
      <c r="F53" s="76" t="str">
        <f>IF(Master[[#This Row],[Geography (Donor)  -Lookup Picker in GRIN]]="","",Master[[#This Row],[Geography (Donor)  -Lookup Picker in GRIN]])</f>
        <v/>
      </c>
      <c r="G53" t="str">
        <f t="shared" si="5"/>
        <v>N</v>
      </c>
      <c r="I53" s="3"/>
    </row>
    <row r="54" spans="2:9" x14ac:dyDescent="0.25">
      <c r="B54" t="str">
        <f>Master[[#This Row],[Accession Prefix (NPGS)]]&amp;" "&amp;Master[[#This Row],[Accession Number -Assigned]]</f>
        <v>W6 59640</v>
      </c>
      <c r="C54" t="str">
        <f t="shared" ref="C54:C85" si="6">"Donor source event"</f>
        <v>Donor source event</v>
      </c>
      <c r="D54" t="str">
        <f t="shared" ref="D54:D85" si="7">"mm/dd/yyyy"</f>
        <v>mm/dd/yyyy</v>
      </c>
      <c r="E54" s="77">
        <f>Master[[#This Row],[Received Date -received by site]]</f>
        <v>44466</v>
      </c>
      <c r="F54" s="76" t="str">
        <f>IF(Master[[#This Row],[Geography (Donor)  -Lookup Picker in GRIN]]="","",Master[[#This Row],[Geography (Donor)  -Lookup Picker in GRIN]])</f>
        <v/>
      </c>
      <c r="G54" t="str">
        <f t="shared" ref="G54:G85" si="8">"N"</f>
        <v>N</v>
      </c>
      <c r="I54" s="3"/>
    </row>
    <row r="55" spans="2:9" x14ac:dyDescent="0.25">
      <c r="B55" t="str">
        <f>Master[[#This Row],[Accession Prefix (NPGS)]]&amp;" "&amp;Master[[#This Row],[Accession Number -Assigned]]</f>
        <v>W6 59641</v>
      </c>
      <c r="C55" t="str">
        <f t="shared" si="6"/>
        <v>Donor source event</v>
      </c>
      <c r="D55" t="str">
        <f t="shared" si="7"/>
        <v>mm/dd/yyyy</v>
      </c>
      <c r="E55" s="77">
        <f>Master[[#This Row],[Received Date -received by site]]</f>
        <v>44466</v>
      </c>
      <c r="F55" s="76" t="str">
        <f>IF(Master[[#This Row],[Geography (Donor)  -Lookup Picker in GRIN]]="","",Master[[#This Row],[Geography (Donor)  -Lookup Picker in GRIN]])</f>
        <v/>
      </c>
      <c r="G55" t="str">
        <f t="shared" si="8"/>
        <v>N</v>
      </c>
      <c r="I55" s="3"/>
    </row>
    <row r="56" spans="2:9" x14ac:dyDescent="0.25">
      <c r="B56" t="str">
        <f>Master[[#This Row],[Accession Prefix (NPGS)]]&amp;" "&amp;Master[[#This Row],[Accession Number -Assigned]]</f>
        <v>W6 59642</v>
      </c>
      <c r="C56" t="str">
        <f t="shared" si="6"/>
        <v>Donor source event</v>
      </c>
      <c r="D56" t="str">
        <f t="shared" si="7"/>
        <v>mm/dd/yyyy</v>
      </c>
      <c r="E56" s="77">
        <f>Master[[#This Row],[Received Date -received by site]]</f>
        <v>44466</v>
      </c>
      <c r="F56" s="76" t="str">
        <f>IF(Master[[#This Row],[Geography (Donor)  -Lookup Picker in GRIN]]="","",Master[[#This Row],[Geography (Donor)  -Lookup Picker in GRIN]])</f>
        <v/>
      </c>
      <c r="G56" t="str">
        <f t="shared" si="8"/>
        <v>N</v>
      </c>
      <c r="I56" s="3"/>
    </row>
    <row r="57" spans="2:9" x14ac:dyDescent="0.25">
      <c r="B57" t="str">
        <f>Master[[#This Row],[Accession Prefix (NPGS)]]&amp;" "&amp;Master[[#This Row],[Accession Number -Assigned]]</f>
        <v>W6 59643</v>
      </c>
      <c r="C57" t="str">
        <f t="shared" si="6"/>
        <v>Donor source event</v>
      </c>
      <c r="D57" t="str">
        <f t="shared" si="7"/>
        <v>mm/dd/yyyy</v>
      </c>
      <c r="E57" s="77">
        <f>Master[[#This Row],[Received Date -received by site]]</f>
        <v>44466</v>
      </c>
      <c r="F57" s="76" t="str">
        <f>IF(Master[[#This Row],[Geography (Donor)  -Lookup Picker in GRIN]]="","",Master[[#This Row],[Geography (Donor)  -Lookup Picker in GRIN]])</f>
        <v/>
      </c>
      <c r="G57" t="str">
        <f t="shared" si="8"/>
        <v>N</v>
      </c>
      <c r="I57" s="3"/>
    </row>
    <row r="58" spans="2:9" x14ac:dyDescent="0.25">
      <c r="B58" t="str">
        <f>Master[[#This Row],[Accession Prefix (NPGS)]]&amp;" "&amp;Master[[#This Row],[Accession Number -Assigned]]</f>
        <v>W6 59644</v>
      </c>
      <c r="C58" t="str">
        <f t="shared" si="6"/>
        <v>Donor source event</v>
      </c>
      <c r="D58" t="str">
        <f t="shared" si="7"/>
        <v>mm/dd/yyyy</v>
      </c>
      <c r="E58" s="77">
        <f>Master[[#This Row],[Received Date -received by site]]</f>
        <v>44466</v>
      </c>
      <c r="F58" s="76" t="str">
        <f>IF(Master[[#This Row],[Geography (Donor)  -Lookup Picker in GRIN]]="","",Master[[#This Row],[Geography (Donor)  -Lookup Picker in GRIN]])</f>
        <v/>
      </c>
      <c r="G58" t="str">
        <f t="shared" si="8"/>
        <v>N</v>
      </c>
      <c r="I58" s="3"/>
    </row>
    <row r="59" spans="2:9" x14ac:dyDescent="0.25">
      <c r="B59" t="str">
        <f>Master[[#This Row],[Accession Prefix (NPGS)]]&amp;" "&amp;Master[[#This Row],[Accession Number -Assigned]]</f>
        <v>W6 59645</v>
      </c>
      <c r="C59" t="str">
        <f t="shared" si="6"/>
        <v>Donor source event</v>
      </c>
      <c r="D59" t="str">
        <f t="shared" si="7"/>
        <v>mm/dd/yyyy</v>
      </c>
      <c r="E59" s="77">
        <f>Master[[#This Row],[Received Date -received by site]]</f>
        <v>44466</v>
      </c>
      <c r="F59" s="76" t="str">
        <f>IF(Master[[#This Row],[Geography (Donor)  -Lookup Picker in GRIN]]="","",Master[[#This Row],[Geography (Donor)  -Lookup Picker in GRIN]])</f>
        <v/>
      </c>
      <c r="G59" t="str">
        <f t="shared" si="8"/>
        <v>N</v>
      </c>
      <c r="I59" s="3"/>
    </row>
    <row r="60" spans="2:9" x14ac:dyDescent="0.25">
      <c r="B60" t="str">
        <f>Master[[#This Row],[Accession Prefix (NPGS)]]&amp;" "&amp;Master[[#This Row],[Accession Number -Assigned]]</f>
        <v>W6 59646</v>
      </c>
      <c r="C60" t="str">
        <f t="shared" si="6"/>
        <v>Donor source event</v>
      </c>
      <c r="D60" t="str">
        <f t="shared" si="7"/>
        <v>mm/dd/yyyy</v>
      </c>
      <c r="E60" s="77">
        <f>Master[[#This Row],[Received Date -received by site]]</f>
        <v>44466</v>
      </c>
      <c r="F60" s="76" t="str">
        <f>IF(Master[[#This Row],[Geography (Donor)  -Lookup Picker in GRIN]]="","",Master[[#This Row],[Geography (Donor)  -Lookup Picker in GRIN]])</f>
        <v/>
      </c>
      <c r="G60" t="str">
        <f t="shared" si="8"/>
        <v>N</v>
      </c>
      <c r="I60" s="3"/>
    </row>
    <row r="61" spans="2:9" x14ac:dyDescent="0.25">
      <c r="B61" t="str">
        <f>Master[[#This Row],[Accession Prefix (NPGS)]]&amp;" "&amp;Master[[#This Row],[Accession Number -Assigned]]</f>
        <v>W6 59647</v>
      </c>
      <c r="C61" t="str">
        <f t="shared" si="6"/>
        <v>Donor source event</v>
      </c>
      <c r="D61" t="str">
        <f t="shared" si="7"/>
        <v>mm/dd/yyyy</v>
      </c>
      <c r="E61" s="77">
        <f>Master[[#This Row],[Received Date -received by site]]</f>
        <v>44466</v>
      </c>
      <c r="F61" s="76" t="str">
        <f>IF(Master[[#This Row],[Geography (Donor)  -Lookup Picker in GRIN]]="","",Master[[#This Row],[Geography (Donor)  -Lookup Picker in GRIN]])</f>
        <v/>
      </c>
      <c r="G61" t="str">
        <f t="shared" si="8"/>
        <v>N</v>
      </c>
      <c r="I61" s="3"/>
    </row>
    <row r="62" spans="2:9" x14ac:dyDescent="0.25">
      <c r="B62" t="str">
        <f>Master[[#This Row],[Accession Prefix (NPGS)]]&amp;" "&amp;Master[[#This Row],[Accession Number -Assigned]]</f>
        <v>W6 59648</v>
      </c>
      <c r="C62" t="str">
        <f t="shared" si="6"/>
        <v>Donor source event</v>
      </c>
      <c r="D62" t="str">
        <f t="shared" si="7"/>
        <v>mm/dd/yyyy</v>
      </c>
      <c r="E62" s="77">
        <f>Master[[#This Row],[Received Date -received by site]]</f>
        <v>44466</v>
      </c>
      <c r="F62" s="76" t="str">
        <f>IF(Master[[#This Row],[Geography (Donor)  -Lookup Picker in GRIN]]="","",Master[[#This Row],[Geography (Donor)  -Lookup Picker in GRIN]])</f>
        <v/>
      </c>
      <c r="G62" t="str">
        <f t="shared" si="8"/>
        <v>N</v>
      </c>
      <c r="I62" s="3"/>
    </row>
    <row r="63" spans="2:9" x14ac:dyDescent="0.25">
      <c r="B63" t="str">
        <f>Master[[#This Row],[Accession Prefix (NPGS)]]&amp;" "&amp;Master[[#This Row],[Accession Number -Assigned]]</f>
        <v>W6 59649</v>
      </c>
      <c r="C63" t="str">
        <f t="shared" si="6"/>
        <v>Donor source event</v>
      </c>
      <c r="D63" t="str">
        <f t="shared" si="7"/>
        <v>mm/dd/yyyy</v>
      </c>
      <c r="E63" s="77">
        <f>Master[[#This Row],[Received Date -received by site]]</f>
        <v>44466</v>
      </c>
      <c r="F63" s="76" t="str">
        <f>IF(Master[[#This Row],[Geography (Donor)  -Lookup Picker in GRIN]]="","",Master[[#This Row],[Geography (Donor)  -Lookup Picker in GRIN]])</f>
        <v/>
      </c>
      <c r="G63" t="str">
        <f t="shared" si="8"/>
        <v>N</v>
      </c>
      <c r="I63" s="3"/>
    </row>
    <row r="64" spans="2:9" x14ac:dyDescent="0.25">
      <c r="B64" t="str">
        <f>Master[[#This Row],[Accession Prefix (NPGS)]]&amp;" "&amp;Master[[#This Row],[Accession Number -Assigned]]</f>
        <v>W6 59650</v>
      </c>
      <c r="C64" t="str">
        <f t="shared" si="6"/>
        <v>Donor source event</v>
      </c>
      <c r="D64" t="str">
        <f t="shared" si="7"/>
        <v>mm/dd/yyyy</v>
      </c>
      <c r="E64" s="77">
        <f>Master[[#This Row],[Received Date -received by site]]</f>
        <v>44466</v>
      </c>
      <c r="F64" s="76" t="str">
        <f>IF(Master[[#This Row],[Geography (Donor)  -Lookup Picker in GRIN]]="","",Master[[#This Row],[Geography (Donor)  -Lookup Picker in GRIN]])</f>
        <v/>
      </c>
      <c r="G64" t="str">
        <f t="shared" si="8"/>
        <v>N</v>
      </c>
      <c r="I64" s="3"/>
    </row>
    <row r="65" spans="2:9" x14ac:dyDescent="0.25">
      <c r="B65" t="str">
        <f>Master[[#This Row],[Accession Prefix (NPGS)]]&amp;" "&amp;Master[[#This Row],[Accession Number -Assigned]]</f>
        <v>W6 59651</v>
      </c>
      <c r="C65" t="str">
        <f t="shared" si="6"/>
        <v>Donor source event</v>
      </c>
      <c r="D65" t="str">
        <f t="shared" si="7"/>
        <v>mm/dd/yyyy</v>
      </c>
      <c r="E65" s="77">
        <f>Master[[#This Row],[Received Date -received by site]]</f>
        <v>44466</v>
      </c>
      <c r="F65" s="76" t="str">
        <f>IF(Master[[#This Row],[Geography (Donor)  -Lookup Picker in GRIN]]="","",Master[[#This Row],[Geography (Donor)  -Lookup Picker in GRIN]])</f>
        <v/>
      </c>
      <c r="G65" t="str">
        <f t="shared" si="8"/>
        <v>N</v>
      </c>
      <c r="I65" s="3"/>
    </row>
    <row r="66" spans="2:9" x14ac:dyDescent="0.25">
      <c r="B66" t="str">
        <f>Master[[#This Row],[Accession Prefix (NPGS)]]&amp;" "&amp;Master[[#This Row],[Accession Number -Assigned]]</f>
        <v>W6 59652</v>
      </c>
      <c r="C66" t="str">
        <f t="shared" si="6"/>
        <v>Donor source event</v>
      </c>
      <c r="D66" t="str">
        <f t="shared" si="7"/>
        <v>mm/dd/yyyy</v>
      </c>
      <c r="E66" s="77">
        <f>Master[[#This Row],[Received Date -received by site]]</f>
        <v>44466</v>
      </c>
      <c r="F66" s="76" t="str">
        <f>IF(Master[[#This Row],[Geography (Donor)  -Lookup Picker in GRIN]]="","",Master[[#This Row],[Geography (Donor)  -Lookup Picker in GRIN]])</f>
        <v/>
      </c>
      <c r="G66" t="str">
        <f t="shared" si="8"/>
        <v>N</v>
      </c>
      <c r="I66" s="3"/>
    </row>
    <row r="67" spans="2:9" x14ac:dyDescent="0.25">
      <c r="B67" t="str">
        <f>Master[[#This Row],[Accession Prefix (NPGS)]]&amp;" "&amp;Master[[#This Row],[Accession Number -Assigned]]</f>
        <v>W6 59653</v>
      </c>
      <c r="C67" t="str">
        <f t="shared" si="6"/>
        <v>Donor source event</v>
      </c>
      <c r="D67" t="str">
        <f t="shared" si="7"/>
        <v>mm/dd/yyyy</v>
      </c>
      <c r="E67" s="77">
        <f>Master[[#This Row],[Received Date -received by site]]</f>
        <v>44466</v>
      </c>
      <c r="F67" s="76" t="str">
        <f>IF(Master[[#This Row],[Geography (Donor)  -Lookup Picker in GRIN]]="","",Master[[#This Row],[Geography (Donor)  -Lookup Picker in GRIN]])</f>
        <v/>
      </c>
      <c r="G67" t="str">
        <f t="shared" si="8"/>
        <v>N</v>
      </c>
      <c r="I67" s="3"/>
    </row>
    <row r="68" spans="2:9" x14ac:dyDescent="0.25">
      <c r="B68" t="str">
        <f>Master[[#This Row],[Accession Prefix (NPGS)]]&amp;" "&amp;Master[[#This Row],[Accession Number -Assigned]]</f>
        <v>W6 59654</v>
      </c>
      <c r="C68" t="str">
        <f t="shared" si="6"/>
        <v>Donor source event</v>
      </c>
      <c r="D68" t="str">
        <f t="shared" si="7"/>
        <v>mm/dd/yyyy</v>
      </c>
      <c r="E68" s="77">
        <f>Master[[#This Row],[Received Date -received by site]]</f>
        <v>44466</v>
      </c>
      <c r="F68" s="76" t="str">
        <f>IF(Master[[#This Row],[Geography (Donor)  -Lookup Picker in GRIN]]="","",Master[[#This Row],[Geography (Donor)  -Lookup Picker in GRIN]])</f>
        <v/>
      </c>
      <c r="G68" t="str">
        <f t="shared" si="8"/>
        <v>N</v>
      </c>
      <c r="I68" s="3"/>
    </row>
    <row r="69" spans="2:9" x14ac:dyDescent="0.25">
      <c r="B69" t="str">
        <f>Master[[#This Row],[Accession Prefix (NPGS)]]&amp;" "&amp;Master[[#This Row],[Accession Number -Assigned]]</f>
        <v>W6 59655</v>
      </c>
      <c r="C69" t="str">
        <f t="shared" si="6"/>
        <v>Donor source event</v>
      </c>
      <c r="D69" t="str">
        <f t="shared" si="7"/>
        <v>mm/dd/yyyy</v>
      </c>
      <c r="E69" s="77">
        <f>Master[[#This Row],[Received Date -received by site]]</f>
        <v>44466</v>
      </c>
      <c r="F69" s="76" t="str">
        <f>IF(Master[[#This Row],[Geography (Donor)  -Lookup Picker in GRIN]]="","",Master[[#This Row],[Geography (Donor)  -Lookup Picker in GRIN]])</f>
        <v/>
      </c>
      <c r="G69" t="str">
        <f t="shared" si="8"/>
        <v>N</v>
      </c>
      <c r="I69" s="3"/>
    </row>
    <row r="70" spans="2:9" x14ac:dyDescent="0.25">
      <c r="B70" t="str">
        <f>Master[[#This Row],[Accession Prefix (NPGS)]]&amp;" "&amp;Master[[#This Row],[Accession Number -Assigned]]</f>
        <v>W6 59656</v>
      </c>
      <c r="C70" t="str">
        <f t="shared" si="6"/>
        <v>Donor source event</v>
      </c>
      <c r="D70" t="str">
        <f t="shared" si="7"/>
        <v>mm/dd/yyyy</v>
      </c>
      <c r="E70" s="77">
        <f>Master[[#This Row],[Received Date -received by site]]</f>
        <v>44466</v>
      </c>
      <c r="F70" s="76" t="str">
        <f>IF(Master[[#This Row],[Geography (Donor)  -Lookup Picker in GRIN]]="","",Master[[#This Row],[Geography (Donor)  -Lookup Picker in GRIN]])</f>
        <v/>
      </c>
      <c r="G70" t="str">
        <f t="shared" si="8"/>
        <v>N</v>
      </c>
      <c r="I70" s="3"/>
    </row>
    <row r="71" spans="2:9" x14ac:dyDescent="0.25">
      <c r="B71" t="str">
        <f>Master[[#This Row],[Accession Prefix (NPGS)]]&amp;" "&amp;Master[[#This Row],[Accession Number -Assigned]]</f>
        <v>W6 59657</v>
      </c>
      <c r="C71" t="str">
        <f t="shared" si="6"/>
        <v>Donor source event</v>
      </c>
      <c r="D71" t="str">
        <f t="shared" si="7"/>
        <v>mm/dd/yyyy</v>
      </c>
      <c r="E71" s="77">
        <f>Master[[#This Row],[Received Date -received by site]]</f>
        <v>44466</v>
      </c>
      <c r="F71" s="76" t="str">
        <f>IF(Master[[#This Row],[Geography (Donor)  -Lookup Picker in GRIN]]="","",Master[[#This Row],[Geography (Donor)  -Lookup Picker in GRIN]])</f>
        <v/>
      </c>
      <c r="G71" t="str">
        <f t="shared" si="8"/>
        <v>N</v>
      </c>
      <c r="I71" s="3"/>
    </row>
    <row r="72" spans="2:9" x14ac:dyDescent="0.25">
      <c r="B72" t="str">
        <f>Master[[#This Row],[Accession Prefix (NPGS)]]&amp;" "&amp;Master[[#This Row],[Accession Number -Assigned]]</f>
        <v>W6 59658</v>
      </c>
      <c r="C72" t="str">
        <f t="shared" si="6"/>
        <v>Donor source event</v>
      </c>
      <c r="D72" t="str">
        <f t="shared" si="7"/>
        <v>mm/dd/yyyy</v>
      </c>
      <c r="E72" s="77">
        <f>Master[[#This Row],[Received Date -received by site]]</f>
        <v>44466</v>
      </c>
      <c r="F72" s="76" t="str">
        <f>IF(Master[[#This Row],[Geography (Donor)  -Lookup Picker in GRIN]]="","",Master[[#This Row],[Geography (Donor)  -Lookup Picker in GRIN]])</f>
        <v/>
      </c>
      <c r="G72" t="str">
        <f t="shared" si="8"/>
        <v>N</v>
      </c>
      <c r="I72" s="3"/>
    </row>
    <row r="73" spans="2:9" x14ac:dyDescent="0.25">
      <c r="B73" t="str">
        <f>Master[[#This Row],[Accession Prefix (NPGS)]]&amp;" "&amp;Master[[#This Row],[Accession Number -Assigned]]</f>
        <v>W6 59659</v>
      </c>
      <c r="C73" t="str">
        <f t="shared" si="6"/>
        <v>Donor source event</v>
      </c>
      <c r="D73" t="str">
        <f t="shared" si="7"/>
        <v>mm/dd/yyyy</v>
      </c>
      <c r="E73" s="77">
        <f>Master[[#This Row],[Received Date -received by site]]</f>
        <v>44466</v>
      </c>
      <c r="F73" s="76" t="str">
        <f>IF(Master[[#This Row],[Geography (Donor)  -Lookup Picker in GRIN]]="","",Master[[#This Row],[Geography (Donor)  -Lookup Picker in GRIN]])</f>
        <v/>
      </c>
      <c r="G73" t="str">
        <f t="shared" si="8"/>
        <v>N</v>
      </c>
      <c r="I73" s="3"/>
    </row>
    <row r="74" spans="2:9" x14ac:dyDescent="0.25">
      <c r="B74" t="str">
        <f>Master[[#This Row],[Accession Prefix (NPGS)]]&amp;" "&amp;Master[[#This Row],[Accession Number -Assigned]]</f>
        <v>W6 59660</v>
      </c>
      <c r="C74" t="str">
        <f t="shared" si="6"/>
        <v>Donor source event</v>
      </c>
      <c r="D74" t="str">
        <f t="shared" si="7"/>
        <v>mm/dd/yyyy</v>
      </c>
      <c r="E74" s="77">
        <f>Master[[#This Row],[Received Date -received by site]]</f>
        <v>44466</v>
      </c>
      <c r="F74" s="76" t="str">
        <f>IF(Master[[#This Row],[Geography (Donor)  -Lookup Picker in GRIN]]="","",Master[[#This Row],[Geography (Donor)  -Lookup Picker in GRIN]])</f>
        <v/>
      </c>
      <c r="G74" t="str">
        <f t="shared" si="8"/>
        <v>N</v>
      </c>
      <c r="I74" s="3"/>
    </row>
    <row r="75" spans="2:9" x14ac:dyDescent="0.25">
      <c r="B75" t="str">
        <f>Master[[#This Row],[Accession Prefix (NPGS)]]&amp;" "&amp;Master[[#This Row],[Accession Number -Assigned]]</f>
        <v>W6 59661</v>
      </c>
      <c r="C75" t="str">
        <f t="shared" si="6"/>
        <v>Donor source event</v>
      </c>
      <c r="D75" t="str">
        <f t="shared" si="7"/>
        <v>mm/dd/yyyy</v>
      </c>
      <c r="E75" s="77">
        <f>Master[[#This Row],[Received Date -received by site]]</f>
        <v>44466</v>
      </c>
      <c r="F75" s="76" t="str">
        <f>IF(Master[[#This Row],[Geography (Donor)  -Lookup Picker in GRIN]]="","",Master[[#This Row],[Geography (Donor)  -Lookup Picker in GRIN]])</f>
        <v/>
      </c>
      <c r="G75" t="str">
        <f t="shared" si="8"/>
        <v>N</v>
      </c>
      <c r="I75" s="3"/>
    </row>
    <row r="76" spans="2:9" x14ac:dyDescent="0.25">
      <c r="B76" t="str">
        <f>Master[[#This Row],[Accession Prefix (NPGS)]]&amp;" "&amp;Master[[#This Row],[Accession Number -Assigned]]</f>
        <v>W6 59662</v>
      </c>
      <c r="C76" t="str">
        <f t="shared" si="6"/>
        <v>Donor source event</v>
      </c>
      <c r="D76" t="str">
        <f t="shared" si="7"/>
        <v>mm/dd/yyyy</v>
      </c>
      <c r="E76" s="77">
        <f>Master[[#This Row],[Received Date -received by site]]</f>
        <v>44466</v>
      </c>
      <c r="F76" s="76" t="str">
        <f>IF(Master[[#This Row],[Geography (Donor)  -Lookup Picker in GRIN]]="","",Master[[#This Row],[Geography (Donor)  -Lookup Picker in GRIN]])</f>
        <v/>
      </c>
      <c r="G76" t="str">
        <f t="shared" si="8"/>
        <v>N</v>
      </c>
      <c r="I76" s="3"/>
    </row>
    <row r="77" spans="2:9" x14ac:dyDescent="0.25">
      <c r="B77" t="str">
        <f>Master[[#This Row],[Accession Prefix (NPGS)]]&amp;" "&amp;Master[[#This Row],[Accession Number -Assigned]]</f>
        <v>W6 59663</v>
      </c>
      <c r="C77" t="str">
        <f t="shared" si="6"/>
        <v>Donor source event</v>
      </c>
      <c r="D77" t="str">
        <f t="shared" si="7"/>
        <v>mm/dd/yyyy</v>
      </c>
      <c r="E77" s="77">
        <f>Master[[#This Row],[Received Date -received by site]]</f>
        <v>44466</v>
      </c>
      <c r="F77" s="76" t="str">
        <f>IF(Master[[#This Row],[Geography (Donor)  -Lookup Picker in GRIN]]="","",Master[[#This Row],[Geography (Donor)  -Lookup Picker in GRIN]])</f>
        <v/>
      </c>
      <c r="G77" t="str">
        <f t="shared" si="8"/>
        <v>N</v>
      </c>
      <c r="I77" s="3"/>
    </row>
    <row r="78" spans="2:9" x14ac:dyDescent="0.25">
      <c r="B78" t="str">
        <f>Master[[#This Row],[Accession Prefix (NPGS)]]&amp;" "&amp;Master[[#This Row],[Accession Number -Assigned]]</f>
        <v>W6 59664</v>
      </c>
      <c r="C78" t="str">
        <f t="shared" si="6"/>
        <v>Donor source event</v>
      </c>
      <c r="D78" t="str">
        <f t="shared" si="7"/>
        <v>mm/dd/yyyy</v>
      </c>
      <c r="E78" s="77">
        <f>Master[[#This Row],[Received Date -received by site]]</f>
        <v>44466</v>
      </c>
      <c r="F78" s="76" t="str">
        <f>IF(Master[[#This Row],[Geography (Donor)  -Lookup Picker in GRIN]]="","",Master[[#This Row],[Geography (Donor)  -Lookup Picker in GRIN]])</f>
        <v/>
      </c>
      <c r="G78" t="str">
        <f t="shared" si="8"/>
        <v>N</v>
      </c>
      <c r="I78" s="3"/>
    </row>
    <row r="79" spans="2:9" x14ac:dyDescent="0.25">
      <c r="B79" t="str">
        <f>Master[[#This Row],[Accession Prefix (NPGS)]]&amp;" "&amp;Master[[#This Row],[Accession Number -Assigned]]</f>
        <v>W6 59665</v>
      </c>
      <c r="C79" t="str">
        <f t="shared" si="6"/>
        <v>Donor source event</v>
      </c>
      <c r="D79" t="str">
        <f t="shared" si="7"/>
        <v>mm/dd/yyyy</v>
      </c>
      <c r="E79" s="77">
        <f>Master[[#This Row],[Received Date -received by site]]</f>
        <v>44466</v>
      </c>
      <c r="F79" s="76" t="str">
        <f>IF(Master[[#This Row],[Geography (Donor)  -Lookup Picker in GRIN]]="","",Master[[#This Row],[Geography (Donor)  -Lookup Picker in GRIN]])</f>
        <v/>
      </c>
      <c r="G79" t="str">
        <f t="shared" si="8"/>
        <v>N</v>
      </c>
      <c r="I79" s="3"/>
    </row>
    <row r="80" spans="2:9" x14ac:dyDescent="0.25">
      <c r="B80" t="str">
        <f>Master[[#This Row],[Accession Prefix (NPGS)]]&amp;" "&amp;Master[[#This Row],[Accession Number -Assigned]]</f>
        <v>W6 59666</v>
      </c>
      <c r="C80" t="str">
        <f t="shared" si="6"/>
        <v>Donor source event</v>
      </c>
      <c r="D80" t="str">
        <f t="shared" si="7"/>
        <v>mm/dd/yyyy</v>
      </c>
      <c r="E80" s="77">
        <f>Master[[#This Row],[Received Date -received by site]]</f>
        <v>44466</v>
      </c>
      <c r="F80" s="76" t="str">
        <f>IF(Master[[#This Row],[Geography (Donor)  -Lookup Picker in GRIN]]="","",Master[[#This Row],[Geography (Donor)  -Lookup Picker in GRIN]])</f>
        <v/>
      </c>
      <c r="G80" t="str">
        <f t="shared" si="8"/>
        <v>N</v>
      </c>
      <c r="I80" s="3"/>
    </row>
    <row r="81" spans="2:9" x14ac:dyDescent="0.25">
      <c r="B81" t="str">
        <f>Master[[#This Row],[Accession Prefix (NPGS)]]&amp;" "&amp;Master[[#This Row],[Accession Number -Assigned]]</f>
        <v>W6 59667</v>
      </c>
      <c r="C81" t="str">
        <f t="shared" si="6"/>
        <v>Donor source event</v>
      </c>
      <c r="D81" t="str">
        <f t="shared" si="7"/>
        <v>mm/dd/yyyy</v>
      </c>
      <c r="E81" s="77">
        <f>Master[[#This Row],[Received Date -received by site]]</f>
        <v>44466</v>
      </c>
      <c r="F81" s="76" t="str">
        <f>IF(Master[[#This Row],[Geography (Donor)  -Lookup Picker in GRIN]]="","",Master[[#This Row],[Geography (Donor)  -Lookup Picker in GRIN]])</f>
        <v/>
      </c>
      <c r="G81" t="str">
        <f t="shared" si="8"/>
        <v>N</v>
      </c>
      <c r="I81" s="3"/>
    </row>
    <row r="82" spans="2:9" x14ac:dyDescent="0.25">
      <c r="B82" t="str">
        <f>Master[[#This Row],[Accession Prefix (NPGS)]]&amp;" "&amp;Master[[#This Row],[Accession Number -Assigned]]</f>
        <v>W6 59668</v>
      </c>
      <c r="C82" t="str">
        <f t="shared" si="6"/>
        <v>Donor source event</v>
      </c>
      <c r="D82" t="str">
        <f t="shared" si="7"/>
        <v>mm/dd/yyyy</v>
      </c>
      <c r="E82" s="77">
        <f>Master[[#This Row],[Received Date -received by site]]</f>
        <v>44466</v>
      </c>
      <c r="F82" s="76" t="str">
        <f>IF(Master[[#This Row],[Geography (Donor)  -Lookup Picker in GRIN]]="","",Master[[#This Row],[Geography (Donor)  -Lookup Picker in GRIN]])</f>
        <v/>
      </c>
      <c r="G82" t="str">
        <f t="shared" si="8"/>
        <v>N</v>
      </c>
      <c r="I82" s="3"/>
    </row>
    <row r="83" spans="2:9" x14ac:dyDescent="0.25">
      <c r="B83" t="str">
        <f>Master[[#This Row],[Accession Prefix (NPGS)]]&amp;" "&amp;Master[[#This Row],[Accession Number -Assigned]]</f>
        <v>W6 59669</v>
      </c>
      <c r="C83" t="str">
        <f t="shared" si="6"/>
        <v>Donor source event</v>
      </c>
      <c r="D83" t="str">
        <f t="shared" si="7"/>
        <v>mm/dd/yyyy</v>
      </c>
      <c r="E83" s="77">
        <f>Master[[#This Row],[Received Date -received by site]]</f>
        <v>44466</v>
      </c>
      <c r="F83" s="76" t="str">
        <f>IF(Master[[#This Row],[Geography (Donor)  -Lookup Picker in GRIN]]="","",Master[[#This Row],[Geography (Donor)  -Lookup Picker in GRIN]])</f>
        <v/>
      </c>
      <c r="G83" t="str">
        <f t="shared" si="8"/>
        <v>N</v>
      </c>
      <c r="I83" s="3"/>
    </row>
    <row r="84" spans="2:9" x14ac:dyDescent="0.25">
      <c r="B84" t="str">
        <f>Master[[#This Row],[Accession Prefix (NPGS)]]&amp;" "&amp;Master[[#This Row],[Accession Number -Assigned]]</f>
        <v>W6 59670</v>
      </c>
      <c r="C84" t="str">
        <f t="shared" si="6"/>
        <v>Donor source event</v>
      </c>
      <c r="D84" t="str">
        <f t="shared" si="7"/>
        <v>mm/dd/yyyy</v>
      </c>
      <c r="E84" s="77">
        <f>Master[[#This Row],[Received Date -received by site]]</f>
        <v>44466</v>
      </c>
      <c r="F84" s="76" t="str">
        <f>IF(Master[[#This Row],[Geography (Donor)  -Lookup Picker in GRIN]]="","",Master[[#This Row],[Geography (Donor)  -Lookup Picker in GRIN]])</f>
        <v/>
      </c>
      <c r="G84" t="str">
        <f t="shared" si="8"/>
        <v>N</v>
      </c>
      <c r="I84" s="3"/>
    </row>
    <row r="85" spans="2:9" x14ac:dyDescent="0.25">
      <c r="B85" t="str">
        <f>Master[[#This Row],[Accession Prefix (NPGS)]]&amp;" "&amp;Master[[#This Row],[Accession Number -Assigned]]</f>
        <v>W6 59671</v>
      </c>
      <c r="C85" t="str">
        <f t="shared" si="6"/>
        <v>Donor source event</v>
      </c>
      <c r="D85" t="str">
        <f t="shared" si="7"/>
        <v>mm/dd/yyyy</v>
      </c>
      <c r="E85" s="77">
        <f>Master[[#This Row],[Received Date -received by site]]</f>
        <v>44466</v>
      </c>
      <c r="F85" s="76" t="str">
        <f>IF(Master[[#This Row],[Geography (Donor)  -Lookup Picker in GRIN]]="","",Master[[#This Row],[Geography (Donor)  -Lookup Picker in GRIN]])</f>
        <v/>
      </c>
      <c r="G85" t="str">
        <f t="shared" si="8"/>
        <v>N</v>
      </c>
      <c r="I85" s="3"/>
    </row>
    <row r="86" spans="2:9" x14ac:dyDescent="0.25">
      <c r="B86" t="str">
        <f>Master[[#This Row],[Accession Prefix (NPGS)]]&amp;" "&amp;Master[[#This Row],[Accession Number -Assigned]]</f>
        <v>W6 59672</v>
      </c>
      <c r="C86" t="str">
        <f t="shared" ref="C86:C117" si="9">"Donor source event"</f>
        <v>Donor source event</v>
      </c>
      <c r="D86" t="str">
        <f t="shared" ref="D86:D117" si="10">"mm/dd/yyyy"</f>
        <v>mm/dd/yyyy</v>
      </c>
      <c r="E86" s="77">
        <f>Master[[#This Row],[Received Date -received by site]]</f>
        <v>44466</v>
      </c>
      <c r="F86" s="76" t="str">
        <f>IF(Master[[#This Row],[Geography (Donor)  -Lookup Picker in GRIN]]="","",Master[[#This Row],[Geography (Donor)  -Lookup Picker in GRIN]])</f>
        <v/>
      </c>
      <c r="G86" t="str">
        <f t="shared" ref="G86:G117" si="11">"N"</f>
        <v>N</v>
      </c>
      <c r="I86" s="3"/>
    </row>
    <row r="87" spans="2:9" x14ac:dyDescent="0.25">
      <c r="B87" t="str">
        <f>Master[[#This Row],[Accession Prefix (NPGS)]]&amp;" "&amp;Master[[#This Row],[Accession Number -Assigned]]</f>
        <v>W6 59673</v>
      </c>
      <c r="C87" t="str">
        <f t="shared" si="9"/>
        <v>Donor source event</v>
      </c>
      <c r="D87" t="str">
        <f t="shared" si="10"/>
        <v>mm/dd/yyyy</v>
      </c>
      <c r="E87" s="77">
        <f>Master[[#This Row],[Received Date -received by site]]</f>
        <v>44466</v>
      </c>
      <c r="F87" s="76" t="str">
        <f>IF(Master[[#This Row],[Geography (Donor)  -Lookup Picker in GRIN]]="","",Master[[#This Row],[Geography (Donor)  -Lookup Picker in GRIN]])</f>
        <v/>
      </c>
      <c r="G87" t="str">
        <f t="shared" si="11"/>
        <v>N</v>
      </c>
      <c r="I87" s="3"/>
    </row>
    <row r="88" spans="2:9" x14ac:dyDescent="0.25">
      <c r="B88" t="str">
        <f>Master[[#This Row],[Accession Prefix (NPGS)]]&amp;" "&amp;Master[[#This Row],[Accession Number -Assigned]]</f>
        <v>W6 59674</v>
      </c>
      <c r="C88" t="str">
        <f t="shared" si="9"/>
        <v>Donor source event</v>
      </c>
      <c r="D88" t="str">
        <f t="shared" si="10"/>
        <v>mm/dd/yyyy</v>
      </c>
      <c r="E88" s="77">
        <f>Master[[#This Row],[Received Date -received by site]]</f>
        <v>44466</v>
      </c>
      <c r="F88" s="76" t="str">
        <f>IF(Master[[#This Row],[Geography (Donor)  -Lookup Picker in GRIN]]="","",Master[[#This Row],[Geography (Donor)  -Lookup Picker in GRIN]])</f>
        <v/>
      </c>
      <c r="G88" t="str">
        <f t="shared" si="11"/>
        <v>N</v>
      </c>
      <c r="I88" s="3"/>
    </row>
    <row r="89" spans="2:9" x14ac:dyDescent="0.25">
      <c r="B89" t="str">
        <f>Master[[#This Row],[Accession Prefix (NPGS)]]&amp;" "&amp;Master[[#This Row],[Accession Number -Assigned]]</f>
        <v>W6 59675</v>
      </c>
      <c r="C89" t="str">
        <f t="shared" si="9"/>
        <v>Donor source event</v>
      </c>
      <c r="D89" t="str">
        <f t="shared" si="10"/>
        <v>mm/dd/yyyy</v>
      </c>
      <c r="E89" s="77">
        <f>Master[[#This Row],[Received Date -received by site]]</f>
        <v>44466</v>
      </c>
      <c r="F89" s="76" t="str">
        <f>IF(Master[[#This Row],[Geography (Donor)  -Lookup Picker in GRIN]]="","",Master[[#This Row],[Geography (Donor)  -Lookup Picker in GRIN]])</f>
        <v/>
      </c>
      <c r="G89" t="str">
        <f t="shared" si="11"/>
        <v>N</v>
      </c>
      <c r="I89" s="3"/>
    </row>
    <row r="90" spans="2:9" x14ac:dyDescent="0.25">
      <c r="B90" t="str">
        <f>Master[[#This Row],[Accession Prefix (NPGS)]]&amp;" "&amp;Master[[#This Row],[Accession Number -Assigned]]</f>
        <v>W6 59676</v>
      </c>
      <c r="C90" t="str">
        <f t="shared" si="9"/>
        <v>Donor source event</v>
      </c>
      <c r="D90" t="str">
        <f t="shared" si="10"/>
        <v>mm/dd/yyyy</v>
      </c>
      <c r="E90" s="77">
        <f>Master[[#This Row],[Received Date -received by site]]</f>
        <v>44466</v>
      </c>
      <c r="F90" s="76" t="str">
        <f>IF(Master[[#This Row],[Geography (Donor)  -Lookup Picker in GRIN]]="","",Master[[#This Row],[Geography (Donor)  -Lookup Picker in GRIN]])</f>
        <v/>
      </c>
      <c r="G90" t="str">
        <f t="shared" si="11"/>
        <v>N</v>
      </c>
      <c r="I90" s="3"/>
    </row>
    <row r="91" spans="2:9" x14ac:dyDescent="0.25">
      <c r="B91" t="str">
        <f>Master[[#This Row],[Accession Prefix (NPGS)]]&amp;" "&amp;Master[[#This Row],[Accession Number -Assigned]]</f>
        <v>W6 59677</v>
      </c>
      <c r="C91" t="str">
        <f t="shared" si="9"/>
        <v>Donor source event</v>
      </c>
      <c r="D91" t="str">
        <f t="shared" si="10"/>
        <v>mm/dd/yyyy</v>
      </c>
      <c r="E91" s="77">
        <f>Master[[#This Row],[Received Date -received by site]]</f>
        <v>44466</v>
      </c>
      <c r="F91" s="76" t="str">
        <f>IF(Master[[#This Row],[Geography (Donor)  -Lookup Picker in GRIN]]="","",Master[[#This Row],[Geography (Donor)  -Lookup Picker in GRIN]])</f>
        <v/>
      </c>
      <c r="G91" t="str">
        <f t="shared" si="11"/>
        <v>N</v>
      </c>
      <c r="I91" s="3"/>
    </row>
    <row r="92" spans="2:9" x14ac:dyDescent="0.25">
      <c r="B92" t="str">
        <f>Master[[#This Row],[Accession Prefix (NPGS)]]&amp;" "&amp;Master[[#This Row],[Accession Number -Assigned]]</f>
        <v>W6 59678</v>
      </c>
      <c r="C92" t="str">
        <f t="shared" si="9"/>
        <v>Donor source event</v>
      </c>
      <c r="D92" t="str">
        <f t="shared" si="10"/>
        <v>mm/dd/yyyy</v>
      </c>
      <c r="E92" s="77">
        <f>Master[[#This Row],[Received Date -received by site]]</f>
        <v>44466</v>
      </c>
      <c r="F92" s="76" t="str">
        <f>IF(Master[[#This Row],[Geography (Donor)  -Lookup Picker in GRIN]]="","",Master[[#This Row],[Geography (Donor)  -Lookup Picker in GRIN]])</f>
        <v/>
      </c>
      <c r="G92" t="str">
        <f t="shared" si="11"/>
        <v>N</v>
      </c>
      <c r="I92" s="3"/>
    </row>
    <row r="93" spans="2:9" x14ac:dyDescent="0.25">
      <c r="B93" t="str">
        <f>Master[[#This Row],[Accession Prefix (NPGS)]]&amp;" "&amp;Master[[#This Row],[Accession Number -Assigned]]</f>
        <v>W6 59679</v>
      </c>
      <c r="C93" t="str">
        <f t="shared" si="9"/>
        <v>Donor source event</v>
      </c>
      <c r="D93" t="str">
        <f t="shared" si="10"/>
        <v>mm/dd/yyyy</v>
      </c>
      <c r="E93" s="77">
        <f>Master[[#This Row],[Received Date -received by site]]</f>
        <v>44466</v>
      </c>
      <c r="F93" s="76" t="str">
        <f>IF(Master[[#This Row],[Geography (Donor)  -Lookup Picker in GRIN]]="","",Master[[#This Row],[Geography (Donor)  -Lookup Picker in GRIN]])</f>
        <v/>
      </c>
      <c r="G93" t="str">
        <f t="shared" si="11"/>
        <v>N</v>
      </c>
      <c r="I93" s="3"/>
    </row>
    <row r="94" spans="2:9" x14ac:dyDescent="0.25">
      <c r="B94" t="str">
        <f>Master[[#This Row],[Accession Prefix (NPGS)]]&amp;" "&amp;Master[[#This Row],[Accession Number -Assigned]]</f>
        <v>W6 59680</v>
      </c>
      <c r="C94" t="str">
        <f t="shared" si="9"/>
        <v>Donor source event</v>
      </c>
      <c r="D94" t="str">
        <f t="shared" si="10"/>
        <v>mm/dd/yyyy</v>
      </c>
      <c r="E94" s="77">
        <f>Master[[#This Row],[Received Date -received by site]]</f>
        <v>44466</v>
      </c>
      <c r="F94" s="76" t="str">
        <f>IF(Master[[#This Row],[Geography (Donor)  -Lookup Picker in GRIN]]="","",Master[[#This Row],[Geography (Donor)  -Lookup Picker in GRIN]])</f>
        <v/>
      </c>
      <c r="G94" t="str">
        <f t="shared" si="11"/>
        <v>N</v>
      </c>
      <c r="I94" s="3"/>
    </row>
    <row r="95" spans="2:9" x14ac:dyDescent="0.25">
      <c r="B95" t="str">
        <f>Master[[#This Row],[Accession Prefix (NPGS)]]&amp;" "&amp;Master[[#This Row],[Accession Number -Assigned]]</f>
        <v>W6 59681</v>
      </c>
      <c r="C95" t="str">
        <f t="shared" si="9"/>
        <v>Donor source event</v>
      </c>
      <c r="D95" t="str">
        <f t="shared" si="10"/>
        <v>mm/dd/yyyy</v>
      </c>
      <c r="E95" s="77">
        <f>Master[[#This Row],[Received Date -received by site]]</f>
        <v>44466</v>
      </c>
      <c r="F95" s="76" t="str">
        <f>IF(Master[[#This Row],[Geography (Donor)  -Lookup Picker in GRIN]]="","",Master[[#This Row],[Geography (Donor)  -Lookup Picker in GRIN]])</f>
        <v/>
      </c>
      <c r="G95" t="str">
        <f t="shared" si="11"/>
        <v>N</v>
      </c>
      <c r="I95" s="3"/>
    </row>
    <row r="96" spans="2:9" x14ac:dyDescent="0.25">
      <c r="B96" t="str">
        <f>Master[[#This Row],[Accession Prefix (NPGS)]]&amp;" "&amp;Master[[#This Row],[Accession Number -Assigned]]</f>
        <v>W6 59682</v>
      </c>
      <c r="C96" t="str">
        <f t="shared" si="9"/>
        <v>Donor source event</v>
      </c>
      <c r="D96" t="str">
        <f t="shared" si="10"/>
        <v>mm/dd/yyyy</v>
      </c>
      <c r="E96" s="77">
        <f>Master[[#This Row],[Received Date -received by site]]</f>
        <v>44466</v>
      </c>
      <c r="F96" s="76" t="str">
        <f>IF(Master[[#This Row],[Geography (Donor)  -Lookup Picker in GRIN]]="","",Master[[#This Row],[Geography (Donor)  -Lookup Picker in GRIN]])</f>
        <v/>
      </c>
      <c r="G96" t="str">
        <f t="shared" si="11"/>
        <v>N</v>
      </c>
    </row>
    <row r="97" spans="2:7" x14ac:dyDescent="0.25">
      <c r="B97" t="str">
        <f>Master[[#This Row],[Accession Prefix (NPGS)]]&amp;" "&amp;Master[[#This Row],[Accession Number -Assigned]]</f>
        <v>W6 59683</v>
      </c>
      <c r="C97" t="str">
        <f t="shared" si="9"/>
        <v>Donor source event</v>
      </c>
      <c r="D97" t="str">
        <f t="shared" si="10"/>
        <v>mm/dd/yyyy</v>
      </c>
      <c r="E97" s="77">
        <f>Master[[#This Row],[Received Date -received by site]]</f>
        <v>44466</v>
      </c>
      <c r="F97" s="76" t="str">
        <f>IF(Master[[#This Row],[Geography (Donor)  -Lookup Picker in GRIN]]="","",Master[[#This Row],[Geography (Donor)  -Lookup Picker in GRIN]])</f>
        <v/>
      </c>
      <c r="G97" t="str">
        <f t="shared" si="11"/>
        <v>N</v>
      </c>
    </row>
    <row r="98" spans="2:7" x14ac:dyDescent="0.25">
      <c r="B98" t="str">
        <f>Master[[#This Row],[Accession Prefix (NPGS)]]&amp;" "&amp;Master[[#This Row],[Accession Number -Assigned]]</f>
        <v>W6 59684</v>
      </c>
      <c r="C98" t="str">
        <f t="shared" si="9"/>
        <v>Donor source event</v>
      </c>
      <c r="D98" t="str">
        <f t="shared" si="10"/>
        <v>mm/dd/yyyy</v>
      </c>
      <c r="E98" s="77">
        <f>Master[[#This Row],[Received Date -received by site]]</f>
        <v>44466</v>
      </c>
      <c r="F98" s="76" t="str">
        <f>IF(Master[[#This Row],[Geography (Donor)  -Lookup Picker in GRIN]]="","",Master[[#This Row],[Geography (Donor)  -Lookup Picker in GRIN]])</f>
        <v/>
      </c>
      <c r="G98" t="str">
        <f t="shared" si="11"/>
        <v>N</v>
      </c>
    </row>
    <row r="99" spans="2:7" x14ac:dyDescent="0.25">
      <c r="B99" t="str">
        <f>Master[[#This Row],[Accession Prefix (NPGS)]]&amp;" "&amp;Master[[#This Row],[Accession Number -Assigned]]</f>
        <v>W6 59685</v>
      </c>
      <c r="C99" t="str">
        <f t="shared" si="9"/>
        <v>Donor source event</v>
      </c>
      <c r="D99" t="str">
        <f t="shared" si="10"/>
        <v>mm/dd/yyyy</v>
      </c>
      <c r="E99" s="77">
        <f>Master[[#This Row],[Received Date -received by site]]</f>
        <v>44466</v>
      </c>
      <c r="F99" s="76" t="str">
        <f>IF(Master[[#This Row],[Geography (Donor)  -Lookup Picker in GRIN]]="","",Master[[#This Row],[Geography (Donor)  -Lookup Picker in GRIN]])</f>
        <v/>
      </c>
      <c r="G99" t="str">
        <f t="shared" si="11"/>
        <v>N</v>
      </c>
    </row>
    <row r="100" spans="2:7" x14ac:dyDescent="0.25">
      <c r="B100" t="str">
        <f>Master[[#This Row],[Accession Prefix (NPGS)]]&amp;" "&amp;Master[[#This Row],[Accession Number -Assigned]]</f>
        <v>W6 59686</v>
      </c>
      <c r="C100" t="str">
        <f t="shared" si="9"/>
        <v>Donor source event</v>
      </c>
      <c r="D100" t="str">
        <f t="shared" si="10"/>
        <v>mm/dd/yyyy</v>
      </c>
      <c r="E100" s="77">
        <f>Master[[#This Row],[Received Date -received by site]]</f>
        <v>44466</v>
      </c>
      <c r="F100" s="76" t="str">
        <f>IF(Master[[#This Row],[Geography (Donor)  -Lookup Picker in GRIN]]="","",Master[[#This Row],[Geography (Donor)  -Lookup Picker in GRIN]])</f>
        <v/>
      </c>
      <c r="G100" t="str">
        <f t="shared" si="11"/>
        <v>N</v>
      </c>
    </row>
    <row r="101" spans="2:7" x14ac:dyDescent="0.25">
      <c r="B101" t="str">
        <f>Master[[#This Row],[Accession Prefix (NPGS)]]&amp;" "&amp;Master[[#This Row],[Accession Number -Assigned]]</f>
        <v>W6 59687</v>
      </c>
      <c r="C101" t="str">
        <f t="shared" si="9"/>
        <v>Donor source event</v>
      </c>
      <c r="D101" t="str">
        <f t="shared" si="10"/>
        <v>mm/dd/yyyy</v>
      </c>
      <c r="E101" s="77">
        <f>Master[[#This Row],[Received Date -received by site]]</f>
        <v>44466</v>
      </c>
      <c r="F101" s="76" t="str">
        <f>IF(Master[[#This Row],[Geography (Donor)  -Lookup Picker in GRIN]]="","",Master[[#This Row],[Geography (Donor)  -Lookup Picker in GRIN]])</f>
        <v/>
      </c>
      <c r="G101" t="str">
        <f t="shared" si="11"/>
        <v>N</v>
      </c>
    </row>
    <row r="102" spans="2:7" x14ac:dyDescent="0.25">
      <c r="B102" t="str">
        <f>Master[[#This Row],[Accession Prefix (NPGS)]]&amp;" "&amp;Master[[#This Row],[Accession Number -Assigned]]</f>
        <v>W6 59688</v>
      </c>
      <c r="C102" t="str">
        <f t="shared" si="9"/>
        <v>Donor source event</v>
      </c>
      <c r="D102" t="str">
        <f t="shared" si="10"/>
        <v>mm/dd/yyyy</v>
      </c>
      <c r="E102" s="77">
        <f>Master[[#This Row],[Received Date -received by site]]</f>
        <v>44466</v>
      </c>
      <c r="F102" s="76" t="str">
        <f>IF(Master[[#This Row],[Geography (Donor)  -Lookup Picker in GRIN]]="","",Master[[#This Row],[Geography (Donor)  -Lookup Picker in GRIN]])</f>
        <v/>
      </c>
      <c r="G102" t="str">
        <f t="shared" si="11"/>
        <v>N</v>
      </c>
    </row>
    <row r="103" spans="2:7" x14ac:dyDescent="0.25">
      <c r="B103" t="str">
        <f>Master[[#This Row],[Accession Prefix (NPGS)]]&amp;" "&amp;Master[[#This Row],[Accession Number -Assigned]]</f>
        <v>W6 59689</v>
      </c>
      <c r="C103" t="str">
        <f t="shared" si="9"/>
        <v>Donor source event</v>
      </c>
      <c r="D103" t="str">
        <f t="shared" si="10"/>
        <v>mm/dd/yyyy</v>
      </c>
      <c r="E103" s="77">
        <f>Master[[#This Row],[Received Date -received by site]]</f>
        <v>44466</v>
      </c>
      <c r="F103" s="76" t="str">
        <f>IF(Master[[#This Row],[Geography (Donor)  -Lookup Picker in GRIN]]="","",Master[[#This Row],[Geography (Donor)  -Lookup Picker in GRIN]])</f>
        <v/>
      </c>
      <c r="G103" t="str">
        <f t="shared" si="11"/>
        <v>N</v>
      </c>
    </row>
    <row r="104" spans="2:7" x14ac:dyDescent="0.25">
      <c r="B104" t="str">
        <f>Master[[#This Row],[Accession Prefix (NPGS)]]&amp;" "&amp;Master[[#This Row],[Accession Number -Assigned]]</f>
        <v>W6 59690</v>
      </c>
      <c r="C104" t="str">
        <f t="shared" si="9"/>
        <v>Donor source event</v>
      </c>
      <c r="D104" t="str">
        <f t="shared" si="10"/>
        <v>mm/dd/yyyy</v>
      </c>
      <c r="E104" s="77">
        <f>Master[[#This Row],[Received Date -received by site]]</f>
        <v>44466</v>
      </c>
      <c r="F104" s="76" t="str">
        <f>IF(Master[[#This Row],[Geography (Donor)  -Lookup Picker in GRIN]]="","",Master[[#This Row],[Geography (Donor)  -Lookup Picker in GRIN]])</f>
        <v/>
      </c>
      <c r="G104" t="str">
        <f t="shared" si="11"/>
        <v>N</v>
      </c>
    </row>
    <row r="105" spans="2:7" x14ac:dyDescent="0.25">
      <c r="B105" t="str">
        <f>Master[[#This Row],[Accession Prefix (NPGS)]]&amp;" "&amp;Master[[#This Row],[Accession Number -Assigned]]</f>
        <v>W6 59691</v>
      </c>
      <c r="C105" t="str">
        <f t="shared" si="9"/>
        <v>Donor source event</v>
      </c>
      <c r="D105" t="str">
        <f t="shared" si="10"/>
        <v>mm/dd/yyyy</v>
      </c>
      <c r="E105" s="77">
        <f>Master[[#This Row],[Received Date -received by site]]</f>
        <v>44466</v>
      </c>
      <c r="F105" s="76" t="str">
        <f>IF(Master[[#This Row],[Geography (Donor)  -Lookup Picker in GRIN]]="","",Master[[#This Row],[Geography (Donor)  -Lookup Picker in GRIN]])</f>
        <v/>
      </c>
      <c r="G105" t="str">
        <f t="shared" si="11"/>
        <v>N</v>
      </c>
    </row>
    <row r="106" spans="2:7" x14ac:dyDescent="0.25">
      <c r="B106" t="str">
        <f>Master[[#This Row],[Accession Prefix (NPGS)]]&amp;" "&amp;Master[[#This Row],[Accession Number -Assigned]]</f>
        <v>W6 59692</v>
      </c>
      <c r="C106" t="str">
        <f t="shared" si="9"/>
        <v>Donor source event</v>
      </c>
      <c r="D106" t="str">
        <f t="shared" si="10"/>
        <v>mm/dd/yyyy</v>
      </c>
      <c r="E106" s="77">
        <f>Master[[#This Row],[Received Date -received by site]]</f>
        <v>44466</v>
      </c>
      <c r="F106" s="76" t="str">
        <f>IF(Master[[#This Row],[Geography (Donor)  -Lookup Picker in GRIN]]="","",Master[[#This Row],[Geography (Donor)  -Lookup Picker in GRIN]])</f>
        <v/>
      </c>
      <c r="G106" t="str">
        <f t="shared" si="11"/>
        <v>N</v>
      </c>
    </row>
    <row r="107" spans="2:7" x14ac:dyDescent="0.25">
      <c r="B107" t="str">
        <f>Master[[#This Row],[Accession Prefix (NPGS)]]&amp;" "&amp;Master[[#This Row],[Accession Number -Assigned]]</f>
        <v>W6 59693</v>
      </c>
      <c r="C107" t="str">
        <f t="shared" si="9"/>
        <v>Donor source event</v>
      </c>
      <c r="D107" t="str">
        <f t="shared" si="10"/>
        <v>mm/dd/yyyy</v>
      </c>
      <c r="E107" s="77">
        <f>Master[[#This Row],[Received Date -received by site]]</f>
        <v>44466</v>
      </c>
      <c r="F107" s="76" t="str">
        <f>IF(Master[[#This Row],[Geography (Donor)  -Lookup Picker in GRIN]]="","",Master[[#This Row],[Geography (Donor)  -Lookup Picker in GRIN]])</f>
        <v/>
      </c>
      <c r="G107" t="str">
        <f t="shared" si="11"/>
        <v>N</v>
      </c>
    </row>
    <row r="108" spans="2:7" x14ac:dyDescent="0.25">
      <c r="B108" t="str">
        <f>Master[[#This Row],[Accession Prefix (NPGS)]]&amp;" "&amp;Master[[#This Row],[Accession Number -Assigned]]</f>
        <v>W6 59694</v>
      </c>
      <c r="C108" t="str">
        <f t="shared" si="9"/>
        <v>Donor source event</v>
      </c>
      <c r="D108" t="str">
        <f t="shared" si="10"/>
        <v>mm/dd/yyyy</v>
      </c>
      <c r="E108" s="77">
        <f>Master[[#This Row],[Received Date -received by site]]</f>
        <v>44466</v>
      </c>
      <c r="F108" s="76" t="str">
        <f>IF(Master[[#This Row],[Geography (Donor)  -Lookup Picker in GRIN]]="","",Master[[#This Row],[Geography (Donor)  -Lookup Picker in GRIN]])</f>
        <v/>
      </c>
      <c r="G108" t="str">
        <f t="shared" si="11"/>
        <v>N</v>
      </c>
    </row>
    <row r="109" spans="2:7" x14ac:dyDescent="0.25">
      <c r="B109" t="str">
        <f>Master[[#This Row],[Accession Prefix (NPGS)]]&amp;" "&amp;Master[[#This Row],[Accession Number -Assigned]]</f>
        <v>W6 59695</v>
      </c>
      <c r="C109" t="str">
        <f t="shared" si="9"/>
        <v>Donor source event</v>
      </c>
      <c r="D109" t="str">
        <f t="shared" si="10"/>
        <v>mm/dd/yyyy</v>
      </c>
      <c r="E109" s="77">
        <f>Master[[#This Row],[Received Date -received by site]]</f>
        <v>44466</v>
      </c>
      <c r="F109" s="76" t="str">
        <f>IF(Master[[#This Row],[Geography (Donor)  -Lookup Picker in GRIN]]="","",Master[[#This Row],[Geography (Donor)  -Lookup Picker in GRIN]])</f>
        <v/>
      </c>
      <c r="G109" t="str">
        <f t="shared" si="11"/>
        <v>N</v>
      </c>
    </row>
    <row r="110" spans="2:7" x14ac:dyDescent="0.25">
      <c r="B110" t="str">
        <f>Master[[#This Row],[Accession Prefix (NPGS)]]&amp;" "&amp;Master[[#This Row],[Accession Number -Assigned]]</f>
        <v>W6 59696</v>
      </c>
      <c r="C110" t="str">
        <f t="shared" si="9"/>
        <v>Donor source event</v>
      </c>
      <c r="D110" t="str">
        <f t="shared" si="10"/>
        <v>mm/dd/yyyy</v>
      </c>
      <c r="E110" s="77">
        <f>Master[[#This Row],[Received Date -received by site]]</f>
        <v>44466</v>
      </c>
      <c r="F110" s="76" t="str">
        <f>IF(Master[[#This Row],[Geography (Donor)  -Lookup Picker in GRIN]]="","",Master[[#This Row],[Geography (Donor)  -Lookup Picker in GRIN]])</f>
        <v/>
      </c>
      <c r="G110" t="str">
        <f t="shared" si="11"/>
        <v>N</v>
      </c>
    </row>
    <row r="111" spans="2:7" x14ac:dyDescent="0.25">
      <c r="B111" t="str">
        <f>Master[[#This Row],[Accession Prefix (NPGS)]]&amp;" "&amp;Master[[#This Row],[Accession Number -Assigned]]</f>
        <v>W6 59697</v>
      </c>
      <c r="C111" t="str">
        <f t="shared" si="9"/>
        <v>Donor source event</v>
      </c>
      <c r="D111" t="str">
        <f t="shared" si="10"/>
        <v>mm/dd/yyyy</v>
      </c>
      <c r="E111" s="77">
        <f>Master[[#This Row],[Received Date -received by site]]</f>
        <v>44466</v>
      </c>
      <c r="F111" s="76" t="str">
        <f>IF(Master[[#This Row],[Geography (Donor)  -Lookup Picker in GRIN]]="","",Master[[#This Row],[Geography (Donor)  -Lookup Picker in GRIN]])</f>
        <v/>
      </c>
      <c r="G111" t="str">
        <f t="shared" si="11"/>
        <v>N</v>
      </c>
    </row>
    <row r="112" spans="2:7" x14ac:dyDescent="0.25">
      <c r="B112" t="str">
        <f>Master[[#This Row],[Accession Prefix (NPGS)]]&amp;" "&amp;Master[[#This Row],[Accession Number -Assigned]]</f>
        <v>W6 59698</v>
      </c>
      <c r="C112" t="str">
        <f t="shared" si="9"/>
        <v>Donor source event</v>
      </c>
      <c r="D112" t="str">
        <f t="shared" si="10"/>
        <v>mm/dd/yyyy</v>
      </c>
      <c r="E112" s="77">
        <f>Master[[#This Row],[Received Date -received by site]]</f>
        <v>44466</v>
      </c>
      <c r="F112" s="76" t="str">
        <f>IF(Master[[#This Row],[Geography (Donor)  -Lookup Picker in GRIN]]="","",Master[[#This Row],[Geography (Donor)  -Lookup Picker in GRIN]])</f>
        <v/>
      </c>
      <c r="G112" t="str">
        <f t="shared" si="11"/>
        <v>N</v>
      </c>
    </row>
    <row r="113" spans="2:7" x14ac:dyDescent="0.25">
      <c r="B113" t="str">
        <f>Master[[#This Row],[Accession Prefix (NPGS)]]&amp;" "&amp;Master[[#This Row],[Accession Number -Assigned]]</f>
        <v>W6 59699</v>
      </c>
      <c r="C113" t="str">
        <f t="shared" si="9"/>
        <v>Donor source event</v>
      </c>
      <c r="D113" t="str">
        <f t="shared" si="10"/>
        <v>mm/dd/yyyy</v>
      </c>
      <c r="E113" s="77">
        <f>Master[[#This Row],[Received Date -received by site]]</f>
        <v>44466</v>
      </c>
      <c r="F113" s="76" t="str">
        <f>IF(Master[[#This Row],[Geography (Donor)  -Lookup Picker in GRIN]]="","",Master[[#This Row],[Geography (Donor)  -Lookup Picker in GRIN]])</f>
        <v/>
      </c>
      <c r="G113" t="str">
        <f t="shared" si="11"/>
        <v>N</v>
      </c>
    </row>
    <row r="114" spans="2:7" x14ac:dyDescent="0.25">
      <c r="B114" t="str">
        <f>Master[[#This Row],[Accession Prefix (NPGS)]]&amp;" "&amp;Master[[#This Row],[Accession Number -Assigned]]</f>
        <v>W6 59700</v>
      </c>
      <c r="C114" t="str">
        <f t="shared" si="9"/>
        <v>Donor source event</v>
      </c>
      <c r="D114" t="str">
        <f t="shared" si="10"/>
        <v>mm/dd/yyyy</v>
      </c>
      <c r="E114" s="77">
        <f>Master[[#This Row],[Received Date -received by site]]</f>
        <v>44466</v>
      </c>
      <c r="F114" s="76" t="str">
        <f>IF(Master[[#This Row],[Geography (Donor)  -Lookup Picker in GRIN]]="","",Master[[#This Row],[Geography (Donor)  -Lookup Picker in GRIN]])</f>
        <v/>
      </c>
      <c r="G114" t="str">
        <f t="shared" si="11"/>
        <v>N</v>
      </c>
    </row>
    <row r="115" spans="2:7" x14ac:dyDescent="0.25">
      <c r="B115" t="str">
        <f>Master[[#This Row],[Accession Prefix (NPGS)]]&amp;" "&amp;Master[[#This Row],[Accession Number -Assigned]]</f>
        <v>W6 59701</v>
      </c>
      <c r="C115" t="str">
        <f t="shared" si="9"/>
        <v>Donor source event</v>
      </c>
      <c r="D115" t="str">
        <f t="shared" si="10"/>
        <v>mm/dd/yyyy</v>
      </c>
      <c r="E115" s="77">
        <f>Master[[#This Row],[Received Date -received by site]]</f>
        <v>44466</v>
      </c>
      <c r="F115" s="76" t="str">
        <f>IF(Master[[#This Row],[Geography (Donor)  -Lookup Picker in GRIN]]="","",Master[[#This Row],[Geography (Donor)  -Lookup Picker in GRIN]])</f>
        <v/>
      </c>
      <c r="G115" t="str">
        <f t="shared" si="11"/>
        <v>N</v>
      </c>
    </row>
    <row r="116" spans="2:7" x14ac:dyDescent="0.25">
      <c r="B116" t="str">
        <f>Master[[#This Row],[Accession Prefix (NPGS)]]&amp;" "&amp;Master[[#This Row],[Accession Number -Assigned]]</f>
        <v>W6 59702</v>
      </c>
      <c r="C116" t="str">
        <f t="shared" si="9"/>
        <v>Donor source event</v>
      </c>
      <c r="D116" t="str">
        <f t="shared" si="10"/>
        <v>mm/dd/yyyy</v>
      </c>
      <c r="E116" s="77">
        <f>Master[[#This Row],[Received Date -received by site]]</f>
        <v>44466</v>
      </c>
      <c r="F116" s="76" t="str">
        <f>IF(Master[[#This Row],[Geography (Donor)  -Lookup Picker in GRIN]]="","",Master[[#This Row],[Geography (Donor)  -Lookup Picker in GRIN]])</f>
        <v/>
      </c>
      <c r="G116" t="str">
        <f t="shared" si="11"/>
        <v>N</v>
      </c>
    </row>
    <row r="117" spans="2:7" x14ac:dyDescent="0.25">
      <c r="B117" t="str">
        <f>Master[[#This Row],[Accession Prefix (NPGS)]]&amp;" "&amp;Master[[#This Row],[Accession Number -Assigned]]</f>
        <v>W6 59703</v>
      </c>
      <c r="C117" t="str">
        <f t="shared" si="9"/>
        <v>Donor source event</v>
      </c>
      <c r="D117" t="str">
        <f t="shared" si="10"/>
        <v>mm/dd/yyyy</v>
      </c>
      <c r="E117" s="77">
        <f>Master[[#This Row],[Received Date -received by site]]</f>
        <v>44466</v>
      </c>
      <c r="F117" s="76" t="str">
        <f>IF(Master[[#This Row],[Geography (Donor)  -Lookup Picker in GRIN]]="","",Master[[#This Row],[Geography (Donor)  -Lookup Picker in GRIN]])</f>
        <v/>
      </c>
      <c r="G117" t="str">
        <f t="shared" si="11"/>
        <v>N</v>
      </c>
    </row>
    <row r="118" spans="2:7" x14ac:dyDescent="0.25">
      <c r="B118" t="str">
        <f>Master[[#This Row],[Accession Prefix (NPGS)]]&amp;" "&amp;Master[[#This Row],[Accession Number -Assigned]]</f>
        <v>W6 59704</v>
      </c>
      <c r="C118" t="str">
        <f t="shared" ref="C118:C149" si="12">"Donor source event"</f>
        <v>Donor source event</v>
      </c>
      <c r="D118" t="str">
        <f t="shared" ref="D118:D149" si="13">"mm/dd/yyyy"</f>
        <v>mm/dd/yyyy</v>
      </c>
      <c r="E118" s="77">
        <f>Master[[#This Row],[Received Date -received by site]]</f>
        <v>44466</v>
      </c>
      <c r="F118" s="76" t="str">
        <f>IF(Master[[#This Row],[Geography (Donor)  -Lookup Picker in GRIN]]="","",Master[[#This Row],[Geography (Donor)  -Lookup Picker in GRIN]])</f>
        <v/>
      </c>
      <c r="G118" t="str">
        <f t="shared" ref="G118:G149" si="14">"N"</f>
        <v>N</v>
      </c>
    </row>
    <row r="119" spans="2:7" x14ac:dyDescent="0.25">
      <c r="B119" t="str">
        <f>Master[[#This Row],[Accession Prefix (NPGS)]]&amp;" "&amp;Master[[#This Row],[Accession Number -Assigned]]</f>
        <v>W6 59705</v>
      </c>
      <c r="C119" t="str">
        <f t="shared" si="12"/>
        <v>Donor source event</v>
      </c>
      <c r="D119" t="str">
        <f t="shared" si="13"/>
        <v>mm/dd/yyyy</v>
      </c>
      <c r="E119" s="77">
        <f>Master[[#This Row],[Received Date -received by site]]</f>
        <v>44466</v>
      </c>
      <c r="F119" s="76" t="str">
        <f>IF(Master[[#This Row],[Geography (Donor)  -Lookup Picker in GRIN]]="","",Master[[#This Row],[Geography (Donor)  -Lookup Picker in GRIN]])</f>
        <v/>
      </c>
      <c r="G119" t="str">
        <f t="shared" si="14"/>
        <v>N</v>
      </c>
    </row>
    <row r="120" spans="2:7" x14ac:dyDescent="0.25">
      <c r="B120" t="str">
        <f>Master[[#This Row],[Accession Prefix (NPGS)]]&amp;" "&amp;Master[[#This Row],[Accession Number -Assigned]]</f>
        <v>W6 59706</v>
      </c>
      <c r="C120" t="str">
        <f t="shared" si="12"/>
        <v>Donor source event</v>
      </c>
      <c r="D120" t="str">
        <f t="shared" si="13"/>
        <v>mm/dd/yyyy</v>
      </c>
      <c r="E120" s="77">
        <f>Master[[#This Row],[Received Date -received by site]]</f>
        <v>44466</v>
      </c>
      <c r="F120" s="76" t="str">
        <f>IF(Master[[#This Row],[Geography (Donor)  -Lookup Picker in GRIN]]="","",Master[[#This Row],[Geography (Donor)  -Lookup Picker in GRIN]])</f>
        <v/>
      </c>
      <c r="G120" t="str">
        <f t="shared" si="14"/>
        <v>N</v>
      </c>
    </row>
    <row r="121" spans="2:7" x14ac:dyDescent="0.25">
      <c r="B121" t="str">
        <f>Master[[#This Row],[Accession Prefix (NPGS)]]&amp;" "&amp;Master[[#This Row],[Accession Number -Assigned]]</f>
        <v>W6 59707</v>
      </c>
      <c r="C121" t="str">
        <f t="shared" si="12"/>
        <v>Donor source event</v>
      </c>
      <c r="D121" t="str">
        <f t="shared" si="13"/>
        <v>mm/dd/yyyy</v>
      </c>
      <c r="E121" s="77">
        <f>Master[[#This Row],[Received Date -received by site]]</f>
        <v>44466</v>
      </c>
      <c r="F121" s="76" t="str">
        <f>IF(Master[[#This Row],[Geography (Donor)  -Lookup Picker in GRIN]]="","",Master[[#This Row],[Geography (Donor)  -Lookup Picker in GRIN]])</f>
        <v/>
      </c>
      <c r="G121" t="str">
        <f t="shared" si="14"/>
        <v>N</v>
      </c>
    </row>
    <row r="122" spans="2:7" x14ac:dyDescent="0.25">
      <c r="B122" t="str">
        <f>Master[[#This Row],[Accession Prefix (NPGS)]]&amp;" "&amp;Master[[#This Row],[Accession Number -Assigned]]</f>
        <v>W6 59708</v>
      </c>
      <c r="C122" t="str">
        <f t="shared" si="12"/>
        <v>Donor source event</v>
      </c>
      <c r="D122" t="str">
        <f t="shared" si="13"/>
        <v>mm/dd/yyyy</v>
      </c>
      <c r="E122" s="77">
        <f>Master[[#This Row],[Received Date -received by site]]</f>
        <v>44466</v>
      </c>
      <c r="F122" s="76" t="str">
        <f>IF(Master[[#This Row],[Geography (Donor)  -Lookup Picker in GRIN]]="","",Master[[#This Row],[Geography (Donor)  -Lookup Picker in GRIN]])</f>
        <v/>
      </c>
      <c r="G122" t="str">
        <f t="shared" si="14"/>
        <v>N</v>
      </c>
    </row>
    <row r="123" spans="2:7" x14ac:dyDescent="0.25">
      <c r="B123" t="str">
        <f>Master[[#This Row],[Accession Prefix (NPGS)]]&amp;" "&amp;Master[[#This Row],[Accession Number -Assigned]]</f>
        <v>W6 59709</v>
      </c>
      <c r="C123" t="str">
        <f t="shared" si="12"/>
        <v>Donor source event</v>
      </c>
      <c r="D123" t="str">
        <f t="shared" si="13"/>
        <v>mm/dd/yyyy</v>
      </c>
      <c r="E123" s="77">
        <f>Master[[#This Row],[Received Date -received by site]]</f>
        <v>44466</v>
      </c>
      <c r="F123" s="76" t="str">
        <f>IF(Master[[#This Row],[Geography (Donor)  -Lookup Picker in GRIN]]="","",Master[[#This Row],[Geography (Donor)  -Lookup Picker in GRIN]])</f>
        <v/>
      </c>
      <c r="G123" t="str">
        <f t="shared" si="14"/>
        <v>N</v>
      </c>
    </row>
    <row r="124" spans="2:7" x14ac:dyDescent="0.25">
      <c r="B124" t="str">
        <f>Master[[#This Row],[Accession Prefix (NPGS)]]&amp;" "&amp;Master[[#This Row],[Accession Number -Assigned]]</f>
        <v>W6 59710</v>
      </c>
      <c r="C124" t="str">
        <f t="shared" si="12"/>
        <v>Donor source event</v>
      </c>
      <c r="D124" t="str">
        <f t="shared" si="13"/>
        <v>mm/dd/yyyy</v>
      </c>
      <c r="E124" s="77">
        <f>Master[[#This Row],[Received Date -received by site]]</f>
        <v>44466</v>
      </c>
      <c r="F124" s="76" t="str">
        <f>IF(Master[[#This Row],[Geography (Donor)  -Lookup Picker in GRIN]]="","",Master[[#This Row],[Geography (Donor)  -Lookup Picker in GRIN]])</f>
        <v/>
      </c>
      <c r="G124" t="str">
        <f t="shared" si="14"/>
        <v>N</v>
      </c>
    </row>
    <row r="125" spans="2:7" x14ac:dyDescent="0.25">
      <c r="B125" t="str">
        <f>Master[[#This Row],[Accession Prefix (NPGS)]]&amp;" "&amp;Master[[#This Row],[Accession Number -Assigned]]</f>
        <v>W6 59711</v>
      </c>
      <c r="C125" t="str">
        <f t="shared" si="12"/>
        <v>Donor source event</v>
      </c>
      <c r="D125" t="str">
        <f t="shared" si="13"/>
        <v>mm/dd/yyyy</v>
      </c>
      <c r="E125" s="77">
        <f>Master[[#This Row],[Received Date -received by site]]</f>
        <v>44466</v>
      </c>
      <c r="F125" s="76" t="str">
        <f>IF(Master[[#This Row],[Geography (Donor)  -Lookup Picker in GRIN]]="","",Master[[#This Row],[Geography (Donor)  -Lookup Picker in GRIN]])</f>
        <v/>
      </c>
      <c r="G125" t="str">
        <f t="shared" si="14"/>
        <v>N</v>
      </c>
    </row>
    <row r="126" spans="2:7" x14ac:dyDescent="0.25">
      <c r="B126" t="str">
        <f>Master[[#This Row],[Accession Prefix (NPGS)]]&amp;" "&amp;Master[[#This Row],[Accession Number -Assigned]]</f>
        <v>W6 59712</v>
      </c>
      <c r="C126" t="str">
        <f t="shared" si="12"/>
        <v>Donor source event</v>
      </c>
      <c r="D126" t="str">
        <f t="shared" si="13"/>
        <v>mm/dd/yyyy</v>
      </c>
      <c r="E126" s="77">
        <f>Master[[#This Row],[Received Date -received by site]]</f>
        <v>44466</v>
      </c>
      <c r="F126" s="76" t="str">
        <f>IF(Master[[#This Row],[Geography (Donor)  -Lookup Picker in GRIN]]="","",Master[[#This Row],[Geography (Donor)  -Lookup Picker in GRIN]])</f>
        <v/>
      </c>
      <c r="G126" t="str">
        <f t="shared" si="14"/>
        <v>N</v>
      </c>
    </row>
    <row r="127" spans="2:7" x14ac:dyDescent="0.25">
      <c r="B127" t="str">
        <f>Master[[#This Row],[Accession Prefix (NPGS)]]&amp;" "&amp;Master[[#This Row],[Accession Number -Assigned]]</f>
        <v>W6 59713</v>
      </c>
      <c r="C127" t="str">
        <f t="shared" si="12"/>
        <v>Donor source event</v>
      </c>
      <c r="D127" t="str">
        <f t="shared" si="13"/>
        <v>mm/dd/yyyy</v>
      </c>
      <c r="E127" s="77">
        <f>Master[[#This Row],[Received Date -received by site]]</f>
        <v>44466</v>
      </c>
      <c r="F127" s="76" t="str">
        <f>IF(Master[[#This Row],[Geography (Donor)  -Lookup Picker in GRIN]]="","",Master[[#This Row],[Geography (Donor)  -Lookup Picker in GRIN]])</f>
        <v/>
      </c>
      <c r="G127" t="str">
        <f t="shared" si="14"/>
        <v>N</v>
      </c>
    </row>
    <row r="128" spans="2:7" x14ac:dyDescent="0.25">
      <c r="B128" t="str">
        <f>Master[[#This Row],[Accession Prefix (NPGS)]]&amp;" "&amp;Master[[#This Row],[Accession Number -Assigned]]</f>
        <v>W6 59714</v>
      </c>
      <c r="C128" t="str">
        <f t="shared" si="12"/>
        <v>Donor source event</v>
      </c>
      <c r="D128" t="str">
        <f t="shared" si="13"/>
        <v>mm/dd/yyyy</v>
      </c>
      <c r="E128" s="77">
        <f>Master[[#This Row],[Received Date -received by site]]</f>
        <v>44466</v>
      </c>
      <c r="F128" s="76" t="str">
        <f>IF(Master[[#This Row],[Geography (Donor)  -Lookup Picker in GRIN]]="","",Master[[#This Row],[Geography (Donor)  -Lookup Picker in GRIN]])</f>
        <v/>
      </c>
      <c r="G128" t="str">
        <f t="shared" si="14"/>
        <v>N</v>
      </c>
    </row>
    <row r="129" spans="2:7" x14ac:dyDescent="0.25">
      <c r="B129" t="str">
        <f>Master[[#This Row],[Accession Prefix (NPGS)]]&amp;" "&amp;Master[[#This Row],[Accession Number -Assigned]]</f>
        <v>W6 59715</v>
      </c>
      <c r="C129" t="str">
        <f t="shared" si="12"/>
        <v>Donor source event</v>
      </c>
      <c r="D129" t="str">
        <f t="shared" si="13"/>
        <v>mm/dd/yyyy</v>
      </c>
      <c r="E129" s="77">
        <f>Master[[#This Row],[Received Date -received by site]]</f>
        <v>44466</v>
      </c>
      <c r="F129" s="76" t="str">
        <f>IF(Master[[#This Row],[Geography (Donor)  -Lookup Picker in GRIN]]="","",Master[[#This Row],[Geography (Donor)  -Lookup Picker in GRIN]])</f>
        <v/>
      </c>
      <c r="G129" t="str">
        <f t="shared" si="14"/>
        <v>N</v>
      </c>
    </row>
    <row r="130" spans="2:7" x14ac:dyDescent="0.25">
      <c r="B130" t="str">
        <f>Master[[#This Row],[Accession Prefix (NPGS)]]&amp;" "&amp;Master[[#This Row],[Accession Number -Assigned]]</f>
        <v>W6 59716</v>
      </c>
      <c r="C130" t="str">
        <f t="shared" si="12"/>
        <v>Donor source event</v>
      </c>
      <c r="D130" t="str">
        <f t="shared" si="13"/>
        <v>mm/dd/yyyy</v>
      </c>
      <c r="E130" s="77">
        <f>Master[[#This Row],[Received Date -received by site]]</f>
        <v>44466</v>
      </c>
      <c r="F130" s="76" t="str">
        <f>IF(Master[[#This Row],[Geography (Donor)  -Lookup Picker in GRIN]]="","",Master[[#This Row],[Geography (Donor)  -Lookup Picker in GRIN]])</f>
        <v/>
      </c>
      <c r="G130" t="str">
        <f t="shared" si="14"/>
        <v>N</v>
      </c>
    </row>
    <row r="131" spans="2:7" x14ac:dyDescent="0.25">
      <c r="B131" t="str">
        <f>Master[[#This Row],[Accession Prefix (NPGS)]]&amp;" "&amp;Master[[#This Row],[Accession Number -Assigned]]</f>
        <v>W6 59717</v>
      </c>
      <c r="C131" t="str">
        <f t="shared" si="12"/>
        <v>Donor source event</v>
      </c>
      <c r="D131" t="str">
        <f t="shared" si="13"/>
        <v>mm/dd/yyyy</v>
      </c>
      <c r="E131" s="77">
        <f>Master[[#This Row],[Received Date -received by site]]</f>
        <v>44466</v>
      </c>
      <c r="F131" s="76" t="str">
        <f>IF(Master[[#This Row],[Geography (Donor)  -Lookup Picker in GRIN]]="","",Master[[#This Row],[Geography (Donor)  -Lookup Picker in GRIN]])</f>
        <v/>
      </c>
      <c r="G131" t="str">
        <f t="shared" si="14"/>
        <v>N</v>
      </c>
    </row>
    <row r="132" spans="2:7" x14ac:dyDescent="0.25">
      <c r="B132" t="str">
        <f>Master[[#This Row],[Accession Prefix (NPGS)]]&amp;" "&amp;Master[[#This Row],[Accession Number -Assigned]]</f>
        <v>W6 59718</v>
      </c>
      <c r="C132" t="str">
        <f t="shared" si="12"/>
        <v>Donor source event</v>
      </c>
      <c r="D132" t="str">
        <f t="shared" si="13"/>
        <v>mm/dd/yyyy</v>
      </c>
      <c r="E132" s="77">
        <f>Master[[#This Row],[Received Date -received by site]]</f>
        <v>44466</v>
      </c>
      <c r="F132" s="76" t="str">
        <f>IF(Master[[#This Row],[Geography (Donor)  -Lookup Picker in GRIN]]="","",Master[[#This Row],[Geography (Donor)  -Lookup Picker in GRIN]])</f>
        <v/>
      </c>
      <c r="G132" t="str">
        <f t="shared" si="14"/>
        <v>N</v>
      </c>
    </row>
    <row r="133" spans="2:7" x14ac:dyDescent="0.25">
      <c r="B133" t="str">
        <f>Master[[#This Row],[Accession Prefix (NPGS)]]&amp;" "&amp;Master[[#This Row],[Accession Number -Assigned]]</f>
        <v>W6 59719</v>
      </c>
      <c r="C133" t="str">
        <f t="shared" si="12"/>
        <v>Donor source event</v>
      </c>
      <c r="D133" t="str">
        <f t="shared" si="13"/>
        <v>mm/dd/yyyy</v>
      </c>
      <c r="E133" s="77">
        <f>Master[[#This Row],[Received Date -received by site]]</f>
        <v>44466</v>
      </c>
      <c r="F133" s="76" t="str">
        <f>IF(Master[[#This Row],[Geography (Donor)  -Lookup Picker in GRIN]]="","",Master[[#This Row],[Geography (Donor)  -Lookup Picker in GRIN]])</f>
        <v/>
      </c>
      <c r="G133" t="str">
        <f t="shared" si="14"/>
        <v>N</v>
      </c>
    </row>
    <row r="134" spans="2:7" x14ac:dyDescent="0.25">
      <c r="B134" t="str">
        <f>Master[[#This Row],[Accession Prefix (NPGS)]]&amp;" "&amp;Master[[#This Row],[Accession Number -Assigned]]</f>
        <v>W6 59720</v>
      </c>
      <c r="C134" t="str">
        <f t="shared" si="12"/>
        <v>Donor source event</v>
      </c>
      <c r="D134" t="str">
        <f t="shared" si="13"/>
        <v>mm/dd/yyyy</v>
      </c>
      <c r="E134" s="77">
        <f>Master[[#This Row],[Received Date -received by site]]</f>
        <v>44466</v>
      </c>
      <c r="F134" s="76" t="str">
        <f>IF(Master[[#This Row],[Geography (Donor)  -Lookup Picker in GRIN]]="","",Master[[#This Row],[Geography (Donor)  -Lookup Picker in GRIN]])</f>
        <v/>
      </c>
      <c r="G134" t="str">
        <f t="shared" si="14"/>
        <v>N</v>
      </c>
    </row>
    <row r="135" spans="2:7" x14ac:dyDescent="0.25">
      <c r="B135" t="str">
        <f>Master[[#This Row],[Accession Prefix (NPGS)]]&amp;" "&amp;Master[[#This Row],[Accession Number -Assigned]]</f>
        <v>W6 59721</v>
      </c>
      <c r="C135" t="str">
        <f t="shared" si="12"/>
        <v>Donor source event</v>
      </c>
      <c r="D135" t="str">
        <f t="shared" si="13"/>
        <v>mm/dd/yyyy</v>
      </c>
      <c r="E135" s="77">
        <f>Master[[#This Row],[Received Date -received by site]]</f>
        <v>44466</v>
      </c>
      <c r="F135" s="76" t="str">
        <f>IF(Master[[#This Row],[Geography (Donor)  -Lookup Picker in GRIN]]="","",Master[[#This Row],[Geography (Donor)  -Lookup Picker in GRIN]])</f>
        <v/>
      </c>
      <c r="G135" t="str">
        <f t="shared" si="14"/>
        <v>N</v>
      </c>
    </row>
    <row r="136" spans="2:7" x14ac:dyDescent="0.25">
      <c r="B136" t="str">
        <f>Master[[#This Row],[Accession Prefix (NPGS)]]&amp;" "&amp;Master[[#This Row],[Accession Number -Assigned]]</f>
        <v>W6 59722</v>
      </c>
      <c r="C136" t="str">
        <f t="shared" si="12"/>
        <v>Donor source event</v>
      </c>
      <c r="D136" t="str">
        <f t="shared" si="13"/>
        <v>mm/dd/yyyy</v>
      </c>
      <c r="E136" s="77">
        <f>Master[[#This Row],[Received Date -received by site]]</f>
        <v>44466</v>
      </c>
      <c r="F136" s="76" t="str">
        <f>IF(Master[[#This Row],[Geography (Donor)  -Lookup Picker in GRIN]]="","",Master[[#This Row],[Geography (Donor)  -Lookup Picker in GRIN]])</f>
        <v/>
      </c>
      <c r="G136" t="str">
        <f t="shared" si="14"/>
        <v>N</v>
      </c>
    </row>
    <row r="137" spans="2:7" x14ac:dyDescent="0.25">
      <c r="B137" t="str">
        <f>Master[[#This Row],[Accession Prefix (NPGS)]]&amp;" "&amp;Master[[#This Row],[Accession Number -Assigned]]</f>
        <v>W6 59723</v>
      </c>
      <c r="C137" t="str">
        <f t="shared" si="12"/>
        <v>Donor source event</v>
      </c>
      <c r="D137" t="str">
        <f t="shared" si="13"/>
        <v>mm/dd/yyyy</v>
      </c>
      <c r="E137" s="77">
        <f>Master[[#This Row],[Received Date -received by site]]</f>
        <v>44466</v>
      </c>
      <c r="F137" s="76" t="str">
        <f>IF(Master[[#This Row],[Geography (Donor)  -Lookup Picker in GRIN]]="","",Master[[#This Row],[Geography (Donor)  -Lookup Picker in GRIN]])</f>
        <v/>
      </c>
      <c r="G137" t="str">
        <f t="shared" si="14"/>
        <v>N</v>
      </c>
    </row>
    <row r="138" spans="2:7" x14ac:dyDescent="0.25">
      <c r="B138" t="str">
        <f>Master[[#This Row],[Accession Prefix (NPGS)]]&amp;" "&amp;Master[[#This Row],[Accession Number -Assigned]]</f>
        <v>W6 59724</v>
      </c>
      <c r="C138" t="str">
        <f t="shared" si="12"/>
        <v>Donor source event</v>
      </c>
      <c r="D138" t="str">
        <f t="shared" si="13"/>
        <v>mm/dd/yyyy</v>
      </c>
      <c r="E138" s="77">
        <f>Master[[#This Row],[Received Date -received by site]]</f>
        <v>44466</v>
      </c>
      <c r="F138" s="76" t="str">
        <f>IF(Master[[#This Row],[Geography (Donor)  -Lookup Picker in GRIN]]="","",Master[[#This Row],[Geography (Donor)  -Lookup Picker in GRIN]])</f>
        <v/>
      </c>
      <c r="G138" t="str">
        <f t="shared" si="14"/>
        <v>N</v>
      </c>
    </row>
    <row r="139" spans="2:7" x14ac:dyDescent="0.25">
      <c r="B139" t="str">
        <f>Master[[#This Row],[Accession Prefix (NPGS)]]&amp;" "&amp;Master[[#This Row],[Accession Number -Assigned]]</f>
        <v>W6 59725</v>
      </c>
      <c r="C139" t="str">
        <f t="shared" si="12"/>
        <v>Donor source event</v>
      </c>
      <c r="D139" t="str">
        <f t="shared" si="13"/>
        <v>mm/dd/yyyy</v>
      </c>
      <c r="E139" s="77">
        <f>Master[[#This Row],[Received Date -received by site]]</f>
        <v>44466</v>
      </c>
      <c r="F139" s="76" t="str">
        <f>IF(Master[[#This Row],[Geography (Donor)  -Lookup Picker in GRIN]]="","",Master[[#This Row],[Geography (Donor)  -Lookup Picker in GRIN]])</f>
        <v/>
      </c>
      <c r="G139" t="str">
        <f t="shared" si="14"/>
        <v>N</v>
      </c>
    </row>
    <row r="140" spans="2:7" x14ac:dyDescent="0.25">
      <c r="B140" t="str">
        <f>Master[[#This Row],[Accession Prefix (NPGS)]]&amp;" "&amp;Master[[#This Row],[Accession Number -Assigned]]</f>
        <v>W6 59726</v>
      </c>
      <c r="C140" t="str">
        <f t="shared" si="12"/>
        <v>Donor source event</v>
      </c>
      <c r="D140" t="str">
        <f t="shared" si="13"/>
        <v>mm/dd/yyyy</v>
      </c>
      <c r="E140" s="77">
        <f>Master[[#This Row],[Received Date -received by site]]</f>
        <v>44466</v>
      </c>
      <c r="F140" s="76" t="str">
        <f>IF(Master[[#This Row],[Geography (Donor)  -Lookup Picker in GRIN]]="","",Master[[#This Row],[Geography (Donor)  -Lookup Picker in GRIN]])</f>
        <v/>
      </c>
      <c r="G140" t="str">
        <f t="shared" si="14"/>
        <v>N</v>
      </c>
    </row>
    <row r="141" spans="2:7" x14ac:dyDescent="0.25">
      <c r="B141" t="str">
        <f>Master[[#This Row],[Accession Prefix (NPGS)]]&amp;" "&amp;Master[[#This Row],[Accession Number -Assigned]]</f>
        <v>W6 59727</v>
      </c>
      <c r="C141" t="str">
        <f t="shared" si="12"/>
        <v>Donor source event</v>
      </c>
      <c r="D141" t="str">
        <f t="shared" si="13"/>
        <v>mm/dd/yyyy</v>
      </c>
      <c r="E141" s="77">
        <f>Master[[#This Row],[Received Date -received by site]]</f>
        <v>44466</v>
      </c>
      <c r="F141" s="76" t="str">
        <f>IF(Master[[#This Row],[Geography (Donor)  -Lookup Picker in GRIN]]="","",Master[[#This Row],[Geography (Donor)  -Lookup Picker in GRIN]])</f>
        <v/>
      </c>
      <c r="G141" t="str">
        <f t="shared" si="14"/>
        <v>N</v>
      </c>
    </row>
    <row r="142" spans="2:7" x14ac:dyDescent="0.25">
      <c r="B142" t="str">
        <f>Master[[#This Row],[Accession Prefix (NPGS)]]&amp;" "&amp;Master[[#This Row],[Accession Number -Assigned]]</f>
        <v>W6 59728</v>
      </c>
      <c r="C142" t="str">
        <f t="shared" si="12"/>
        <v>Donor source event</v>
      </c>
      <c r="D142" t="str">
        <f t="shared" si="13"/>
        <v>mm/dd/yyyy</v>
      </c>
      <c r="E142" s="77">
        <f>Master[[#This Row],[Received Date -received by site]]</f>
        <v>44466</v>
      </c>
      <c r="F142" s="76" t="str">
        <f>IF(Master[[#This Row],[Geography (Donor)  -Lookup Picker in GRIN]]="","",Master[[#This Row],[Geography (Donor)  -Lookup Picker in GRIN]])</f>
        <v/>
      </c>
      <c r="G142" t="str">
        <f t="shared" si="14"/>
        <v>N</v>
      </c>
    </row>
    <row r="143" spans="2:7" x14ac:dyDescent="0.25">
      <c r="B143" t="str">
        <f>Master[[#This Row],[Accession Prefix (NPGS)]]&amp;" "&amp;Master[[#This Row],[Accession Number -Assigned]]</f>
        <v>W6 59729</v>
      </c>
      <c r="C143" t="str">
        <f t="shared" si="12"/>
        <v>Donor source event</v>
      </c>
      <c r="D143" t="str">
        <f t="shared" si="13"/>
        <v>mm/dd/yyyy</v>
      </c>
      <c r="E143" s="77">
        <f>Master[[#This Row],[Received Date -received by site]]</f>
        <v>44466</v>
      </c>
      <c r="F143" s="76" t="str">
        <f>IF(Master[[#This Row],[Geography (Donor)  -Lookup Picker in GRIN]]="","",Master[[#This Row],[Geography (Donor)  -Lookup Picker in GRIN]])</f>
        <v/>
      </c>
      <c r="G143" t="str">
        <f t="shared" si="14"/>
        <v>N</v>
      </c>
    </row>
    <row r="144" spans="2:7" x14ac:dyDescent="0.25">
      <c r="B144" t="str">
        <f>Master[[#This Row],[Accession Prefix (NPGS)]]&amp;" "&amp;Master[[#This Row],[Accession Number -Assigned]]</f>
        <v>W6 59730</v>
      </c>
      <c r="C144" t="str">
        <f t="shared" si="12"/>
        <v>Donor source event</v>
      </c>
      <c r="D144" t="str">
        <f t="shared" si="13"/>
        <v>mm/dd/yyyy</v>
      </c>
      <c r="E144" s="77">
        <f>Master[[#This Row],[Received Date -received by site]]</f>
        <v>44466</v>
      </c>
      <c r="F144" s="76" t="str">
        <f>IF(Master[[#This Row],[Geography (Donor)  -Lookup Picker in GRIN]]="","",Master[[#This Row],[Geography (Donor)  -Lookup Picker in GRIN]])</f>
        <v/>
      </c>
      <c r="G144" t="str">
        <f t="shared" si="14"/>
        <v>N</v>
      </c>
    </row>
    <row r="145" spans="2:7" x14ac:dyDescent="0.25">
      <c r="B145" t="str">
        <f>Master[[#This Row],[Accession Prefix (NPGS)]]&amp;" "&amp;Master[[#This Row],[Accession Number -Assigned]]</f>
        <v>W6 59731</v>
      </c>
      <c r="C145" t="str">
        <f t="shared" si="12"/>
        <v>Donor source event</v>
      </c>
      <c r="D145" t="str">
        <f t="shared" si="13"/>
        <v>mm/dd/yyyy</v>
      </c>
      <c r="E145" s="77">
        <f>Master[[#This Row],[Received Date -received by site]]</f>
        <v>44466</v>
      </c>
      <c r="F145" s="76" t="str">
        <f>IF(Master[[#This Row],[Geography (Donor)  -Lookup Picker in GRIN]]="","",Master[[#This Row],[Geography (Donor)  -Lookup Picker in GRIN]])</f>
        <v/>
      </c>
      <c r="G145" t="str">
        <f t="shared" si="14"/>
        <v>N</v>
      </c>
    </row>
    <row r="146" spans="2:7" x14ac:dyDescent="0.25">
      <c r="B146" t="str">
        <f>Master[[#This Row],[Accession Prefix (NPGS)]]&amp;" "&amp;Master[[#This Row],[Accession Number -Assigned]]</f>
        <v>W6 59732</v>
      </c>
      <c r="C146" t="str">
        <f t="shared" si="12"/>
        <v>Donor source event</v>
      </c>
      <c r="D146" t="str">
        <f t="shared" si="13"/>
        <v>mm/dd/yyyy</v>
      </c>
      <c r="E146" s="77">
        <f>Master[[#This Row],[Received Date -received by site]]</f>
        <v>44466</v>
      </c>
      <c r="F146" s="76" t="str">
        <f>IF(Master[[#This Row],[Geography (Donor)  -Lookup Picker in GRIN]]="","",Master[[#This Row],[Geography (Donor)  -Lookup Picker in GRIN]])</f>
        <v/>
      </c>
      <c r="G146" t="str">
        <f t="shared" si="14"/>
        <v>N</v>
      </c>
    </row>
    <row r="147" spans="2:7" x14ac:dyDescent="0.25">
      <c r="B147" t="str">
        <f>Master[[#This Row],[Accession Prefix (NPGS)]]&amp;" "&amp;Master[[#This Row],[Accession Number -Assigned]]</f>
        <v>W6 59733</v>
      </c>
      <c r="C147" t="str">
        <f t="shared" si="12"/>
        <v>Donor source event</v>
      </c>
      <c r="D147" t="str">
        <f t="shared" si="13"/>
        <v>mm/dd/yyyy</v>
      </c>
      <c r="E147" s="77">
        <f>Master[[#This Row],[Received Date -received by site]]</f>
        <v>44466</v>
      </c>
      <c r="F147" s="76" t="str">
        <f>IF(Master[[#This Row],[Geography (Donor)  -Lookup Picker in GRIN]]="","",Master[[#This Row],[Geography (Donor)  -Lookup Picker in GRIN]])</f>
        <v/>
      </c>
      <c r="G147" t="str">
        <f t="shared" si="14"/>
        <v>N</v>
      </c>
    </row>
    <row r="148" spans="2:7" x14ac:dyDescent="0.25">
      <c r="B148" t="str">
        <f>Master[[#This Row],[Accession Prefix (NPGS)]]&amp;" "&amp;Master[[#This Row],[Accession Number -Assigned]]</f>
        <v>W6 59734</v>
      </c>
      <c r="C148" t="str">
        <f t="shared" si="12"/>
        <v>Donor source event</v>
      </c>
      <c r="D148" t="str">
        <f t="shared" si="13"/>
        <v>mm/dd/yyyy</v>
      </c>
      <c r="E148" s="77">
        <f>Master[[#This Row],[Received Date -received by site]]</f>
        <v>44466</v>
      </c>
      <c r="F148" s="76" t="str">
        <f>IF(Master[[#This Row],[Geography (Donor)  -Lookup Picker in GRIN]]="","",Master[[#This Row],[Geography (Donor)  -Lookup Picker in GRIN]])</f>
        <v/>
      </c>
      <c r="G148" t="str">
        <f t="shared" si="14"/>
        <v>N</v>
      </c>
    </row>
    <row r="149" spans="2:7" x14ac:dyDescent="0.25">
      <c r="B149" t="str">
        <f>Master[[#This Row],[Accession Prefix (NPGS)]]&amp;" "&amp;Master[[#This Row],[Accession Number -Assigned]]</f>
        <v>W6 59735</v>
      </c>
      <c r="C149" t="str">
        <f t="shared" si="12"/>
        <v>Donor source event</v>
      </c>
      <c r="D149" t="str">
        <f t="shared" si="13"/>
        <v>mm/dd/yyyy</v>
      </c>
      <c r="E149" s="77">
        <f>Master[[#This Row],[Received Date -received by site]]</f>
        <v>44466</v>
      </c>
      <c r="F149" s="76" t="str">
        <f>IF(Master[[#This Row],[Geography (Donor)  -Lookup Picker in GRIN]]="","",Master[[#This Row],[Geography (Donor)  -Lookup Picker in GRIN]])</f>
        <v/>
      </c>
      <c r="G149" t="str">
        <f t="shared" si="14"/>
        <v>N</v>
      </c>
    </row>
    <row r="150" spans="2:7" x14ac:dyDescent="0.25">
      <c r="B150" t="str">
        <f>Master[[#This Row],[Accession Prefix (NPGS)]]&amp;" "&amp;Master[[#This Row],[Accession Number -Assigned]]</f>
        <v>W6 59736</v>
      </c>
      <c r="C150" t="str">
        <f t="shared" ref="C150:C181" si="15">"Donor source event"</f>
        <v>Donor source event</v>
      </c>
      <c r="D150" t="str">
        <f t="shared" ref="D150:D181" si="16">"mm/dd/yyyy"</f>
        <v>mm/dd/yyyy</v>
      </c>
      <c r="E150" s="77">
        <f>Master[[#This Row],[Received Date -received by site]]</f>
        <v>44466</v>
      </c>
      <c r="F150" s="76" t="str">
        <f>IF(Master[[#This Row],[Geography (Donor)  -Lookup Picker in GRIN]]="","",Master[[#This Row],[Geography (Donor)  -Lookup Picker in GRIN]])</f>
        <v/>
      </c>
      <c r="G150" t="str">
        <f t="shared" ref="G150:G181" si="17">"N"</f>
        <v>N</v>
      </c>
    </row>
    <row r="151" spans="2:7" x14ac:dyDescent="0.25">
      <c r="B151" t="str">
        <f>Master[[#This Row],[Accession Prefix (NPGS)]]&amp;" "&amp;Master[[#This Row],[Accession Number -Assigned]]</f>
        <v>W6 59737</v>
      </c>
      <c r="C151" t="str">
        <f t="shared" si="15"/>
        <v>Donor source event</v>
      </c>
      <c r="D151" t="str">
        <f t="shared" si="16"/>
        <v>mm/dd/yyyy</v>
      </c>
      <c r="E151" s="77">
        <f>Master[[#This Row],[Received Date -received by site]]</f>
        <v>44466</v>
      </c>
      <c r="F151" s="76" t="str">
        <f>IF(Master[[#This Row],[Geography (Donor)  -Lookup Picker in GRIN]]="","",Master[[#This Row],[Geography (Donor)  -Lookup Picker in GRIN]])</f>
        <v/>
      </c>
      <c r="G151" t="str">
        <f t="shared" si="17"/>
        <v>N</v>
      </c>
    </row>
    <row r="152" spans="2:7" x14ac:dyDescent="0.25">
      <c r="B152" t="str">
        <f>Master[[#This Row],[Accession Prefix (NPGS)]]&amp;" "&amp;Master[[#This Row],[Accession Number -Assigned]]</f>
        <v xml:space="preserve"> </v>
      </c>
      <c r="C152" t="str">
        <f t="shared" si="15"/>
        <v>Donor source event</v>
      </c>
      <c r="D152" t="str">
        <f t="shared" si="16"/>
        <v>mm/dd/yyyy</v>
      </c>
      <c r="E152" s="77">
        <f>Master[[#This Row],[Received Date -received by site]]</f>
        <v>0</v>
      </c>
      <c r="F152" s="76" t="str">
        <f>IF(Master[[#This Row],[Geography (Donor)  -Lookup Picker in GRIN]]="","",Master[[#This Row],[Geography (Donor)  -Lookup Picker in GRIN]])</f>
        <v/>
      </c>
      <c r="G152" t="str">
        <f t="shared" si="17"/>
        <v>N</v>
      </c>
    </row>
    <row r="153" spans="2:7" x14ac:dyDescent="0.25">
      <c r="B153" t="str">
        <f>Master[[#This Row],[Accession Prefix (NPGS)]]&amp;" "&amp;Master[[#This Row],[Accession Number -Assigned]]</f>
        <v xml:space="preserve"> </v>
      </c>
      <c r="C153" t="str">
        <f t="shared" si="15"/>
        <v>Donor source event</v>
      </c>
      <c r="D153" t="str">
        <f t="shared" si="16"/>
        <v>mm/dd/yyyy</v>
      </c>
      <c r="E153" s="77">
        <f>Master[[#This Row],[Received Date -received by site]]</f>
        <v>0</v>
      </c>
      <c r="F153" s="76" t="str">
        <f>IF(Master[[#This Row],[Geography (Donor)  -Lookup Picker in GRIN]]="","",Master[[#This Row],[Geography (Donor)  -Lookup Picker in GRIN]])</f>
        <v/>
      </c>
      <c r="G153" t="str">
        <f t="shared" si="17"/>
        <v>N</v>
      </c>
    </row>
    <row r="154" spans="2:7" x14ac:dyDescent="0.25">
      <c r="B154" t="str">
        <f>Master[[#This Row],[Accession Prefix (NPGS)]]&amp;" "&amp;Master[[#This Row],[Accession Number -Assigned]]</f>
        <v xml:space="preserve"> </v>
      </c>
      <c r="C154" t="str">
        <f t="shared" si="15"/>
        <v>Donor source event</v>
      </c>
      <c r="D154" t="str">
        <f t="shared" si="16"/>
        <v>mm/dd/yyyy</v>
      </c>
      <c r="E154" s="77">
        <f>Master[[#This Row],[Received Date -received by site]]</f>
        <v>0</v>
      </c>
      <c r="F154" s="76" t="str">
        <f>IF(Master[[#This Row],[Geography (Donor)  -Lookup Picker in GRIN]]="","",Master[[#This Row],[Geography (Donor)  -Lookup Picker in GRIN]])</f>
        <v/>
      </c>
      <c r="G154" t="str">
        <f t="shared" si="17"/>
        <v>N</v>
      </c>
    </row>
    <row r="155" spans="2:7" x14ac:dyDescent="0.25">
      <c r="B155" t="str">
        <f>Master[[#This Row],[Accession Prefix (NPGS)]]&amp;" "&amp;Master[[#This Row],[Accession Number -Assigned]]</f>
        <v xml:space="preserve"> </v>
      </c>
      <c r="C155" t="str">
        <f t="shared" si="15"/>
        <v>Donor source event</v>
      </c>
      <c r="D155" t="str">
        <f t="shared" si="16"/>
        <v>mm/dd/yyyy</v>
      </c>
      <c r="E155" s="77">
        <f>Master[[#This Row],[Received Date -received by site]]</f>
        <v>0</v>
      </c>
      <c r="F155" s="76" t="str">
        <f>IF(Master[[#This Row],[Geography (Donor)  -Lookup Picker in GRIN]]="","",Master[[#This Row],[Geography (Donor)  -Lookup Picker in GRIN]])</f>
        <v/>
      </c>
      <c r="G155" t="str">
        <f t="shared" si="17"/>
        <v>N</v>
      </c>
    </row>
    <row r="156" spans="2:7" x14ac:dyDescent="0.25">
      <c r="B156" t="str">
        <f>Master[[#This Row],[Accession Prefix (NPGS)]]&amp;" "&amp;Master[[#This Row],[Accession Number -Assigned]]</f>
        <v xml:space="preserve"> </v>
      </c>
      <c r="C156" t="str">
        <f t="shared" si="15"/>
        <v>Donor source event</v>
      </c>
      <c r="D156" t="str">
        <f t="shared" si="16"/>
        <v>mm/dd/yyyy</v>
      </c>
      <c r="E156" s="77">
        <f>Master[[#This Row],[Received Date -received by site]]</f>
        <v>0</v>
      </c>
      <c r="F156" s="76" t="str">
        <f>IF(Master[[#This Row],[Geography (Donor)  -Lookup Picker in GRIN]]="","",Master[[#This Row],[Geography (Donor)  -Lookup Picker in GRIN]])</f>
        <v/>
      </c>
      <c r="G156" t="str">
        <f t="shared" si="17"/>
        <v>N</v>
      </c>
    </row>
    <row r="157" spans="2:7" x14ac:dyDescent="0.25">
      <c r="B157" t="str">
        <f>Master[[#This Row],[Accession Prefix (NPGS)]]&amp;" "&amp;Master[[#This Row],[Accession Number -Assigned]]</f>
        <v xml:space="preserve"> </v>
      </c>
      <c r="C157" t="str">
        <f t="shared" si="15"/>
        <v>Donor source event</v>
      </c>
      <c r="D157" t="str">
        <f t="shared" si="16"/>
        <v>mm/dd/yyyy</v>
      </c>
      <c r="E157" s="77">
        <f>Master[[#This Row],[Received Date -received by site]]</f>
        <v>0</v>
      </c>
      <c r="F157" s="76" t="str">
        <f>IF(Master[[#This Row],[Geography (Donor)  -Lookup Picker in GRIN]]="","",Master[[#This Row],[Geography (Donor)  -Lookup Picker in GRIN]])</f>
        <v/>
      </c>
      <c r="G157" t="str">
        <f t="shared" si="17"/>
        <v>N</v>
      </c>
    </row>
    <row r="158" spans="2:7" x14ac:dyDescent="0.25">
      <c r="B158" t="str">
        <f>Master[[#This Row],[Accession Prefix (NPGS)]]&amp;" "&amp;Master[[#This Row],[Accession Number -Assigned]]</f>
        <v xml:space="preserve"> </v>
      </c>
      <c r="C158" t="str">
        <f t="shared" si="15"/>
        <v>Donor source event</v>
      </c>
      <c r="D158" t="str">
        <f t="shared" si="16"/>
        <v>mm/dd/yyyy</v>
      </c>
      <c r="E158" s="77">
        <f>Master[[#This Row],[Received Date -received by site]]</f>
        <v>0</v>
      </c>
      <c r="F158" s="76" t="str">
        <f>IF(Master[[#This Row],[Geography (Donor)  -Lookup Picker in GRIN]]="","",Master[[#This Row],[Geography (Donor)  -Lookup Picker in GRIN]])</f>
        <v/>
      </c>
      <c r="G158" t="str">
        <f t="shared" si="17"/>
        <v>N</v>
      </c>
    </row>
    <row r="159" spans="2:7" x14ac:dyDescent="0.25">
      <c r="B159" t="str">
        <f>Master[[#This Row],[Accession Prefix (NPGS)]]&amp;" "&amp;Master[[#This Row],[Accession Number -Assigned]]</f>
        <v xml:space="preserve"> </v>
      </c>
      <c r="C159" t="str">
        <f t="shared" si="15"/>
        <v>Donor source event</v>
      </c>
      <c r="D159" t="str">
        <f t="shared" si="16"/>
        <v>mm/dd/yyyy</v>
      </c>
      <c r="E159" s="77">
        <f>Master[[#This Row],[Received Date -received by site]]</f>
        <v>0</v>
      </c>
      <c r="F159" s="76" t="str">
        <f>IF(Master[[#This Row],[Geography (Donor)  -Lookup Picker in GRIN]]="","",Master[[#This Row],[Geography (Donor)  -Lookup Picker in GRIN]])</f>
        <v/>
      </c>
      <c r="G159" t="str">
        <f t="shared" si="17"/>
        <v>N</v>
      </c>
    </row>
    <row r="160" spans="2:7" x14ac:dyDescent="0.25">
      <c r="B160" t="str">
        <f>Master[[#This Row],[Accession Prefix (NPGS)]]&amp;" "&amp;Master[[#This Row],[Accession Number -Assigned]]</f>
        <v xml:space="preserve"> </v>
      </c>
      <c r="C160" t="str">
        <f t="shared" si="15"/>
        <v>Donor source event</v>
      </c>
      <c r="D160" t="str">
        <f t="shared" si="16"/>
        <v>mm/dd/yyyy</v>
      </c>
      <c r="E160" s="77">
        <f>Master[[#This Row],[Received Date -received by site]]</f>
        <v>0</v>
      </c>
      <c r="F160" s="76" t="str">
        <f>IF(Master[[#This Row],[Geography (Donor)  -Lookup Picker in GRIN]]="","",Master[[#This Row],[Geography (Donor)  -Lookup Picker in GRIN]])</f>
        <v/>
      </c>
      <c r="G160" t="str">
        <f t="shared" si="17"/>
        <v>N</v>
      </c>
    </row>
    <row r="161" spans="2:7" x14ac:dyDescent="0.25">
      <c r="B161" t="str">
        <f>Master[[#This Row],[Accession Prefix (NPGS)]]&amp;" "&amp;Master[[#This Row],[Accession Number -Assigned]]</f>
        <v xml:space="preserve"> </v>
      </c>
      <c r="C161" t="str">
        <f t="shared" si="15"/>
        <v>Donor source event</v>
      </c>
      <c r="D161" t="str">
        <f t="shared" si="16"/>
        <v>mm/dd/yyyy</v>
      </c>
      <c r="E161" s="77">
        <f>Master[[#This Row],[Received Date -received by site]]</f>
        <v>0</v>
      </c>
      <c r="F161" s="76" t="str">
        <f>IF(Master[[#This Row],[Geography (Donor)  -Lookup Picker in GRIN]]="","",Master[[#This Row],[Geography (Donor)  -Lookup Picker in GRIN]])</f>
        <v/>
      </c>
      <c r="G161" t="str">
        <f t="shared" si="17"/>
        <v>N</v>
      </c>
    </row>
    <row r="162" spans="2:7" x14ac:dyDescent="0.25">
      <c r="B162" t="str">
        <f>Master[[#This Row],[Accession Prefix (NPGS)]]&amp;" "&amp;Master[[#This Row],[Accession Number -Assigned]]</f>
        <v xml:space="preserve"> </v>
      </c>
      <c r="C162" t="str">
        <f t="shared" si="15"/>
        <v>Donor source event</v>
      </c>
      <c r="D162" t="str">
        <f t="shared" si="16"/>
        <v>mm/dd/yyyy</v>
      </c>
      <c r="E162" s="77">
        <f>Master[[#This Row],[Received Date -received by site]]</f>
        <v>0</v>
      </c>
      <c r="F162" s="76" t="str">
        <f>IF(Master[[#This Row],[Geography (Donor)  -Lookup Picker in GRIN]]="","",Master[[#This Row],[Geography (Donor)  -Lookup Picker in GRIN]])</f>
        <v/>
      </c>
      <c r="G162" t="str">
        <f t="shared" si="17"/>
        <v>N</v>
      </c>
    </row>
    <row r="163" spans="2:7" x14ac:dyDescent="0.25">
      <c r="B163" t="str">
        <f>Master[[#This Row],[Accession Prefix (NPGS)]]&amp;" "&amp;Master[[#This Row],[Accession Number -Assigned]]</f>
        <v xml:space="preserve"> </v>
      </c>
      <c r="C163" t="str">
        <f t="shared" si="15"/>
        <v>Donor source event</v>
      </c>
      <c r="D163" t="str">
        <f t="shared" si="16"/>
        <v>mm/dd/yyyy</v>
      </c>
      <c r="E163" s="77">
        <f>Master[[#This Row],[Received Date -received by site]]</f>
        <v>0</v>
      </c>
      <c r="F163" s="76" t="str">
        <f>IF(Master[[#This Row],[Geography (Donor)  -Lookup Picker in GRIN]]="","",Master[[#This Row],[Geography (Donor)  -Lookup Picker in GRIN]])</f>
        <v/>
      </c>
      <c r="G163" t="str">
        <f t="shared" si="17"/>
        <v>N</v>
      </c>
    </row>
    <row r="164" spans="2:7" x14ac:dyDescent="0.25">
      <c r="B164" t="str">
        <f>Master[[#This Row],[Accession Prefix (NPGS)]]&amp;" "&amp;Master[[#This Row],[Accession Number -Assigned]]</f>
        <v xml:space="preserve"> </v>
      </c>
      <c r="C164" t="str">
        <f t="shared" si="15"/>
        <v>Donor source event</v>
      </c>
      <c r="D164" t="str">
        <f t="shared" si="16"/>
        <v>mm/dd/yyyy</v>
      </c>
      <c r="E164" s="77">
        <f>Master[[#This Row],[Received Date -received by site]]</f>
        <v>0</v>
      </c>
      <c r="F164" s="76" t="str">
        <f>IF(Master[[#This Row],[Geography (Donor)  -Lookup Picker in GRIN]]="","",Master[[#This Row],[Geography (Donor)  -Lookup Picker in GRIN]])</f>
        <v/>
      </c>
      <c r="G164" t="str">
        <f t="shared" si="17"/>
        <v>N</v>
      </c>
    </row>
    <row r="165" spans="2:7" x14ac:dyDescent="0.25">
      <c r="B165" t="str">
        <f>Master[[#This Row],[Accession Prefix (NPGS)]]&amp;" "&amp;Master[[#This Row],[Accession Number -Assigned]]</f>
        <v xml:space="preserve"> </v>
      </c>
      <c r="C165" t="str">
        <f t="shared" si="15"/>
        <v>Donor source event</v>
      </c>
      <c r="D165" t="str">
        <f t="shared" si="16"/>
        <v>mm/dd/yyyy</v>
      </c>
      <c r="E165" s="77">
        <f>Master[[#This Row],[Received Date -received by site]]</f>
        <v>0</v>
      </c>
      <c r="F165" s="76" t="str">
        <f>IF(Master[[#This Row],[Geography (Donor)  -Lookup Picker in GRIN]]="","",Master[[#This Row],[Geography (Donor)  -Lookup Picker in GRIN]])</f>
        <v/>
      </c>
      <c r="G165" t="str">
        <f t="shared" si="17"/>
        <v>N</v>
      </c>
    </row>
    <row r="166" spans="2:7" x14ac:dyDescent="0.25">
      <c r="B166" t="str">
        <f>Master[[#This Row],[Accession Prefix (NPGS)]]&amp;" "&amp;Master[[#This Row],[Accession Number -Assigned]]</f>
        <v xml:space="preserve"> </v>
      </c>
      <c r="C166" t="str">
        <f t="shared" si="15"/>
        <v>Donor source event</v>
      </c>
      <c r="D166" t="str">
        <f t="shared" si="16"/>
        <v>mm/dd/yyyy</v>
      </c>
      <c r="E166" s="77">
        <f>Master[[#This Row],[Received Date -received by site]]</f>
        <v>0</v>
      </c>
      <c r="F166" s="76" t="str">
        <f>IF(Master[[#This Row],[Geography (Donor)  -Lookup Picker in GRIN]]="","",Master[[#This Row],[Geography (Donor)  -Lookup Picker in GRIN]])</f>
        <v/>
      </c>
      <c r="G166" t="str">
        <f t="shared" si="17"/>
        <v>N</v>
      </c>
    </row>
    <row r="167" spans="2:7" x14ac:dyDescent="0.25">
      <c r="B167" t="str">
        <f>Master[[#This Row],[Accession Prefix (NPGS)]]&amp;" "&amp;Master[[#This Row],[Accession Number -Assigned]]</f>
        <v xml:space="preserve"> </v>
      </c>
      <c r="C167" t="str">
        <f t="shared" si="15"/>
        <v>Donor source event</v>
      </c>
      <c r="D167" t="str">
        <f t="shared" si="16"/>
        <v>mm/dd/yyyy</v>
      </c>
      <c r="E167" s="77">
        <f>Master[[#This Row],[Received Date -received by site]]</f>
        <v>0</v>
      </c>
      <c r="F167" s="76" t="str">
        <f>IF(Master[[#This Row],[Geography (Donor)  -Lookup Picker in GRIN]]="","",Master[[#This Row],[Geography (Donor)  -Lookup Picker in GRIN]])</f>
        <v/>
      </c>
      <c r="G167" t="str">
        <f t="shared" si="17"/>
        <v>N</v>
      </c>
    </row>
    <row r="168" spans="2:7" x14ac:dyDescent="0.25">
      <c r="B168" t="str">
        <f>Master[[#This Row],[Accession Prefix (NPGS)]]&amp;" "&amp;Master[[#This Row],[Accession Number -Assigned]]</f>
        <v xml:space="preserve"> </v>
      </c>
      <c r="C168" t="str">
        <f t="shared" si="15"/>
        <v>Donor source event</v>
      </c>
      <c r="D168" t="str">
        <f t="shared" si="16"/>
        <v>mm/dd/yyyy</v>
      </c>
      <c r="E168" s="77">
        <f>Master[[#This Row],[Received Date -received by site]]</f>
        <v>0</v>
      </c>
      <c r="F168" s="76" t="str">
        <f>IF(Master[[#This Row],[Geography (Donor)  -Lookup Picker in GRIN]]="","",Master[[#This Row],[Geography (Donor)  -Lookup Picker in GRIN]])</f>
        <v/>
      </c>
      <c r="G168" t="str">
        <f t="shared" si="17"/>
        <v>N</v>
      </c>
    </row>
    <row r="169" spans="2:7" x14ac:dyDescent="0.25">
      <c r="B169" t="str">
        <f>Master[[#This Row],[Accession Prefix (NPGS)]]&amp;" "&amp;Master[[#This Row],[Accession Number -Assigned]]</f>
        <v xml:space="preserve"> </v>
      </c>
      <c r="C169" t="str">
        <f t="shared" si="15"/>
        <v>Donor source event</v>
      </c>
      <c r="D169" t="str">
        <f t="shared" si="16"/>
        <v>mm/dd/yyyy</v>
      </c>
      <c r="E169" s="77">
        <f>Master[[#This Row],[Received Date -received by site]]</f>
        <v>0</v>
      </c>
      <c r="F169" s="76" t="str">
        <f>IF(Master[[#This Row],[Geography (Donor)  -Lookup Picker in GRIN]]="","",Master[[#This Row],[Geography (Donor)  -Lookup Picker in GRIN]])</f>
        <v/>
      </c>
      <c r="G169" t="str">
        <f t="shared" si="17"/>
        <v>N</v>
      </c>
    </row>
    <row r="170" spans="2:7" x14ac:dyDescent="0.25">
      <c r="B170" t="str">
        <f>Master[[#This Row],[Accession Prefix (NPGS)]]&amp;" "&amp;Master[[#This Row],[Accession Number -Assigned]]</f>
        <v xml:space="preserve"> </v>
      </c>
      <c r="C170" t="str">
        <f t="shared" si="15"/>
        <v>Donor source event</v>
      </c>
      <c r="D170" t="str">
        <f t="shared" si="16"/>
        <v>mm/dd/yyyy</v>
      </c>
      <c r="E170" s="77">
        <f>Master[[#This Row],[Received Date -received by site]]</f>
        <v>0</v>
      </c>
      <c r="F170" s="76" t="str">
        <f>IF(Master[[#This Row],[Geography (Donor)  -Lookup Picker in GRIN]]="","",Master[[#This Row],[Geography (Donor)  -Lookup Picker in GRIN]])</f>
        <v/>
      </c>
      <c r="G170" t="str">
        <f t="shared" si="17"/>
        <v>N</v>
      </c>
    </row>
    <row r="171" spans="2:7" x14ac:dyDescent="0.25">
      <c r="B171" t="str">
        <f>Master[[#This Row],[Accession Prefix (NPGS)]]&amp;" "&amp;Master[[#This Row],[Accession Number -Assigned]]</f>
        <v xml:space="preserve"> </v>
      </c>
      <c r="C171" t="str">
        <f t="shared" si="15"/>
        <v>Donor source event</v>
      </c>
      <c r="D171" t="str">
        <f t="shared" si="16"/>
        <v>mm/dd/yyyy</v>
      </c>
      <c r="E171" s="77">
        <f>Master[[#This Row],[Received Date -received by site]]</f>
        <v>0</v>
      </c>
      <c r="F171" s="76" t="str">
        <f>IF(Master[[#This Row],[Geography (Donor)  -Lookup Picker in GRIN]]="","",Master[[#This Row],[Geography (Donor)  -Lookup Picker in GRIN]])</f>
        <v/>
      </c>
      <c r="G171" t="str">
        <f t="shared" si="17"/>
        <v>N</v>
      </c>
    </row>
    <row r="172" spans="2:7" x14ac:dyDescent="0.25">
      <c r="B172" t="str">
        <f>Master[[#This Row],[Accession Prefix (NPGS)]]&amp;" "&amp;Master[[#This Row],[Accession Number -Assigned]]</f>
        <v xml:space="preserve"> </v>
      </c>
      <c r="C172" t="str">
        <f t="shared" si="15"/>
        <v>Donor source event</v>
      </c>
      <c r="D172" t="str">
        <f t="shared" si="16"/>
        <v>mm/dd/yyyy</v>
      </c>
      <c r="E172" s="77">
        <f>Master[[#This Row],[Received Date -received by site]]</f>
        <v>0</v>
      </c>
      <c r="F172" s="76" t="str">
        <f>IF(Master[[#This Row],[Geography (Donor)  -Lookup Picker in GRIN]]="","",Master[[#This Row],[Geography (Donor)  -Lookup Picker in GRIN]])</f>
        <v/>
      </c>
      <c r="G172" t="str">
        <f t="shared" si="17"/>
        <v>N</v>
      </c>
    </row>
    <row r="173" spans="2:7" x14ac:dyDescent="0.25">
      <c r="B173" t="str">
        <f>Master[[#This Row],[Accession Prefix (NPGS)]]&amp;" "&amp;Master[[#This Row],[Accession Number -Assigned]]</f>
        <v xml:space="preserve"> </v>
      </c>
      <c r="C173" t="str">
        <f t="shared" si="15"/>
        <v>Donor source event</v>
      </c>
      <c r="D173" t="str">
        <f t="shared" si="16"/>
        <v>mm/dd/yyyy</v>
      </c>
      <c r="E173" s="77">
        <f>Master[[#This Row],[Received Date -received by site]]</f>
        <v>0</v>
      </c>
      <c r="F173" s="76" t="str">
        <f>IF(Master[[#This Row],[Geography (Donor)  -Lookup Picker in GRIN]]="","",Master[[#This Row],[Geography (Donor)  -Lookup Picker in GRIN]])</f>
        <v/>
      </c>
      <c r="G173" t="str">
        <f t="shared" si="17"/>
        <v>N</v>
      </c>
    </row>
    <row r="174" spans="2:7" x14ac:dyDescent="0.25">
      <c r="B174" t="str">
        <f>Master[[#This Row],[Accession Prefix (NPGS)]]&amp;" "&amp;Master[[#This Row],[Accession Number -Assigned]]</f>
        <v xml:space="preserve"> </v>
      </c>
      <c r="C174" t="str">
        <f t="shared" si="15"/>
        <v>Donor source event</v>
      </c>
      <c r="D174" t="str">
        <f t="shared" si="16"/>
        <v>mm/dd/yyyy</v>
      </c>
      <c r="E174" s="77">
        <f>Master[[#This Row],[Received Date -received by site]]</f>
        <v>0</v>
      </c>
      <c r="F174" s="76" t="str">
        <f>IF(Master[[#This Row],[Geography (Donor)  -Lookup Picker in GRIN]]="","",Master[[#This Row],[Geography (Donor)  -Lookup Picker in GRIN]])</f>
        <v/>
      </c>
      <c r="G174" t="str">
        <f t="shared" si="17"/>
        <v>N</v>
      </c>
    </row>
    <row r="175" spans="2:7" x14ac:dyDescent="0.25">
      <c r="B175" t="str">
        <f>Master[[#This Row],[Accession Prefix (NPGS)]]&amp;" "&amp;Master[[#This Row],[Accession Number -Assigned]]</f>
        <v xml:space="preserve"> </v>
      </c>
      <c r="C175" t="str">
        <f t="shared" si="15"/>
        <v>Donor source event</v>
      </c>
      <c r="D175" t="str">
        <f t="shared" si="16"/>
        <v>mm/dd/yyyy</v>
      </c>
      <c r="E175" s="77">
        <f>Master[[#This Row],[Received Date -received by site]]</f>
        <v>0</v>
      </c>
      <c r="F175" s="76" t="str">
        <f>IF(Master[[#This Row],[Geography (Donor)  -Lookup Picker in GRIN]]="","",Master[[#This Row],[Geography (Donor)  -Lookup Picker in GRIN]])</f>
        <v/>
      </c>
      <c r="G175" t="str">
        <f t="shared" si="17"/>
        <v>N</v>
      </c>
    </row>
    <row r="176" spans="2:7" x14ac:dyDescent="0.25">
      <c r="B176" t="str">
        <f>Master[[#This Row],[Accession Prefix (NPGS)]]&amp;" "&amp;Master[[#This Row],[Accession Number -Assigned]]</f>
        <v xml:space="preserve"> </v>
      </c>
      <c r="C176" t="str">
        <f t="shared" si="15"/>
        <v>Donor source event</v>
      </c>
      <c r="D176" t="str">
        <f t="shared" si="16"/>
        <v>mm/dd/yyyy</v>
      </c>
      <c r="E176" s="77">
        <f>Master[[#This Row],[Received Date -received by site]]</f>
        <v>0</v>
      </c>
      <c r="F176" s="76" t="str">
        <f>IF(Master[[#This Row],[Geography (Donor)  -Lookup Picker in GRIN]]="","",Master[[#This Row],[Geography (Donor)  -Lookup Picker in GRIN]])</f>
        <v/>
      </c>
      <c r="G176" t="str">
        <f t="shared" si="17"/>
        <v>N</v>
      </c>
    </row>
    <row r="177" spans="2:7" x14ac:dyDescent="0.25">
      <c r="B177" t="str">
        <f>Master[[#This Row],[Accession Prefix (NPGS)]]&amp;" "&amp;Master[[#This Row],[Accession Number -Assigned]]</f>
        <v xml:space="preserve"> </v>
      </c>
      <c r="C177" t="str">
        <f t="shared" si="15"/>
        <v>Donor source event</v>
      </c>
      <c r="D177" t="str">
        <f t="shared" si="16"/>
        <v>mm/dd/yyyy</v>
      </c>
      <c r="E177" s="77">
        <f>Master[[#This Row],[Received Date -received by site]]</f>
        <v>0</v>
      </c>
      <c r="F177" s="76" t="str">
        <f>IF(Master[[#This Row],[Geography (Donor)  -Lookup Picker in GRIN]]="","",Master[[#This Row],[Geography (Donor)  -Lookup Picker in GRIN]])</f>
        <v/>
      </c>
      <c r="G177" t="str">
        <f t="shared" si="17"/>
        <v>N</v>
      </c>
    </row>
    <row r="178" spans="2:7" x14ac:dyDescent="0.25">
      <c r="B178" t="str">
        <f>Master[[#This Row],[Accession Prefix (NPGS)]]&amp;" "&amp;Master[[#This Row],[Accession Number -Assigned]]</f>
        <v xml:space="preserve"> </v>
      </c>
      <c r="C178" t="str">
        <f t="shared" si="15"/>
        <v>Donor source event</v>
      </c>
      <c r="D178" t="str">
        <f t="shared" si="16"/>
        <v>mm/dd/yyyy</v>
      </c>
      <c r="E178" s="77">
        <f>Master[[#This Row],[Received Date -received by site]]</f>
        <v>0</v>
      </c>
      <c r="F178" s="76" t="str">
        <f>IF(Master[[#This Row],[Geography (Donor)  -Lookup Picker in GRIN]]="","",Master[[#This Row],[Geography (Donor)  -Lookup Picker in GRIN]])</f>
        <v/>
      </c>
      <c r="G178" t="str">
        <f t="shared" si="17"/>
        <v>N</v>
      </c>
    </row>
    <row r="179" spans="2:7" x14ac:dyDescent="0.25">
      <c r="B179" t="str">
        <f>Master[[#This Row],[Accession Prefix (NPGS)]]&amp;" "&amp;Master[[#This Row],[Accession Number -Assigned]]</f>
        <v xml:space="preserve"> </v>
      </c>
      <c r="C179" t="str">
        <f t="shared" si="15"/>
        <v>Donor source event</v>
      </c>
      <c r="D179" t="str">
        <f t="shared" si="16"/>
        <v>mm/dd/yyyy</v>
      </c>
      <c r="E179" s="77">
        <f>Master[[#This Row],[Received Date -received by site]]</f>
        <v>0</v>
      </c>
      <c r="F179" s="76" t="str">
        <f>IF(Master[[#This Row],[Geography (Donor)  -Lookup Picker in GRIN]]="","",Master[[#This Row],[Geography (Donor)  -Lookup Picker in GRIN]])</f>
        <v/>
      </c>
      <c r="G179" t="str">
        <f t="shared" si="17"/>
        <v>N</v>
      </c>
    </row>
    <row r="180" spans="2:7" x14ac:dyDescent="0.25">
      <c r="B180" t="str">
        <f>Master[[#This Row],[Accession Prefix (NPGS)]]&amp;" "&amp;Master[[#This Row],[Accession Number -Assigned]]</f>
        <v xml:space="preserve"> </v>
      </c>
      <c r="C180" t="str">
        <f t="shared" si="15"/>
        <v>Donor source event</v>
      </c>
      <c r="D180" t="str">
        <f t="shared" si="16"/>
        <v>mm/dd/yyyy</v>
      </c>
      <c r="E180" s="77">
        <f>Master[[#This Row],[Received Date -received by site]]</f>
        <v>0</v>
      </c>
      <c r="F180" s="76" t="str">
        <f>IF(Master[[#This Row],[Geography (Donor)  -Lookup Picker in GRIN]]="","",Master[[#This Row],[Geography (Donor)  -Lookup Picker in GRIN]])</f>
        <v/>
      </c>
      <c r="G180" t="str">
        <f t="shared" si="17"/>
        <v>N</v>
      </c>
    </row>
    <row r="181" spans="2:7" x14ac:dyDescent="0.25">
      <c r="B181" t="str">
        <f>Master[[#This Row],[Accession Prefix (NPGS)]]&amp;" "&amp;Master[[#This Row],[Accession Number -Assigned]]</f>
        <v xml:space="preserve"> </v>
      </c>
      <c r="C181" t="str">
        <f t="shared" si="15"/>
        <v>Donor source event</v>
      </c>
      <c r="D181" t="str">
        <f t="shared" si="16"/>
        <v>mm/dd/yyyy</v>
      </c>
      <c r="E181" s="77">
        <f>Master[[#This Row],[Received Date -received by site]]</f>
        <v>0</v>
      </c>
      <c r="F181" s="76" t="str">
        <f>IF(Master[[#This Row],[Geography (Donor)  -Lookup Picker in GRIN]]="","",Master[[#This Row],[Geography (Donor)  -Lookup Picker in GRIN]])</f>
        <v/>
      </c>
      <c r="G181" t="str">
        <f t="shared" si="17"/>
        <v>N</v>
      </c>
    </row>
    <row r="182" spans="2:7" x14ac:dyDescent="0.25">
      <c r="B182" t="str">
        <f>Master[[#This Row],[Accession Prefix (NPGS)]]&amp;" "&amp;Master[[#This Row],[Accession Number -Assigned]]</f>
        <v xml:space="preserve"> </v>
      </c>
      <c r="C182" t="str">
        <f t="shared" ref="C182:C201" si="18">"Donor source event"</f>
        <v>Donor source event</v>
      </c>
      <c r="D182" t="str">
        <f t="shared" ref="D182:D201" si="19">"mm/dd/yyyy"</f>
        <v>mm/dd/yyyy</v>
      </c>
      <c r="E182" s="77">
        <f>Master[[#This Row],[Received Date -received by site]]</f>
        <v>0</v>
      </c>
      <c r="F182" s="76" t="str">
        <f>IF(Master[[#This Row],[Geography (Donor)  -Lookup Picker in GRIN]]="","",Master[[#This Row],[Geography (Donor)  -Lookup Picker in GRIN]])</f>
        <v/>
      </c>
      <c r="G182" t="str">
        <f t="shared" ref="G182:G201" si="20">"N"</f>
        <v>N</v>
      </c>
    </row>
    <row r="183" spans="2:7" x14ac:dyDescent="0.25">
      <c r="B183" t="str">
        <f>Master[[#This Row],[Accession Prefix (NPGS)]]&amp;" "&amp;Master[[#This Row],[Accession Number -Assigned]]</f>
        <v xml:space="preserve"> </v>
      </c>
      <c r="C183" t="str">
        <f t="shared" si="18"/>
        <v>Donor source event</v>
      </c>
      <c r="D183" t="str">
        <f t="shared" si="19"/>
        <v>mm/dd/yyyy</v>
      </c>
      <c r="E183" s="77">
        <f>Master[[#This Row],[Received Date -received by site]]</f>
        <v>0</v>
      </c>
      <c r="F183" s="76" t="str">
        <f>IF(Master[[#This Row],[Geography (Donor)  -Lookup Picker in GRIN]]="","",Master[[#This Row],[Geography (Donor)  -Lookup Picker in GRIN]])</f>
        <v/>
      </c>
      <c r="G183" t="str">
        <f t="shared" si="20"/>
        <v>N</v>
      </c>
    </row>
    <row r="184" spans="2:7" x14ac:dyDescent="0.25">
      <c r="B184" t="str">
        <f>Master[[#This Row],[Accession Prefix (NPGS)]]&amp;" "&amp;Master[[#This Row],[Accession Number -Assigned]]</f>
        <v xml:space="preserve"> </v>
      </c>
      <c r="C184" t="str">
        <f t="shared" si="18"/>
        <v>Donor source event</v>
      </c>
      <c r="D184" t="str">
        <f t="shared" si="19"/>
        <v>mm/dd/yyyy</v>
      </c>
      <c r="E184" s="77">
        <f>Master[[#This Row],[Received Date -received by site]]</f>
        <v>0</v>
      </c>
      <c r="F184" s="76" t="str">
        <f>IF(Master[[#This Row],[Geography (Donor)  -Lookup Picker in GRIN]]="","",Master[[#This Row],[Geography (Donor)  -Lookup Picker in GRIN]])</f>
        <v/>
      </c>
      <c r="G184" t="str">
        <f t="shared" si="20"/>
        <v>N</v>
      </c>
    </row>
    <row r="185" spans="2:7" x14ac:dyDescent="0.25">
      <c r="B185" t="str">
        <f>Master[[#This Row],[Accession Prefix (NPGS)]]&amp;" "&amp;Master[[#This Row],[Accession Number -Assigned]]</f>
        <v xml:space="preserve"> </v>
      </c>
      <c r="C185" t="str">
        <f t="shared" si="18"/>
        <v>Donor source event</v>
      </c>
      <c r="D185" t="str">
        <f t="shared" si="19"/>
        <v>mm/dd/yyyy</v>
      </c>
      <c r="E185" s="77">
        <f>Master[[#This Row],[Received Date -received by site]]</f>
        <v>0</v>
      </c>
      <c r="F185" s="76" t="str">
        <f>IF(Master[[#This Row],[Geography (Donor)  -Lookup Picker in GRIN]]="","",Master[[#This Row],[Geography (Donor)  -Lookup Picker in GRIN]])</f>
        <v/>
      </c>
      <c r="G185" t="str">
        <f t="shared" si="20"/>
        <v>N</v>
      </c>
    </row>
    <row r="186" spans="2:7" x14ac:dyDescent="0.25">
      <c r="B186" t="str">
        <f>Master[[#This Row],[Accession Prefix (NPGS)]]&amp;" "&amp;Master[[#This Row],[Accession Number -Assigned]]</f>
        <v xml:space="preserve"> </v>
      </c>
      <c r="C186" t="str">
        <f t="shared" si="18"/>
        <v>Donor source event</v>
      </c>
      <c r="D186" t="str">
        <f t="shared" si="19"/>
        <v>mm/dd/yyyy</v>
      </c>
      <c r="E186" s="77">
        <f>Master[[#This Row],[Received Date -received by site]]</f>
        <v>0</v>
      </c>
      <c r="F186" s="76" t="str">
        <f>IF(Master[[#This Row],[Geography (Donor)  -Lookup Picker in GRIN]]="","",Master[[#This Row],[Geography (Donor)  -Lookup Picker in GRIN]])</f>
        <v/>
      </c>
      <c r="G186" t="str">
        <f t="shared" si="20"/>
        <v>N</v>
      </c>
    </row>
    <row r="187" spans="2:7" x14ac:dyDescent="0.25">
      <c r="B187" t="str">
        <f>Master[[#This Row],[Accession Prefix (NPGS)]]&amp;" "&amp;Master[[#This Row],[Accession Number -Assigned]]</f>
        <v xml:space="preserve"> </v>
      </c>
      <c r="C187" t="str">
        <f t="shared" si="18"/>
        <v>Donor source event</v>
      </c>
      <c r="D187" t="str">
        <f t="shared" si="19"/>
        <v>mm/dd/yyyy</v>
      </c>
      <c r="E187" s="77">
        <f>Master[[#This Row],[Received Date -received by site]]</f>
        <v>0</v>
      </c>
      <c r="F187" s="76" t="str">
        <f>IF(Master[[#This Row],[Geography (Donor)  -Lookup Picker in GRIN]]="","",Master[[#This Row],[Geography (Donor)  -Lookup Picker in GRIN]])</f>
        <v/>
      </c>
      <c r="G187" t="str">
        <f t="shared" si="20"/>
        <v>N</v>
      </c>
    </row>
    <row r="188" spans="2:7" x14ac:dyDescent="0.25">
      <c r="B188" t="str">
        <f>Master[[#This Row],[Accession Prefix (NPGS)]]&amp;" "&amp;Master[[#This Row],[Accession Number -Assigned]]</f>
        <v xml:space="preserve"> </v>
      </c>
      <c r="C188" t="str">
        <f t="shared" si="18"/>
        <v>Donor source event</v>
      </c>
      <c r="D188" t="str">
        <f t="shared" si="19"/>
        <v>mm/dd/yyyy</v>
      </c>
      <c r="E188" s="77">
        <f>Master[[#This Row],[Received Date -received by site]]</f>
        <v>0</v>
      </c>
      <c r="F188" s="76" t="str">
        <f>IF(Master[[#This Row],[Geography (Donor)  -Lookup Picker in GRIN]]="","",Master[[#This Row],[Geography (Donor)  -Lookup Picker in GRIN]])</f>
        <v/>
      </c>
      <c r="G188" t="str">
        <f t="shared" si="20"/>
        <v>N</v>
      </c>
    </row>
    <row r="189" spans="2:7" x14ac:dyDescent="0.25">
      <c r="B189" t="str">
        <f>Master[[#This Row],[Accession Prefix (NPGS)]]&amp;" "&amp;Master[[#This Row],[Accession Number -Assigned]]</f>
        <v xml:space="preserve"> </v>
      </c>
      <c r="C189" t="str">
        <f t="shared" si="18"/>
        <v>Donor source event</v>
      </c>
      <c r="D189" t="str">
        <f t="shared" si="19"/>
        <v>mm/dd/yyyy</v>
      </c>
      <c r="E189" s="77">
        <f>Master[[#This Row],[Received Date -received by site]]</f>
        <v>0</v>
      </c>
      <c r="F189" s="76" t="str">
        <f>IF(Master[[#This Row],[Geography (Donor)  -Lookup Picker in GRIN]]="","",Master[[#This Row],[Geography (Donor)  -Lookup Picker in GRIN]])</f>
        <v/>
      </c>
      <c r="G189" t="str">
        <f t="shared" si="20"/>
        <v>N</v>
      </c>
    </row>
    <row r="190" spans="2:7" x14ac:dyDescent="0.25">
      <c r="B190" t="str">
        <f>Master[[#This Row],[Accession Prefix (NPGS)]]&amp;" "&amp;Master[[#This Row],[Accession Number -Assigned]]</f>
        <v xml:space="preserve"> </v>
      </c>
      <c r="C190" t="str">
        <f t="shared" si="18"/>
        <v>Donor source event</v>
      </c>
      <c r="D190" t="str">
        <f t="shared" si="19"/>
        <v>mm/dd/yyyy</v>
      </c>
      <c r="E190" s="77">
        <f>Master[[#This Row],[Received Date -received by site]]</f>
        <v>0</v>
      </c>
      <c r="F190" s="76" t="str">
        <f>IF(Master[[#This Row],[Geography (Donor)  -Lookup Picker in GRIN]]="","",Master[[#This Row],[Geography (Donor)  -Lookup Picker in GRIN]])</f>
        <v/>
      </c>
      <c r="G190" t="str">
        <f t="shared" si="20"/>
        <v>N</v>
      </c>
    </row>
    <row r="191" spans="2:7" x14ac:dyDescent="0.25">
      <c r="B191" t="str">
        <f>Master[[#This Row],[Accession Prefix (NPGS)]]&amp;" "&amp;Master[[#This Row],[Accession Number -Assigned]]</f>
        <v xml:space="preserve"> </v>
      </c>
      <c r="C191" t="str">
        <f t="shared" si="18"/>
        <v>Donor source event</v>
      </c>
      <c r="D191" t="str">
        <f t="shared" si="19"/>
        <v>mm/dd/yyyy</v>
      </c>
      <c r="E191" s="77">
        <f>Master[[#This Row],[Received Date -received by site]]</f>
        <v>0</v>
      </c>
      <c r="F191" s="76" t="str">
        <f>IF(Master[[#This Row],[Geography (Donor)  -Lookup Picker in GRIN]]="","",Master[[#This Row],[Geography (Donor)  -Lookup Picker in GRIN]])</f>
        <v/>
      </c>
      <c r="G191" t="str">
        <f t="shared" si="20"/>
        <v>N</v>
      </c>
    </row>
    <row r="192" spans="2:7" x14ac:dyDescent="0.25">
      <c r="B192" t="str">
        <f>Master[[#This Row],[Accession Prefix (NPGS)]]&amp;" "&amp;Master[[#This Row],[Accession Number -Assigned]]</f>
        <v xml:space="preserve"> </v>
      </c>
      <c r="C192" t="str">
        <f t="shared" si="18"/>
        <v>Donor source event</v>
      </c>
      <c r="D192" t="str">
        <f t="shared" si="19"/>
        <v>mm/dd/yyyy</v>
      </c>
      <c r="E192" s="77">
        <f>Master[[#This Row],[Received Date -received by site]]</f>
        <v>0</v>
      </c>
      <c r="F192" s="76" t="str">
        <f>IF(Master[[#This Row],[Geography (Donor)  -Lookup Picker in GRIN]]="","",Master[[#This Row],[Geography (Donor)  -Lookup Picker in GRIN]])</f>
        <v/>
      </c>
      <c r="G192" t="str">
        <f t="shared" si="20"/>
        <v>N</v>
      </c>
    </row>
    <row r="193" spans="2:7" x14ac:dyDescent="0.25">
      <c r="B193" t="str">
        <f>Master[[#This Row],[Accession Prefix (NPGS)]]&amp;" "&amp;Master[[#This Row],[Accession Number -Assigned]]</f>
        <v xml:space="preserve"> </v>
      </c>
      <c r="C193" t="str">
        <f t="shared" si="18"/>
        <v>Donor source event</v>
      </c>
      <c r="D193" t="str">
        <f t="shared" si="19"/>
        <v>mm/dd/yyyy</v>
      </c>
      <c r="E193" s="77">
        <f>Master[[#This Row],[Received Date -received by site]]</f>
        <v>0</v>
      </c>
      <c r="F193" s="76" t="str">
        <f>IF(Master[[#This Row],[Geography (Donor)  -Lookup Picker in GRIN]]="","",Master[[#This Row],[Geography (Donor)  -Lookup Picker in GRIN]])</f>
        <v/>
      </c>
      <c r="G193" t="str">
        <f t="shared" si="20"/>
        <v>N</v>
      </c>
    </row>
    <row r="194" spans="2:7" x14ac:dyDescent="0.25">
      <c r="B194" t="str">
        <f>Master[[#This Row],[Accession Prefix (NPGS)]]&amp;" "&amp;Master[[#This Row],[Accession Number -Assigned]]</f>
        <v xml:space="preserve"> </v>
      </c>
      <c r="C194" t="str">
        <f t="shared" si="18"/>
        <v>Donor source event</v>
      </c>
      <c r="D194" t="str">
        <f t="shared" si="19"/>
        <v>mm/dd/yyyy</v>
      </c>
      <c r="E194" s="77">
        <f>Master[[#This Row],[Received Date -received by site]]</f>
        <v>0</v>
      </c>
      <c r="F194" s="76" t="str">
        <f>IF(Master[[#This Row],[Geography (Donor)  -Lookup Picker in GRIN]]="","",Master[[#This Row],[Geography (Donor)  -Lookup Picker in GRIN]])</f>
        <v/>
      </c>
      <c r="G194" t="str">
        <f t="shared" si="20"/>
        <v>N</v>
      </c>
    </row>
    <row r="195" spans="2:7" x14ac:dyDescent="0.25">
      <c r="B195" t="str">
        <f>Master[[#This Row],[Accession Prefix (NPGS)]]&amp;" "&amp;Master[[#This Row],[Accession Number -Assigned]]</f>
        <v xml:space="preserve"> </v>
      </c>
      <c r="C195" t="str">
        <f t="shared" si="18"/>
        <v>Donor source event</v>
      </c>
      <c r="D195" t="str">
        <f t="shared" si="19"/>
        <v>mm/dd/yyyy</v>
      </c>
      <c r="E195" s="77">
        <f>Master[[#This Row],[Received Date -received by site]]</f>
        <v>0</v>
      </c>
      <c r="F195" s="76" t="str">
        <f>IF(Master[[#This Row],[Geography (Donor)  -Lookup Picker in GRIN]]="","",Master[[#This Row],[Geography (Donor)  -Lookup Picker in GRIN]])</f>
        <v/>
      </c>
      <c r="G195" t="str">
        <f t="shared" si="20"/>
        <v>N</v>
      </c>
    </row>
    <row r="196" spans="2:7" x14ac:dyDescent="0.25">
      <c r="B196" t="str">
        <f>Master[[#This Row],[Accession Prefix (NPGS)]]&amp;" "&amp;Master[[#This Row],[Accession Number -Assigned]]</f>
        <v xml:space="preserve"> </v>
      </c>
      <c r="C196" t="str">
        <f t="shared" si="18"/>
        <v>Donor source event</v>
      </c>
      <c r="D196" t="str">
        <f t="shared" si="19"/>
        <v>mm/dd/yyyy</v>
      </c>
      <c r="E196" s="77">
        <f>Master[[#This Row],[Received Date -received by site]]</f>
        <v>0</v>
      </c>
      <c r="F196" s="76" t="str">
        <f>IF(Master[[#This Row],[Geography (Donor)  -Lookup Picker in GRIN]]="","",Master[[#This Row],[Geography (Donor)  -Lookup Picker in GRIN]])</f>
        <v/>
      </c>
      <c r="G196" t="str">
        <f t="shared" si="20"/>
        <v>N</v>
      </c>
    </row>
    <row r="197" spans="2:7" x14ac:dyDescent="0.25">
      <c r="B197" t="str">
        <f>Master[[#This Row],[Accession Prefix (NPGS)]]&amp;" "&amp;Master[[#This Row],[Accession Number -Assigned]]</f>
        <v xml:space="preserve"> </v>
      </c>
      <c r="C197" t="str">
        <f t="shared" si="18"/>
        <v>Donor source event</v>
      </c>
      <c r="D197" t="str">
        <f t="shared" si="19"/>
        <v>mm/dd/yyyy</v>
      </c>
      <c r="E197" s="77">
        <f>Master[[#This Row],[Received Date -received by site]]</f>
        <v>0</v>
      </c>
      <c r="F197" s="76" t="str">
        <f>IF(Master[[#This Row],[Geography (Donor)  -Lookup Picker in GRIN]]="","",Master[[#This Row],[Geography (Donor)  -Lookup Picker in GRIN]])</f>
        <v/>
      </c>
      <c r="G197" t="str">
        <f t="shared" si="20"/>
        <v>N</v>
      </c>
    </row>
    <row r="198" spans="2:7" x14ac:dyDescent="0.25">
      <c r="B198" t="str">
        <f>Master[[#This Row],[Accession Prefix (NPGS)]]&amp;" "&amp;Master[[#This Row],[Accession Number -Assigned]]</f>
        <v xml:space="preserve"> </v>
      </c>
      <c r="C198" t="str">
        <f t="shared" si="18"/>
        <v>Donor source event</v>
      </c>
      <c r="D198" t="str">
        <f t="shared" si="19"/>
        <v>mm/dd/yyyy</v>
      </c>
      <c r="E198" s="77">
        <f>Master[[#This Row],[Received Date -received by site]]</f>
        <v>0</v>
      </c>
      <c r="F198" s="76" t="str">
        <f>IF(Master[[#This Row],[Geography (Donor)  -Lookup Picker in GRIN]]="","",Master[[#This Row],[Geography (Donor)  -Lookup Picker in GRIN]])</f>
        <v/>
      </c>
      <c r="G198" t="str">
        <f t="shared" si="20"/>
        <v>N</v>
      </c>
    </row>
    <row r="199" spans="2:7" x14ac:dyDescent="0.25">
      <c r="B199" t="str">
        <f>Master[[#This Row],[Accession Prefix (NPGS)]]&amp;" "&amp;Master[[#This Row],[Accession Number -Assigned]]</f>
        <v xml:space="preserve"> </v>
      </c>
      <c r="C199" t="str">
        <f t="shared" si="18"/>
        <v>Donor source event</v>
      </c>
      <c r="D199" t="str">
        <f t="shared" si="19"/>
        <v>mm/dd/yyyy</v>
      </c>
      <c r="E199" s="77">
        <f>Master[[#This Row],[Received Date -received by site]]</f>
        <v>0</v>
      </c>
      <c r="F199" s="76" t="str">
        <f>IF(Master[[#This Row],[Geography (Donor)  -Lookup Picker in GRIN]]="","",Master[[#This Row],[Geography (Donor)  -Lookup Picker in GRIN]])</f>
        <v/>
      </c>
      <c r="G199" t="str">
        <f t="shared" si="20"/>
        <v>N</v>
      </c>
    </row>
    <row r="200" spans="2:7" x14ac:dyDescent="0.25">
      <c r="B200" t="str">
        <f>Master[[#This Row],[Accession Prefix (NPGS)]]&amp;" "&amp;Master[[#This Row],[Accession Number -Assigned]]</f>
        <v xml:space="preserve"> </v>
      </c>
      <c r="C200" t="str">
        <f t="shared" si="18"/>
        <v>Donor source event</v>
      </c>
      <c r="D200" t="str">
        <f t="shared" si="19"/>
        <v>mm/dd/yyyy</v>
      </c>
      <c r="E200" s="77">
        <f>Master[[#This Row],[Received Date -received by site]]</f>
        <v>0</v>
      </c>
      <c r="F200" s="76" t="str">
        <f>IF(Master[[#This Row],[Geography (Donor)  -Lookup Picker in GRIN]]="","",Master[[#This Row],[Geography (Donor)  -Lookup Picker in GRIN]])</f>
        <v/>
      </c>
      <c r="G200" t="str">
        <f t="shared" si="20"/>
        <v>N</v>
      </c>
    </row>
    <row r="201" spans="2:7" x14ac:dyDescent="0.25">
      <c r="B201" t="str">
        <f>Master[[#This Row],[Accession Prefix (NPGS)]]&amp;" "&amp;Master[[#This Row],[Accession Number -Assigned]]</f>
        <v xml:space="preserve"> </v>
      </c>
      <c r="C201" t="str">
        <f t="shared" si="18"/>
        <v>Donor source event</v>
      </c>
      <c r="D201" t="str">
        <f t="shared" si="19"/>
        <v>mm/dd/yyyy</v>
      </c>
      <c r="E201" s="77">
        <f>Master[[#This Row],[Received Date -received by site]]</f>
        <v>0</v>
      </c>
      <c r="F201" s="76" t="str">
        <f>IF(Master[[#This Row],[Geography (Donor)  -Lookup Picker in GRIN]]="","",Master[[#This Row],[Geography (Donor)  -Lookup Picker in GRIN]])</f>
        <v/>
      </c>
      <c r="G201" t="str">
        <f t="shared" si="20"/>
        <v>N</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0" tint="-0.249977111117893"/>
  </sheetPr>
  <dimension ref="A1:V201"/>
  <sheetViews>
    <sheetView workbookViewId="0">
      <selection activeCell="A11" sqref="A11"/>
    </sheetView>
  </sheetViews>
  <sheetFormatPr defaultColWidth="9.140625" defaultRowHeight="15" x14ac:dyDescent="0.25"/>
  <cols>
    <col min="1" max="1" width="10" style="13" customWidth="1"/>
    <col min="2" max="5" width="10.85546875" style="13" bestFit="1" customWidth="1"/>
    <col min="6" max="6" width="10.28515625" style="13" customWidth="1"/>
    <col min="7" max="7" width="12.140625" style="13" bestFit="1" customWidth="1"/>
    <col min="8" max="8" width="10.28515625" style="13" customWidth="1"/>
    <col min="9" max="9" width="9.28515625" style="13" customWidth="1"/>
    <col min="10" max="10" width="7.28515625" style="13" customWidth="1"/>
    <col min="11" max="11" width="6.7109375" style="13" customWidth="1"/>
    <col min="12" max="12" width="31.42578125" style="13" bestFit="1" customWidth="1"/>
    <col min="13" max="13" width="21" style="13" bestFit="1" customWidth="1"/>
    <col min="14" max="15" width="9.140625" style="13"/>
    <col min="16" max="16" width="13" style="13" customWidth="1"/>
    <col min="17" max="17" width="10.85546875" bestFit="1" customWidth="1"/>
    <col min="18" max="18" width="9.140625" style="57"/>
    <col min="19" max="19" width="10.5703125" style="57" customWidth="1"/>
    <col min="20" max="20" width="10.140625" style="13" customWidth="1"/>
    <col min="21" max="21" width="9.140625" style="13"/>
    <col min="22" max="22" width="14.42578125" style="13" customWidth="1"/>
    <col min="23" max="16384" width="9.140625" style="13"/>
  </cols>
  <sheetData>
    <row r="1" spans="1:22" s="127" customFormat="1" ht="60" x14ac:dyDescent="0.25">
      <c r="A1" s="124" t="s">
        <v>16</v>
      </c>
      <c r="B1" s="125" t="s">
        <v>17</v>
      </c>
      <c r="C1" s="124" t="s">
        <v>18</v>
      </c>
      <c r="D1" s="124" t="s">
        <v>15</v>
      </c>
      <c r="E1" s="125" t="s">
        <v>19</v>
      </c>
      <c r="F1" s="125" t="s">
        <v>10</v>
      </c>
      <c r="G1" s="125" t="s">
        <v>14</v>
      </c>
      <c r="H1" s="124" t="s">
        <v>20</v>
      </c>
      <c r="I1" s="124" t="s">
        <v>21</v>
      </c>
      <c r="J1" s="124" t="s">
        <v>22</v>
      </c>
      <c r="K1" s="124" t="s">
        <v>23</v>
      </c>
      <c r="L1" s="125" t="s">
        <v>24</v>
      </c>
      <c r="M1" s="124" t="s">
        <v>322</v>
      </c>
      <c r="N1" s="124" t="s">
        <v>25</v>
      </c>
      <c r="O1" s="124" t="s">
        <v>26</v>
      </c>
      <c r="P1" s="124" t="s">
        <v>438</v>
      </c>
      <c r="Q1" s="116" t="s">
        <v>498</v>
      </c>
      <c r="R1" s="126" t="s">
        <v>27</v>
      </c>
      <c r="S1" s="126" t="s">
        <v>28</v>
      </c>
      <c r="T1" s="124" t="s">
        <v>29</v>
      </c>
      <c r="U1" s="124" t="s">
        <v>30</v>
      </c>
      <c r="V1" s="124" t="s">
        <v>9</v>
      </c>
    </row>
    <row r="2" spans="1:22" ht="15.75" x14ac:dyDescent="0.25">
      <c r="A2" s="1"/>
      <c r="B2" s="30" t="str">
        <f>IF(Master[[#This Row],[Inventory Prefix]]="","",Master[[#This Row],[Inventory Prefix]])</f>
        <v>W6</v>
      </c>
      <c r="C2" s="30">
        <f>IF(Master[[#This Row],[Inventory Number]]="","",Master[[#This Row],[Inventory Number]])</f>
        <v>57036</v>
      </c>
      <c r="D2" s="78" t="str">
        <f>IF(Master[[#This Row],[Inventory Suffix]]="","",Master[[#This Row],[Inventory Suffix]])</f>
        <v>2019o</v>
      </c>
      <c r="E2" s="30" t="str">
        <f>IF(Master[[#This Row],[Inventory Type - Lookup Picker]]="","",Master[[#This Row],[Inventory Type - Lookup Picker]])</f>
        <v>SD</v>
      </c>
      <c r="F2" s="30" t="str">
        <f>Master[[#This Row],[Accession Prefix (NPGS)]]&amp;" "&amp;Master[[#This Row],[Accession Number -Assigned]]</f>
        <v>W6 57036</v>
      </c>
      <c r="G2" s="78" t="str">
        <f>IF(Master[[#This Row],[Inventory Maintenance Policy]]="","",Master[[#This Row],[Inventory Maintenance Policy]])</f>
        <v>w6_native</v>
      </c>
      <c r="H2" s="30" t="str">
        <f>IF(Master[[#This Row],[Inventory Maintenance Site -W6]]="","",Master[[#This Row],[Inventory Maintenance Site -W6]])</f>
        <v>W6</v>
      </c>
      <c r="I2" s="30" t="str">
        <f>IF(RIGHT(TEXT(Inventory[[#This Row],[Inventory Suffix]],"00"),2)="01","Y",IF(RIGHT(TEXT(Inventory[[#This Row],[Inventory Suffix]],"00"),2)="c1","Y",IF(RIGHT(TEXT(Inventory[[#This Row],[Inventory Suffix]],"00"),2)="m1","Y","N")))</f>
        <v>N</v>
      </c>
      <c r="J2" s="30" t="str">
        <f>IF(Inventory[[#This Row],[Inventory Type]]="SD","Y",IF(Inventory[[#This Row],[Inventory Type]]="LV","Y","N"))</f>
        <v>Y</v>
      </c>
      <c r="K2" s="30" t="str">
        <f>"N"</f>
        <v>N</v>
      </c>
      <c r="L2" s="30" t="str">
        <f t="shared" ref="L2:L33" si="0">"Original lot received"</f>
        <v>Original lot received</v>
      </c>
      <c r="M2" s="30" t="str">
        <f t="shared" ref="M2:M33" si="1">"ORIG from SOS Project"</f>
        <v>ORIG from SOS Project</v>
      </c>
      <c r="N2" s="80">
        <f>ROUNDDOWN(Master[[#This Row],[Quantity On Hand]],0)</f>
        <v>3742</v>
      </c>
      <c r="O2" s="80" t="str">
        <f>IF(Master[[#This Row],[Quantity On Hand Units -''count'' or ''packet'']]="","",Master[[#This Row],[Quantity On Hand Units -''count'' or ''packet'']])</f>
        <v>count</v>
      </c>
      <c r="P2" s="80" t="str">
        <f>IF(Master[[#This Row],[Inventory Type - Lookup Picker]]="","",Master[[#This Row],[Inventory Type - Lookup Picker]])</f>
        <v>SD</v>
      </c>
      <c r="Q2" t="str">
        <f t="shared" ref="Q2:Q33" si="2">"Mike has"</f>
        <v>Mike has</v>
      </c>
      <c r="R2" s="56">
        <f>IF(Master[[#This Row],[Latitude -decimal degrees]]="","",Master[[#This Row],[Latitude -decimal degrees]])</f>
        <v>42.686169999999997</v>
      </c>
      <c r="S2" s="56">
        <f>IF(Master[[#This Row],[Longitude -decimal degrees]]="","",Master[[#This Row],[Longitude -decimal degrees]])</f>
        <v>-108.12833999999999</v>
      </c>
      <c r="T2" s="30" t="str">
        <f>IF(Master[[#This Row],[Parent Inventory]]="","",Master[[#This Row],[Parent Inventory]])</f>
        <v/>
      </c>
      <c r="U2" s="30">
        <f>IF(Master[[#This Row],[Hundred Seed Weight -gram]]="","",Master[[#This Row],[Hundred Seed Weight -gram]])</f>
        <v>6.3500000000000001E-2</v>
      </c>
      <c r="V2" s="30" t="str">
        <f>IF(Master[[#This Row],[Note (Inventory)]]="","",Master[[#This Row],[Note (Inventory)]])</f>
        <v/>
      </c>
    </row>
    <row r="3" spans="1:22" x14ac:dyDescent="0.25">
      <c r="A3" s="58"/>
      <c r="B3" s="58" t="str">
        <f>IF(Master[[#This Row],[Inventory Prefix]]="","",Master[[#This Row],[Inventory Prefix]])</f>
        <v>W6</v>
      </c>
      <c r="C3" s="58" t="str">
        <f>IF(Master[[#This Row],[Inventory Number]]="","",Master[[#This Row],[Inventory Number]])</f>
        <v/>
      </c>
      <c r="D3" s="79" t="str">
        <f>IF(Master[[#This Row],[Inventory Suffix]]="","",Master[[#This Row],[Inventory Suffix]])</f>
        <v/>
      </c>
      <c r="E3" s="58" t="str">
        <f>IF(Master[[#This Row],[Inventory Type - Lookup Picker]]="","",Master[[#This Row],[Inventory Type - Lookup Picker]])</f>
        <v>SD</v>
      </c>
      <c r="F3" s="58" t="str">
        <f>Master[[#This Row],[Accession Prefix (NPGS)]]&amp;" "&amp;Master[[#This Row],[Accession Number -Assigned]]</f>
        <v xml:space="preserve">W6 </v>
      </c>
      <c r="G3" s="79" t="str">
        <f>IF(Master[[#This Row],[Inventory Maintenance Policy]]="","",Master[[#This Row],[Inventory Maintenance Policy]])</f>
        <v>w6_native</v>
      </c>
      <c r="H3" s="58" t="str">
        <f>IF(Master[[#This Row],[Inventory Maintenance Site -W6]]="","",Master[[#This Row],[Inventory Maintenance Site -W6]])</f>
        <v>W6</v>
      </c>
      <c r="I3" s="58" t="str">
        <f>IF(RIGHT(TEXT(Inventory[[#This Row],[Inventory Suffix]],"00"),2)="01","Y",IF(RIGHT(TEXT(Inventory[[#This Row],[Inventory Suffix]],"00"),2)="c1","Y",IF(RIGHT(TEXT(Inventory[[#This Row],[Inventory Suffix]],"00"),2)="m1","Y","N")))</f>
        <v>N</v>
      </c>
      <c r="J3" s="58" t="str">
        <f>IF(Inventory[[#This Row],[Inventory Type]]="SD","Y",IF(Inventory[[#This Row],[Inventory Type]]="LV","Y","N"))</f>
        <v>Y</v>
      </c>
      <c r="K3" s="30" t="str">
        <f t="shared" ref="K3:K11" si="3">"N"</f>
        <v>N</v>
      </c>
      <c r="L3" s="58" t="str">
        <f t="shared" si="0"/>
        <v>Original lot received</v>
      </c>
      <c r="M3" s="58" t="str">
        <f t="shared" si="1"/>
        <v>ORIG from SOS Project</v>
      </c>
      <c r="N3" s="81">
        <f>ROUNDDOWN(Master[[#This Row],[Quantity On Hand]],0)</f>
        <v>0</v>
      </c>
      <c r="O3" s="81" t="str">
        <f>IF(Master[[#This Row],[Quantity On Hand Units -''count'' or ''packet'']]="","",Master[[#This Row],[Quantity On Hand Units -''count'' or ''packet'']])</f>
        <v/>
      </c>
      <c r="P3" s="81" t="str">
        <f>IF(Master[[#This Row],[Inventory Type - Lookup Picker]]="","",Master[[#This Row],[Inventory Type - Lookup Picker]])</f>
        <v>SD</v>
      </c>
      <c r="Q3" t="str">
        <f t="shared" si="2"/>
        <v>Mike has</v>
      </c>
      <c r="R3" s="59" t="str">
        <f>IF(Master[[#This Row],[Latitude -decimal degrees]]="","",Master[[#This Row],[Latitude -decimal degrees]])</f>
        <v>LATITUDE_DECIMAL</v>
      </c>
      <c r="S3" s="59" t="str">
        <f>IF(Master[[#This Row],[Longitude -decimal degrees]]="","",Master[[#This Row],[Longitude -decimal degrees]])</f>
        <v>LONGITUDE_DECIMAL</v>
      </c>
      <c r="T3" s="58" t="str">
        <f>IF(Master[[#This Row],[Parent Inventory]]="","",Master[[#This Row],[Parent Inventory]])</f>
        <v/>
      </c>
      <c r="U3" s="58" t="str">
        <f>IF(Master[[#This Row],[Hundred Seed Weight -gram]]="","",Master[[#This Row],[Hundred Seed Weight -gram]])</f>
        <v>100-Seed Wt (G)</v>
      </c>
      <c r="V3" s="58" t="str">
        <f>IF(Master[[#This Row],[Note (Inventory)]]="","",Master[[#This Row],[Note (Inventory)]])</f>
        <v/>
      </c>
    </row>
    <row r="4" spans="1:22" x14ac:dyDescent="0.25">
      <c r="A4" s="58"/>
      <c r="B4" s="58" t="str">
        <f>IF(Master[[#This Row],[Inventory Prefix]]="","",Master[[#This Row],[Inventory Prefix]])</f>
        <v>W6</v>
      </c>
      <c r="C4" s="58" t="str">
        <f>IF(Master[[#This Row],[Inventory Number]]="","",Master[[#This Row],[Inventory Number]])</f>
        <v/>
      </c>
      <c r="D4" s="79" t="str">
        <f>IF(Master[[#This Row],[Inventory Suffix]]="","",Master[[#This Row],[Inventory Suffix]])</f>
        <v/>
      </c>
      <c r="E4" s="58" t="str">
        <f>IF(Master[[#This Row],[Inventory Type - Lookup Picker]]="","",Master[[#This Row],[Inventory Type - Lookup Picker]])</f>
        <v>SD</v>
      </c>
      <c r="F4" s="58" t="str">
        <f>Master[[#This Row],[Accession Prefix (NPGS)]]&amp;" "&amp;Master[[#This Row],[Accession Number -Assigned]]</f>
        <v>W6 59590</v>
      </c>
      <c r="G4" s="79" t="str">
        <f>IF(Master[[#This Row],[Inventory Maintenance Policy]]="","",Master[[#This Row],[Inventory Maintenance Policy]])</f>
        <v>w6_native</v>
      </c>
      <c r="H4" s="58" t="str">
        <f>IF(Master[[#This Row],[Inventory Maintenance Site -W6]]="","",Master[[#This Row],[Inventory Maintenance Site -W6]])</f>
        <v>W6</v>
      </c>
      <c r="I4" s="58" t="str">
        <f>IF(RIGHT(TEXT(Inventory[[#This Row],[Inventory Suffix]],"00"),2)="01","Y",IF(RIGHT(TEXT(Inventory[[#This Row],[Inventory Suffix]],"00"),2)="c1","Y",IF(RIGHT(TEXT(Inventory[[#This Row],[Inventory Suffix]],"00"),2)="m1","Y","N")))</f>
        <v>N</v>
      </c>
      <c r="J4" s="58" t="str">
        <f>IF(Inventory[[#This Row],[Inventory Type]]="SD","Y",IF(Inventory[[#This Row],[Inventory Type]]="LV","Y","N"))</f>
        <v>Y</v>
      </c>
      <c r="K4" s="30" t="str">
        <f t="shared" si="3"/>
        <v>N</v>
      </c>
      <c r="L4" s="58" t="str">
        <f t="shared" si="0"/>
        <v>Original lot received</v>
      </c>
      <c r="M4" s="58" t="str">
        <f t="shared" si="1"/>
        <v>ORIG from SOS Project</v>
      </c>
      <c r="N4" s="81">
        <f>ROUNDDOWN(Master[[#This Row],[Quantity On Hand]],0)</f>
        <v>0</v>
      </c>
      <c r="O4" s="81" t="str">
        <f>IF(Master[[#This Row],[Quantity On Hand Units -''count'' or ''packet'']]="","",Master[[#This Row],[Quantity On Hand Units -''count'' or ''packet'']])</f>
        <v/>
      </c>
      <c r="P4" s="81" t="str">
        <f>IF(Master[[#This Row],[Inventory Type - Lookup Picker]]="","",Master[[#This Row],[Inventory Type - Lookup Picker]])</f>
        <v>SD</v>
      </c>
      <c r="Q4" t="str">
        <f t="shared" si="2"/>
        <v>Mike has</v>
      </c>
      <c r="R4" s="59">
        <f>IF(Master[[#This Row],[Latitude -decimal degrees]]="","",Master[[#This Row],[Latitude -decimal degrees]])</f>
        <v>40.097479999999997</v>
      </c>
      <c r="S4" s="59">
        <f>IF(Master[[#This Row],[Longitude -decimal degrees]]="","",Master[[#This Row],[Longitude -decimal degrees]])</f>
        <v>-106.33926</v>
      </c>
      <c r="T4" s="58" t="str">
        <f>IF(Master[[#This Row],[Parent Inventory]]="","",Master[[#This Row],[Parent Inventory]])</f>
        <v/>
      </c>
      <c r="U4" s="58">
        <f>IF(Master[[#This Row],[Hundred Seed Weight -gram]]="","",Master[[#This Row],[Hundred Seed Weight -gram]])</f>
        <v>4.53E-2</v>
      </c>
      <c r="V4" s="58" t="str">
        <f>IF(Master[[#This Row],[Note (Inventory)]]="","",Master[[#This Row],[Note (Inventory)]])</f>
        <v/>
      </c>
    </row>
    <row r="5" spans="1:22" x14ac:dyDescent="0.25">
      <c r="A5" s="58"/>
      <c r="B5" s="58" t="str">
        <f>IF(Master[[#This Row],[Inventory Prefix]]="","",Master[[#This Row],[Inventory Prefix]])</f>
        <v>W6</v>
      </c>
      <c r="C5" s="58" t="str">
        <f>IF(Master[[#This Row],[Inventory Number]]="","",Master[[#This Row],[Inventory Number]])</f>
        <v/>
      </c>
      <c r="D5" s="79" t="str">
        <f>IF(Master[[#This Row],[Inventory Suffix]]="","",Master[[#This Row],[Inventory Suffix]])</f>
        <v/>
      </c>
      <c r="E5" s="58" t="str">
        <f>IF(Master[[#This Row],[Inventory Type - Lookup Picker]]="","",Master[[#This Row],[Inventory Type - Lookup Picker]])</f>
        <v>SD</v>
      </c>
      <c r="F5" s="58" t="str">
        <f>Master[[#This Row],[Accession Prefix (NPGS)]]&amp;" "&amp;Master[[#This Row],[Accession Number -Assigned]]</f>
        <v>W6 59591</v>
      </c>
      <c r="G5" s="79" t="str">
        <f>IF(Master[[#This Row],[Inventory Maintenance Policy]]="","",Master[[#This Row],[Inventory Maintenance Policy]])</f>
        <v>w6_native</v>
      </c>
      <c r="H5" s="58" t="str">
        <f>IF(Master[[#This Row],[Inventory Maintenance Site -W6]]="","",Master[[#This Row],[Inventory Maintenance Site -W6]])</f>
        <v>W6</v>
      </c>
      <c r="I5" s="58" t="str">
        <f>IF(RIGHT(TEXT(Inventory[[#This Row],[Inventory Suffix]],"00"),2)="01","Y",IF(RIGHT(TEXT(Inventory[[#This Row],[Inventory Suffix]],"00"),2)="c1","Y",IF(RIGHT(TEXT(Inventory[[#This Row],[Inventory Suffix]],"00"),2)="m1","Y","N")))</f>
        <v>N</v>
      </c>
      <c r="J5" s="58" t="str">
        <f>IF(Inventory[[#This Row],[Inventory Type]]="SD","Y",IF(Inventory[[#This Row],[Inventory Type]]="LV","Y","N"))</f>
        <v>Y</v>
      </c>
      <c r="K5" s="30" t="str">
        <f t="shared" si="3"/>
        <v>N</v>
      </c>
      <c r="L5" s="58" t="str">
        <f t="shared" si="0"/>
        <v>Original lot received</v>
      </c>
      <c r="M5" s="58" t="str">
        <f t="shared" si="1"/>
        <v>ORIG from SOS Project</v>
      </c>
      <c r="N5" s="81">
        <f>ROUNDDOWN(Master[[#This Row],[Quantity On Hand]],0)</f>
        <v>0</v>
      </c>
      <c r="O5" s="81" t="str">
        <f>IF(Master[[#This Row],[Quantity On Hand Units -''count'' or ''packet'']]="","",Master[[#This Row],[Quantity On Hand Units -''count'' or ''packet'']])</f>
        <v/>
      </c>
      <c r="P5" s="81" t="str">
        <f>IF(Master[[#This Row],[Inventory Type - Lookup Picker]]="","",Master[[#This Row],[Inventory Type - Lookup Picker]])</f>
        <v>SD</v>
      </c>
      <c r="Q5" t="str">
        <f t="shared" si="2"/>
        <v>Mike has</v>
      </c>
      <c r="R5" s="59">
        <f>IF(Master[[#This Row],[Latitude -decimal degrees]]="","",Master[[#This Row],[Latitude -decimal degrees]])</f>
        <v>39.95758</v>
      </c>
      <c r="S5" s="59">
        <f>IF(Master[[#This Row],[Longitude -decimal degrees]]="","",Master[[#This Row],[Longitude -decimal degrees]])</f>
        <v>-106.55204999999999</v>
      </c>
      <c r="T5" s="58" t="str">
        <f>IF(Master[[#This Row],[Parent Inventory]]="","",Master[[#This Row],[Parent Inventory]])</f>
        <v/>
      </c>
      <c r="U5" s="58">
        <f>IF(Master[[#This Row],[Hundred Seed Weight -gram]]="","",Master[[#This Row],[Hundred Seed Weight -gram]])</f>
        <v>0.16700000000000001</v>
      </c>
      <c r="V5" s="58" t="str">
        <f>IF(Master[[#This Row],[Note (Inventory)]]="","",Master[[#This Row],[Note (Inventory)]])</f>
        <v/>
      </c>
    </row>
    <row r="6" spans="1:22" x14ac:dyDescent="0.25">
      <c r="A6" s="58"/>
      <c r="B6" s="58" t="str">
        <f>IF(Master[[#This Row],[Inventory Prefix]]="","",Master[[#This Row],[Inventory Prefix]])</f>
        <v>W6</v>
      </c>
      <c r="C6" s="58" t="str">
        <f>IF(Master[[#This Row],[Inventory Number]]="","",Master[[#This Row],[Inventory Number]])</f>
        <v/>
      </c>
      <c r="D6" s="79" t="str">
        <f>IF(Master[[#This Row],[Inventory Suffix]]="","",Master[[#This Row],[Inventory Suffix]])</f>
        <v/>
      </c>
      <c r="E6" s="58" t="str">
        <f>IF(Master[[#This Row],[Inventory Type - Lookup Picker]]="","",Master[[#This Row],[Inventory Type - Lookup Picker]])</f>
        <v>SD</v>
      </c>
      <c r="F6" s="58" t="str">
        <f>Master[[#This Row],[Accession Prefix (NPGS)]]&amp;" "&amp;Master[[#This Row],[Accession Number -Assigned]]</f>
        <v>W6 59592</v>
      </c>
      <c r="G6" s="79" t="str">
        <f>IF(Master[[#This Row],[Inventory Maintenance Policy]]="","",Master[[#This Row],[Inventory Maintenance Policy]])</f>
        <v>w6_native</v>
      </c>
      <c r="H6" s="58" t="str">
        <f>IF(Master[[#This Row],[Inventory Maintenance Site -W6]]="","",Master[[#This Row],[Inventory Maintenance Site -W6]])</f>
        <v>W6</v>
      </c>
      <c r="I6" s="58" t="str">
        <f>IF(RIGHT(TEXT(Inventory[[#This Row],[Inventory Suffix]],"00"),2)="01","Y",IF(RIGHT(TEXT(Inventory[[#This Row],[Inventory Suffix]],"00"),2)="c1","Y",IF(RIGHT(TEXT(Inventory[[#This Row],[Inventory Suffix]],"00"),2)="m1","Y","N")))</f>
        <v>N</v>
      </c>
      <c r="J6" s="58" t="str">
        <f>IF(Inventory[[#This Row],[Inventory Type]]="SD","Y",IF(Inventory[[#This Row],[Inventory Type]]="LV","Y","N"))</f>
        <v>Y</v>
      </c>
      <c r="K6" s="30" t="str">
        <f t="shared" si="3"/>
        <v>N</v>
      </c>
      <c r="L6" s="58" t="str">
        <f t="shared" si="0"/>
        <v>Original lot received</v>
      </c>
      <c r="M6" s="58" t="str">
        <f t="shared" si="1"/>
        <v>ORIG from SOS Project</v>
      </c>
      <c r="N6" s="81">
        <f>ROUNDDOWN(Master[[#This Row],[Quantity On Hand]],0)</f>
        <v>0</v>
      </c>
      <c r="O6" s="81" t="str">
        <f>IF(Master[[#This Row],[Quantity On Hand Units -''count'' or ''packet'']]="","",Master[[#This Row],[Quantity On Hand Units -''count'' or ''packet'']])</f>
        <v/>
      </c>
      <c r="P6" s="81" t="str">
        <f>IF(Master[[#This Row],[Inventory Type - Lookup Picker]]="","",Master[[#This Row],[Inventory Type - Lookup Picker]])</f>
        <v>SD</v>
      </c>
      <c r="Q6" t="str">
        <f t="shared" si="2"/>
        <v>Mike has</v>
      </c>
      <c r="R6" s="59">
        <f>IF(Master[[#This Row],[Latitude -decimal degrees]]="","",Master[[#This Row],[Latitude -decimal degrees]])</f>
        <v>40.586970000000001</v>
      </c>
      <c r="S6" s="59">
        <f>IF(Master[[#This Row],[Longitude -decimal degrees]]="","",Master[[#This Row],[Longitude -decimal degrees]])</f>
        <v>-106.54463</v>
      </c>
      <c r="T6" s="58" t="str">
        <f>IF(Master[[#This Row],[Parent Inventory]]="","",Master[[#This Row],[Parent Inventory]])</f>
        <v/>
      </c>
      <c r="U6" s="58">
        <f>IF(Master[[#This Row],[Hundred Seed Weight -gram]]="","",Master[[#This Row],[Hundred Seed Weight -gram]])</f>
        <v>7.4999999999999997E-3</v>
      </c>
      <c r="V6" s="58" t="str">
        <f>IF(Master[[#This Row],[Note (Inventory)]]="","",Master[[#This Row],[Note (Inventory)]])</f>
        <v/>
      </c>
    </row>
    <row r="7" spans="1:22" x14ac:dyDescent="0.25">
      <c r="A7" s="58"/>
      <c r="B7" s="58" t="str">
        <f>IF(Master[[#This Row],[Inventory Prefix]]="","",Master[[#This Row],[Inventory Prefix]])</f>
        <v>W6</v>
      </c>
      <c r="C7" s="58" t="str">
        <f>IF(Master[[#This Row],[Inventory Number]]="","",Master[[#This Row],[Inventory Number]])</f>
        <v/>
      </c>
      <c r="D7" s="79" t="str">
        <f>IF(Master[[#This Row],[Inventory Suffix]]="","",Master[[#This Row],[Inventory Suffix]])</f>
        <v/>
      </c>
      <c r="E7" s="58" t="str">
        <f>IF(Master[[#This Row],[Inventory Type - Lookup Picker]]="","",Master[[#This Row],[Inventory Type - Lookup Picker]])</f>
        <v>SD</v>
      </c>
      <c r="F7" s="58" t="str">
        <f>Master[[#This Row],[Accession Prefix (NPGS)]]&amp;" "&amp;Master[[#This Row],[Accession Number -Assigned]]</f>
        <v>W6 59593</v>
      </c>
      <c r="G7" s="79" t="str">
        <f>IF(Master[[#This Row],[Inventory Maintenance Policy]]="","",Master[[#This Row],[Inventory Maintenance Policy]])</f>
        <v>w6_native</v>
      </c>
      <c r="H7" s="58" t="str">
        <f>IF(Master[[#This Row],[Inventory Maintenance Site -W6]]="","",Master[[#This Row],[Inventory Maintenance Site -W6]])</f>
        <v>W6</v>
      </c>
      <c r="I7" s="58" t="str">
        <f>IF(RIGHT(TEXT(Inventory[[#This Row],[Inventory Suffix]],"00"),2)="01","Y",IF(RIGHT(TEXT(Inventory[[#This Row],[Inventory Suffix]],"00"),2)="c1","Y",IF(RIGHT(TEXT(Inventory[[#This Row],[Inventory Suffix]],"00"),2)="m1","Y","N")))</f>
        <v>N</v>
      </c>
      <c r="J7" s="58" t="str">
        <f>IF(Inventory[[#This Row],[Inventory Type]]="SD","Y",IF(Inventory[[#This Row],[Inventory Type]]="LV","Y","N"))</f>
        <v>Y</v>
      </c>
      <c r="K7" s="30" t="str">
        <f t="shared" si="3"/>
        <v>N</v>
      </c>
      <c r="L7" s="58" t="str">
        <f t="shared" si="0"/>
        <v>Original lot received</v>
      </c>
      <c r="M7" s="30" t="str">
        <f t="shared" si="1"/>
        <v>ORIG from SOS Project</v>
      </c>
      <c r="N7" s="81">
        <f>ROUNDDOWN(Master[[#This Row],[Quantity On Hand]],0)</f>
        <v>0</v>
      </c>
      <c r="O7" s="81" t="str">
        <f>IF(Master[[#This Row],[Quantity On Hand Units -''count'' or ''packet'']]="","",Master[[#This Row],[Quantity On Hand Units -''count'' or ''packet'']])</f>
        <v/>
      </c>
      <c r="P7" s="81" t="str">
        <f>IF(Master[[#This Row],[Inventory Type - Lookup Picker]]="","",Master[[#This Row],[Inventory Type - Lookup Picker]])</f>
        <v>SD</v>
      </c>
      <c r="Q7" t="str">
        <f t="shared" si="2"/>
        <v>Mike has</v>
      </c>
      <c r="R7" s="59">
        <f>IF(Master[[#This Row],[Latitude -decimal degrees]]="","",Master[[#This Row],[Latitude -decimal degrees]])</f>
        <v>39.995480000000001</v>
      </c>
      <c r="S7" s="59">
        <f>IF(Master[[#This Row],[Longitude -decimal degrees]]="","",Master[[#This Row],[Longitude -decimal degrees]])</f>
        <v>-106.47521999999999</v>
      </c>
      <c r="T7" s="58" t="str">
        <f>IF(Master[[#This Row],[Parent Inventory]]="","",Master[[#This Row],[Parent Inventory]])</f>
        <v/>
      </c>
      <c r="U7" s="58">
        <f>IF(Master[[#This Row],[Hundred Seed Weight -gram]]="","",Master[[#This Row],[Hundred Seed Weight -gram]])</f>
        <v>2.6555</v>
      </c>
      <c r="V7" s="58" t="str">
        <f>IF(Master[[#This Row],[Note (Inventory)]]="","",Master[[#This Row],[Note (Inventory)]])</f>
        <v/>
      </c>
    </row>
    <row r="8" spans="1:22" x14ac:dyDescent="0.25">
      <c r="A8" s="58"/>
      <c r="B8" s="58" t="str">
        <f>IF(Master[[#This Row],[Inventory Prefix]]="","",Master[[#This Row],[Inventory Prefix]])</f>
        <v>W6</v>
      </c>
      <c r="C8" s="58" t="str">
        <f>IF(Master[[#This Row],[Inventory Number]]="","",Master[[#This Row],[Inventory Number]])</f>
        <v/>
      </c>
      <c r="D8" s="79" t="str">
        <f>IF(Master[[#This Row],[Inventory Suffix]]="","",Master[[#This Row],[Inventory Suffix]])</f>
        <v/>
      </c>
      <c r="E8" s="58" t="str">
        <f>IF(Master[[#This Row],[Inventory Type - Lookup Picker]]="","",Master[[#This Row],[Inventory Type - Lookup Picker]])</f>
        <v>SD</v>
      </c>
      <c r="F8" s="58" t="str">
        <f>Master[[#This Row],[Accession Prefix (NPGS)]]&amp;" "&amp;Master[[#This Row],[Accession Number -Assigned]]</f>
        <v>W6 59594</v>
      </c>
      <c r="G8" s="79" t="str">
        <f>IF(Master[[#This Row],[Inventory Maintenance Policy]]="","",Master[[#This Row],[Inventory Maintenance Policy]])</f>
        <v>w6_native</v>
      </c>
      <c r="H8" s="58" t="str">
        <f>IF(Master[[#This Row],[Inventory Maintenance Site -W6]]="","",Master[[#This Row],[Inventory Maintenance Site -W6]])</f>
        <v>W6</v>
      </c>
      <c r="I8" s="58" t="str">
        <f>IF(RIGHT(TEXT(Inventory[[#This Row],[Inventory Suffix]],"00"),2)="01","Y",IF(RIGHT(TEXT(Inventory[[#This Row],[Inventory Suffix]],"00"),2)="c1","Y",IF(RIGHT(TEXT(Inventory[[#This Row],[Inventory Suffix]],"00"),2)="m1","Y","N")))</f>
        <v>N</v>
      </c>
      <c r="J8" s="58" t="str">
        <f>IF(Inventory[[#This Row],[Inventory Type]]="SD","Y",IF(Inventory[[#This Row],[Inventory Type]]="LV","Y","N"))</f>
        <v>Y</v>
      </c>
      <c r="K8" s="30" t="str">
        <f t="shared" si="3"/>
        <v>N</v>
      </c>
      <c r="L8" s="58" t="str">
        <f t="shared" si="0"/>
        <v>Original lot received</v>
      </c>
      <c r="M8" s="30" t="str">
        <f t="shared" si="1"/>
        <v>ORIG from SOS Project</v>
      </c>
      <c r="N8" s="81">
        <f>ROUNDDOWN(Master[[#This Row],[Quantity On Hand]],0)</f>
        <v>0</v>
      </c>
      <c r="O8" s="81" t="str">
        <f>IF(Master[[#This Row],[Quantity On Hand Units -''count'' or ''packet'']]="","",Master[[#This Row],[Quantity On Hand Units -''count'' or ''packet'']])</f>
        <v/>
      </c>
      <c r="P8" s="81" t="str">
        <f>IF(Master[[#This Row],[Inventory Type - Lookup Picker]]="","",Master[[#This Row],[Inventory Type - Lookup Picker]])</f>
        <v>SD</v>
      </c>
      <c r="Q8" t="str">
        <f t="shared" si="2"/>
        <v>Mike has</v>
      </c>
      <c r="R8" s="59">
        <f>IF(Master[[#This Row],[Latitude -decimal degrees]]="","",Master[[#This Row],[Latitude -decimal degrees]])</f>
        <v>40.454599999999999</v>
      </c>
      <c r="S8" s="59">
        <f>IF(Master[[#This Row],[Longitude -decimal degrees]]="","",Master[[#This Row],[Longitude -decimal degrees]])</f>
        <v>-106.91726</v>
      </c>
      <c r="T8" s="58" t="str">
        <f>IF(Master[[#This Row],[Parent Inventory]]="","",Master[[#This Row],[Parent Inventory]])</f>
        <v/>
      </c>
      <c r="U8" s="58">
        <f>IF(Master[[#This Row],[Hundred Seed Weight -gram]]="","",Master[[#This Row],[Hundred Seed Weight -gram]])</f>
        <v>0.4133</v>
      </c>
      <c r="V8" s="58" t="str">
        <f>IF(Master[[#This Row],[Note (Inventory)]]="","",Master[[#This Row],[Note (Inventory)]])</f>
        <v/>
      </c>
    </row>
    <row r="9" spans="1:22" x14ac:dyDescent="0.25">
      <c r="A9" s="58"/>
      <c r="B9" s="58" t="str">
        <f>IF(Master[[#This Row],[Inventory Prefix]]="","",Master[[#This Row],[Inventory Prefix]])</f>
        <v>W6</v>
      </c>
      <c r="C9" s="58" t="str">
        <f>IF(Master[[#This Row],[Inventory Number]]="","",Master[[#This Row],[Inventory Number]])</f>
        <v/>
      </c>
      <c r="D9" s="79" t="str">
        <f>IF(Master[[#This Row],[Inventory Suffix]]="","",Master[[#This Row],[Inventory Suffix]])</f>
        <v/>
      </c>
      <c r="E9" s="58" t="str">
        <f>IF(Master[[#This Row],[Inventory Type - Lookup Picker]]="","",Master[[#This Row],[Inventory Type - Lookup Picker]])</f>
        <v>SD</v>
      </c>
      <c r="F9" s="58" t="str">
        <f>Master[[#This Row],[Accession Prefix (NPGS)]]&amp;" "&amp;Master[[#This Row],[Accession Number -Assigned]]</f>
        <v>W6 59595</v>
      </c>
      <c r="G9" s="79" t="str">
        <f>IF(Master[[#This Row],[Inventory Maintenance Policy]]="","",Master[[#This Row],[Inventory Maintenance Policy]])</f>
        <v>w6_native</v>
      </c>
      <c r="H9" s="58" t="str">
        <f>IF(Master[[#This Row],[Inventory Maintenance Site -W6]]="","",Master[[#This Row],[Inventory Maintenance Site -W6]])</f>
        <v>W6</v>
      </c>
      <c r="I9" s="58" t="str">
        <f>IF(RIGHT(TEXT(Inventory[[#This Row],[Inventory Suffix]],"00"),2)="01","Y",IF(RIGHT(TEXT(Inventory[[#This Row],[Inventory Suffix]],"00"),2)="c1","Y",IF(RIGHT(TEXT(Inventory[[#This Row],[Inventory Suffix]],"00"),2)="m1","Y","N")))</f>
        <v>N</v>
      </c>
      <c r="J9" s="58" t="str">
        <f>IF(Inventory[[#This Row],[Inventory Type]]="SD","Y",IF(Inventory[[#This Row],[Inventory Type]]="LV","Y","N"))</f>
        <v>Y</v>
      </c>
      <c r="K9" s="30" t="str">
        <f t="shared" si="3"/>
        <v>N</v>
      </c>
      <c r="L9" s="58" t="str">
        <f t="shared" si="0"/>
        <v>Original lot received</v>
      </c>
      <c r="M9" s="30" t="str">
        <f t="shared" si="1"/>
        <v>ORIG from SOS Project</v>
      </c>
      <c r="N9" s="81">
        <f>ROUNDDOWN(Master[[#This Row],[Quantity On Hand]],0)</f>
        <v>0</v>
      </c>
      <c r="O9" s="81" t="str">
        <f>IF(Master[[#This Row],[Quantity On Hand Units -''count'' or ''packet'']]="","",Master[[#This Row],[Quantity On Hand Units -''count'' or ''packet'']])</f>
        <v/>
      </c>
      <c r="P9" s="81" t="str">
        <f>IF(Master[[#This Row],[Inventory Type - Lookup Picker]]="","",Master[[#This Row],[Inventory Type - Lookup Picker]])</f>
        <v>SD</v>
      </c>
      <c r="Q9" t="str">
        <f t="shared" si="2"/>
        <v>Mike has</v>
      </c>
      <c r="R9" s="59">
        <f>IF(Master[[#This Row],[Latitude -decimal degrees]]="","",Master[[#This Row],[Latitude -decimal degrees]])</f>
        <v>40.195659999999997</v>
      </c>
      <c r="S9" s="59">
        <f>IF(Master[[#This Row],[Longitude -decimal degrees]]="","",Master[[#This Row],[Longitude -decimal degrees]])</f>
        <v>-106.57347</v>
      </c>
      <c r="T9" s="58" t="str">
        <f>IF(Master[[#This Row],[Parent Inventory]]="","",Master[[#This Row],[Parent Inventory]])</f>
        <v/>
      </c>
      <c r="U9" s="58">
        <f>IF(Master[[#This Row],[Hundred Seed Weight -gram]]="","",Master[[#This Row],[Hundred Seed Weight -gram]])</f>
        <v>2.2499999999999999E-2</v>
      </c>
      <c r="V9" s="58" t="str">
        <f>IF(Master[[#This Row],[Note (Inventory)]]="","",Master[[#This Row],[Note (Inventory)]])</f>
        <v/>
      </c>
    </row>
    <row r="10" spans="1:22" x14ac:dyDescent="0.25">
      <c r="A10" s="58"/>
      <c r="B10" s="58" t="str">
        <f>IF(Master[[#This Row],[Inventory Prefix]]="","",Master[[#This Row],[Inventory Prefix]])</f>
        <v>W6</v>
      </c>
      <c r="C10" s="58" t="str">
        <f>IF(Master[[#This Row],[Inventory Number]]="","",Master[[#This Row],[Inventory Number]])</f>
        <v/>
      </c>
      <c r="D10" s="79" t="str">
        <f>IF(Master[[#This Row],[Inventory Suffix]]="","",Master[[#This Row],[Inventory Suffix]])</f>
        <v/>
      </c>
      <c r="E10" s="58" t="str">
        <f>IF(Master[[#This Row],[Inventory Type - Lookup Picker]]="","",Master[[#This Row],[Inventory Type - Lookup Picker]])</f>
        <v>SD</v>
      </c>
      <c r="F10" s="58" t="str">
        <f>Master[[#This Row],[Accession Prefix (NPGS)]]&amp;" "&amp;Master[[#This Row],[Accession Number -Assigned]]</f>
        <v>W6 59596</v>
      </c>
      <c r="G10" s="79" t="str">
        <f>IF(Master[[#This Row],[Inventory Maintenance Policy]]="","",Master[[#This Row],[Inventory Maintenance Policy]])</f>
        <v>w6_native</v>
      </c>
      <c r="H10" s="58" t="str">
        <f>IF(Master[[#This Row],[Inventory Maintenance Site -W6]]="","",Master[[#This Row],[Inventory Maintenance Site -W6]])</f>
        <v>W6</v>
      </c>
      <c r="I10" s="58" t="str">
        <f>IF(RIGHT(TEXT(Inventory[[#This Row],[Inventory Suffix]],"00"),2)="01","Y",IF(RIGHT(TEXT(Inventory[[#This Row],[Inventory Suffix]],"00"),2)="c1","Y",IF(RIGHT(TEXT(Inventory[[#This Row],[Inventory Suffix]],"00"),2)="m1","Y","N")))</f>
        <v>N</v>
      </c>
      <c r="J10" s="58" t="str">
        <f>IF(Inventory[[#This Row],[Inventory Type]]="SD","Y",IF(Inventory[[#This Row],[Inventory Type]]="LV","Y","N"))</f>
        <v>Y</v>
      </c>
      <c r="K10" s="30" t="str">
        <f t="shared" si="3"/>
        <v>N</v>
      </c>
      <c r="L10" s="58" t="str">
        <f t="shared" si="0"/>
        <v>Original lot received</v>
      </c>
      <c r="M10" s="30" t="str">
        <f t="shared" si="1"/>
        <v>ORIG from SOS Project</v>
      </c>
      <c r="N10" s="81">
        <f>ROUNDDOWN(Master[[#This Row],[Quantity On Hand]],0)</f>
        <v>0</v>
      </c>
      <c r="O10" s="81" t="str">
        <f>IF(Master[[#This Row],[Quantity On Hand Units -''count'' or ''packet'']]="","",Master[[#This Row],[Quantity On Hand Units -''count'' or ''packet'']])</f>
        <v/>
      </c>
      <c r="P10" s="81" t="str">
        <f>IF(Master[[#This Row],[Inventory Type - Lookup Picker]]="","",Master[[#This Row],[Inventory Type - Lookup Picker]])</f>
        <v>SD</v>
      </c>
      <c r="Q10" t="str">
        <f t="shared" si="2"/>
        <v>Mike has</v>
      </c>
      <c r="R10" s="59">
        <f>IF(Master[[#This Row],[Latitude -decimal degrees]]="","",Master[[#This Row],[Latitude -decimal degrees]])</f>
        <v>40.870980000000003</v>
      </c>
      <c r="S10" s="59">
        <f>IF(Master[[#This Row],[Longitude -decimal degrees]]="","",Master[[#This Row],[Longitude -decimal degrees]])</f>
        <v>-106.2063</v>
      </c>
      <c r="T10" s="58" t="str">
        <f>IF(Master[[#This Row],[Parent Inventory]]="","",Master[[#This Row],[Parent Inventory]])</f>
        <v/>
      </c>
      <c r="U10" s="58">
        <f>IF(Master[[#This Row],[Hundred Seed Weight -gram]]="","",Master[[#This Row],[Hundred Seed Weight -gram]])</f>
        <v>0.17549999999999999</v>
      </c>
      <c r="V10" s="58" t="str">
        <f>IF(Master[[#This Row],[Note (Inventory)]]="","",Master[[#This Row],[Note (Inventory)]])</f>
        <v/>
      </c>
    </row>
    <row r="11" spans="1:22" x14ac:dyDescent="0.25">
      <c r="A11" s="58"/>
      <c r="B11" s="58" t="str">
        <f>IF(Master[[#This Row],[Inventory Prefix]]="","",Master[[#This Row],[Inventory Prefix]])</f>
        <v>W6</v>
      </c>
      <c r="C11" s="58" t="str">
        <f>IF(Master[[#This Row],[Inventory Number]]="","",Master[[#This Row],[Inventory Number]])</f>
        <v/>
      </c>
      <c r="D11" s="79" t="str">
        <f>IF(Master[[#This Row],[Inventory Suffix]]="","",Master[[#This Row],[Inventory Suffix]])</f>
        <v/>
      </c>
      <c r="E11" s="58" t="str">
        <f>IF(Master[[#This Row],[Inventory Type - Lookup Picker]]="","",Master[[#This Row],[Inventory Type - Lookup Picker]])</f>
        <v>SD</v>
      </c>
      <c r="F11" s="58" t="str">
        <f>Master[[#This Row],[Accession Prefix (NPGS)]]&amp;" "&amp;Master[[#This Row],[Accession Number -Assigned]]</f>
        <v>W6 59597</v>
      </c>
      <c r="G11" s="79" t="str">
        <f>IF(Master[[#This Row],[Inventory Maintenance Policy]]="","",Master[[#This Row],[Inventory Maintenance Policy]])</f>
        <v>w6_native</v>
      </c>
      <c r="H11" s="58" t="str">
        <f>IF(Master[[#This Row],[Inventory Maintenance Site -W6]]="","",Master[[#This Row],[Inventory Maintenance Site -W6]])</f>
        <v>W6</v>
      </c>
      <c r="I11" s="58" t="str">
        <f>IF(RIGHT(TEXT(Inventory[[#This Row],[Inventory Suffix]],"00"),2)="01","Y",IF(RIGHT(TEXT(Inventory[[#This Row],[Inventory Suffix]],"00"),2)="c1","Y",IF(RIGHT(TEXT(Inventory[[#This Row],[Inventory Suffix]],"00"),2)="m1","Y","N")))</f>
        <v>N</v>
      </c>
      <c r="J11" s="58" t="str">
        <f>IF(Inventory[[#This Row],[Inventory Type]]="SD","Y",IF(Inventory[[#This Row],[Inventory Type]]="LV","Y","N"))</f>
        <v>Y</v>
      </c>
      <c r="K11" s="30" t="str">
        <f t="shared" si="3"/>
        <v>N</v>
      </c>
      <c r="L11" s="58" t="str">
        <f t="shared" si="0"/>
        <v>Original lot received</v>
      </c>
      <c r="M11" s="30" t="str">
        <f t="shared" si="1"/>
        <v>ORIG from SOS Project</v>
      </c>
      <c r="N11" s="81">
        <f>ROUNDDOWN(Master[[#This Row],[Quantity On Hand]],0)</f>
        <v>0</v>
      </c>
      <c r="O11" s="81" t="str">
        <f>IF(Master[[#This Row],[Quantity On Hand Units -''count'' or ''packet'']]="","",Master[[#This Row],[Quantity On Hand Units -''count'' or ''packet'']])</f>
        <v/>
      </c>
      <c r="P11" s="81" t="str">
        <f>IF(Master[[#This Row],[Inventory Type - Lookup Picker]]="","",Master[[#This Row],[Inventory Type - Lookup Picker]])</f>
        <v>SD</v>
      </c>
      <c r="Q11" t="str">
        <f t="shared" si="2"/>
        <v>Mike has</v>
      </c>
      <c r="R11" s="59">
        <f>IF(Master[[#This Row],[Latitude -decimal degrees]]="","",Master[[#This Row],[Latitude -decimal degrees]])</f>
        <v>40.950040000000001</v>
      </c>
      <c r="S11" s="59">
        <f>IF(Master[[#This Row],[Longitude -decimal degrees]]="","",Master[[#This Row],[Longitude -decimal degrees]])</f>
        <v>-106.51927999999999</v>
      </c>
      <c r="T11" s="58" t="str">
        <f>IF(Master[[#This Row],[Parent Inventory]]="","",Master[[#This Row],[Parent Inventory]])</f>
        <v/>
      </c>
      <c r="U11" s="58">
        <f>IF(Master[[#This Row],[Hundred Seed Weight -gram]]="","",Master[[#This Row],[Hundred Seed Weight -gram]])</f>
        <v>1.5299999999999999E-2</v>
      </c>
      <c r="V11" s="58" t="str">
        <f>IF(Master[[#This Row],[Note (Inventory)]]="","",Master[[#This Row],[Note (Inventory)]])</f>
        <v/>
      </c>
    </row>
    <row r="12" spans="1:22" x14ac:dyDescent="0.25">
      <c r="A12" s="58"/>
      <c r="B12" s="58" t="str">
        <f>IF(Master[[#This Row],[Inventory Prefix]]="","",Master[[#This Row],[Inventory Prefix]])</f>
        <v>W6</v>
      </c>
      <c r="C12" s="58" t="str">
        <f>IF(Master[[#This Row],[Inventory Number]]="","",Master[[#This Row],[Inventory Number]])</f>
        <v/>
      </c>
      <c r="D12" s="79" t="str">
        <f>IF(Master[[#This Row],[Inventory Suffix]]="","",Master[[#This Row],[Inventory Suffix]])</f>
        <v/>
      </c>
      <c r="E12" s="58" t="str">
        <f>IF(Master[[#This Row],[Inventory Type - Lookup Picker]]="","",Master[[#This Row],[Inventory Type - Lookup Picker]])</f>
        <v>SD</v>
      </c>
      <c r="F12" s="58" t="str">
        <f>Master[[#This Row],[Accession Prefix (NPGS)]]&amp;" "&amp;Master[[#This Row],[Accession Number -Assigned]]</f>
        <v>W6 59598</v>
      </c>
      <c r="G12" s="79" t="str">
        <f>IF(Master[[#This Row],[Inventory Maintenance Policy]]="","",Master[[#This Row],[Inventory Maintenance Policy]])</f>
        <v>w6_native</v>
      </c>
      <c r="H12" s="58" t="str">
        <f>IF(Master[[#This Row],[Inventory Maintenance Site -W6]]="","",Master[[#This Row],[Inventory Maintenance Site -W6]])</f>
        <v>W6</v>
      </c>
      <c r="I12" s="58" t="str">
        <f>IF(RIGHT(TEXT(Inventory[[#This Row],[Inventory Suffix]],"00"),2)="01","Y",IF(RIGHT(TEXT(Inventory[[#This Row],[Inventory Suffix]],"00"),2)="c1","Y",IF(RIGHT(TEXT(Inventory[[#This Row],[Inventory Suffix]],"00"),2)="m1","Y","N")))</f>
        <v>N</v>
      </c>
      <c r="J12" s="58" t="str">
        <f>IF(Inventory[[#This Row],[Inventory Type]]="SD","Y",IF(Inventory[[#This Row],[Inventory Type]]="LV","Y","N"))</f>
        <v>Y</v>
      </c>
      <c r="K12" s="58" t="str">
        <f t="shared" ref="K12:K21" si="4">"N"</f>
        <v>N</v>
      </c>
      <c r="L12" s="58" t="str">
        <f t="shared" si="0"/>
        <v>Original lot received</v>
      </c>
      <c r="M12" s="58" t="str">
        <f t="shared" si="1"/>
        <v>ORIG from SOS Project</v>
      </c>
      <c r="N12" s="81">
        <f>ROUNDDOWN(Master[[#This Row],[Quantity On Hand]],0)</f>
        <v>0</v>
      </c>
      <c r="O12" s="81" t="str">
        <f>IF(Master[[#This Row],[Quantity On Hand Units -''count'' or ''packet'']]="","",Master[[#This Row],[Quantity On Hand Units -''count'' or ''packet'']])</f>
        <v/>
      </c>
      <c r="P12" s="81" t="str">
        <f>IF(Master[[#This Row],[Inventory Type - Lookup Picker]]="","",Master[[#This Row],[Inventory Type - Lookup Picker]])</f>
        <v>SD</v>
      </c>
      <c r="Q12" t="str">
        <f t="shared" si="2"/>
        <v>Mike has</v>
      </c>
      <c r="R12" s="59">
        <f>IF(Master[[#This Row],[Latitude -decimal degrees]]="","",Master[[#This Row],[Latitude -decimal degrees]])</f>
        <v>40.735590000000002</v>
      </c>
      <c r="S12" s="59">
        <f>IF(Master[[#This Row],[Longitude -decimal degrees]]="","",Master[[#This Row],[Longitude -decimal degrees]])</f>
        <v>-106.31082000000001</v>
      </c>
      <c r="T12" s="58" t="str">
        <f>IF(Master[[#This Row],[Parent Inventory]]="","",Master[[#This Row],[Parent Inventory]])</f>
        <v/>
      </c>
      <c r="U12" s="58">
        <f>IF(Master[[#This Row],[Hundred Seed Weight -gram]]="","",Master[[#This Row],[Hundred Seed Weight -gram]])</f>
        <v>0.12540000000000001</v>
      </c>
      <c r="V12" s="58" t="str">
        <f>IF(Master[[#This Row],[Note (Inventory)]]="","",Master[[#This Row],[Note (Inventory)]])</f>
        <v/>
      </c>
    </row>
    <row r="13" spans="1:22" x14ac:dyDescent="0.25">
      <c r="A13" s="58"/>
      <c r="B13" s="58" t="str">
        <f>IF(Master[[#This Row],[Inventory Prefix]]="","",Master[[#This Row],[Inventory Prefix]])</f>
        <v>W6</v>
      </c>
      <c r="C13" s="58" t="str">
        <f>IF(Master[[#This Row],[Inventory Number]]="","",Master[[#This Row],[Inventory Number]])</f>
        <v/>
      </c>
      <c r="D13" s="79" t="str">
        <f>IF(Master[[#This Row],[Inventory Suffix]]="","",Master[[#This Row],[Inventory Suffix]])</f>
        <v/>
      </c>
      <c r="E13" s="58" t="str">
        <f>IF(Master[[#This Row],[Inventory Type - Lookup Picker]]="","",Master[[#This Row],[Inventory Type - Lookup Picker]])</f>
        <v>SD</v>
      </c>
      <c r="F13" s="58" t="str">
        <f>Master[[#This Row],[Accession Prefix (NPGS)]]&amp;" "&amp;Master[[#This Row],[Accession Number -Assigned]]</f>
        <v>W6 59599</v>
      </c>
      <c r="G13" s="79" t="str">
        <f>IF(Master[[#This Row],[Inventory Maintenance Policy]]="","",Master[[#This Row],[Inventory Maintenance Policy]])</f>
        <v>w6_native</v>
      </c>
      <c r="H13" s="58" t="str">
        <f>IF(Master[[#This Row],[Inventory Maintenance Site -W6]]="","",Master[[#This Row],[Inventory Maintenance Site -W6]])</f>
        <v>W6</v>
      </c>
      <c r="I13" s="58" t="str">
        <f>IF(RIGHT(TEXT(Inventory[[#This Row],[Inventory Suffix]],"00"),2)="01","Y",IF(RIGHT(TEXT(Inventory[[#This Row],[Inventory Suffix]],"00"),2)="c1","Y",IF(RIGHT(TEXT(Inventory[[#This Row],[Inventory Suffix]],"00"),2)="m1","Y","N")))</f>
        <v>N</v>
      </c>
      <c r="J13" s="58" t="str">
        <f>IF(Inventory[[#This Row],[Inventory Type]]="SD","Y",IF(Inventory[[#This Row],[Inventory Type]]="LV","Y","N"))</f>
        <v>Y</v>
      </c>
      <c r="K13" s="58" t="str">
        <f t="shared" si="4"/>
        <v>N</v>
      </c>
      <c r="L13" s="58" t="str">
        <f t="shared" si="0"/>
        <v>Original lot received</v>
      </c>
      <c r="M13" s="58" t="str">
        <f t="shared" si="1"/>
        <v>ORIG from SOS Project</v>
      </c>
      <c r="N13" s="81">
        <f>ROUNDDOWN(Master[[#This Row],[Quantity On Hand]],0)</f>
        <v>0</v>
      </c>
      <c r="O13" s="81" t="str">
        <f>IF(Master[[#This Row],[Quantity On Hand Units -''count'' or ''packet'']]="","",Master[[#This Row],[Quantity On Hand Units -''count'' or ''packet'']])</f>
        <v/>
      </c>
      <c r="P13" s="81" t="str">
        <f>IF(Master[[#This Row],[Inventory Type - Lookup Picker]]="","",Master[[#This Row],[Inventory Type - Lookup Picker]])</f>
        <v>SD</v>
      </c>
      <c r="Q13" t="str">
        <f t="shared" si="2"/>
        <v>Mike has</v>
      </c>
      <c r="R13" s="59">
        <f>IF(Master[[#This Row],[Latitude -decimal degrees]]="","",Master[[#This Row],[Latitude -decimal degrees]])</f>
        <v>40.324449999999999</v>
      </c>
      <c r="S13" s="59">
        <f>IF(Master[[#This Row],[Longitude -decimal degrees]]="","",Master[[#This Row],[Longitude -decimal degrees]])</f>
        <v>-106.44546</v>
      </c>
      <c r="T13" s="58" t="str">
        <f>IF(Master[[#This Row],[Parent Inventory]]="","",Master[[#This Row],[Parent Inventory]])</f>
        <v/>
      </c>
      <c r="U13" s="58">
        <f>IF(Master[[#This Row],[Hundred Seed Weight -gram]]="","",Master[[#This Row],[Hundred Seed Weight -gram]])</f>
        <v>1.72E-2</v>
      </c>
      <c r="V13" s="58" t="str">
        <f>IF(Master[[#This Row],[Note (Inventory)]]="","",Master[[#This Row],[Note (Inventory)]])</f>
        <v/>
      </c>
    </row>
    <row r="14" spans="1:22" x14ac:dyDescent="0.25">
      <c r="A14" s="58"/>
      <c r="B14" s="58" t="str">
        <f>IF(Master[[#This Row],[Inventory Prefix]]="","",Master[[#This Row],[Inventory Prefix]])</f>
        <v>W6</v>
      </c>
      <c r="C14" s="58" t="str">
        <f>IF(Master[[#This Row],[Inventory Number]]="","",Master[[#This Row],[Inventory Number]])</f>
        <v/>
      </c>
      <c r="D14" s="79" t="str">
        <f>IF(Master[[#This Row],[Inventory Suffix]]="","",Master[[#This Row],[Inventory Suffix]])</f>
        <v/>
      </c>
      <c r="E14" s="58" t="str">
        <f>IF(Master[[#This Row],[Inventory Type - Lookup Picker]]="","",Master[[#This Row],[Inventory Type - Lookup Picker]])</f>
        <v>SD</v>
      </c>
      <c r="F14" s="58" t="str">
        <f>Master[[#This Row],[Accession Prefix (NPGS)]]&amp;" "&amp;Master[[#This Row],[Accession Number -Assigned]]</f>
        <v>W6 59600</v>
      </c>
      <c r="G14" s="79" t="str">
        <f>IF(Master[[#This Row],[Inventory Maintenance Policy]]="","",Master[[#This Row],[Inventory Maintenance Policy]])</f>
        <v>w6_native</v>
      </c>
      <c r="H14" s="58" t="str">
        <f>IF(Master[[#This Row],[Inventory Maintenance Site -W6]]="","",Master[[#This Row],[Inventory Maintenance Site -W6]])</f>
        <v>W6</v>
      </c>
      <c r="I14" s="58" t="str">
        <f>IF(RIGHT(TEXT(Inventory[[#This Row],[Inventory Suffix]],"00"),2)="01","Y",IF(RIGHT(TEXT(Inventory[[#This Row],[Inventory Suffix]],"00"),2)="c1","Y",IF(RIGHT(TEXT(Inventory[[#This Row],[Inventory Suffix]],"00"),2)="m1","Y","N")))</f>
        <v>N</v>
      </c>
      <c r="J14" s="58" t="str">
        <f>IF(Inventory[[#This Row],[Inventory Type]]="SD","Y",IF(Inventory[[#This Row],[Inventory Type]]="LV","Y","N"))</f>
        <v>Y</v>
      </c>
      <c r="K14" s="58" t="str">
        <f t="shared" si="4"/>
        <v>N</v>
      </c>
      <c r="L14" s="58" t="str">
        <f t="shared" si="0"/>
        <v>Original lot received</v>
      </c>
      <c r="M14" s="58" t="str">
        <f t="shared" si="1"/>
        <v>ORIG from SOS Project</v>
      </c>
      <c r="N14" s="81">
        <f>ROUNDDOWN(Master[[#This Row],[Quantity On Hand]],0)</f>
        <v>0</v>
      </c>
      <c r="O14" s="81" t="str">
        <f>IF(Master[[#This Row],[Quantity On Hand Units -''count'' or ''packet'']]="","",Master[[#This Row],[Quantity On Hand Units -''count'' or ''packet'']])</f>
        <v/>
      </c>
      <c r="P14" s="81" t="str">
        <f>IF(Master[[#This Row],[Inventory Type - Lookup Picker]]="","",Master[[#This Row],[Inventory Type - Lookup Picker]])</f>
        <v>SD</v>
      </c>
      <c r="Q14" t="str">
        <f t="shared" si="2"/>
        <v>Mike has</v>
      </c>
      <c r="R14" s="59">
        <f>IF(Master[[#This Row],[Latitude -decimal degrees]]="","",Master[[#This Row],[Latitude -decimal degrees]])</f>
        <v>40.195639999999997</v>
      </c>
      <c r="S14" s="59">
        <f>IF(Master[[#This Row],[Longitude -decimal degrees]]="","",Master[[#This Row],[Longitude -decimal degrees]])</f>
        <v>-106.57347</v>
      </c>
      <c r="T14" s="58" t="str">
        <f>IF(Master[[#This Row],[Parent Inventory]]="","",Master[[#This Row],[Parent Inventory]])</f>
        <v/>
      </c>
      <c r="U14" s="58">
        <f>IF(Master[[#This Row],[Hundred Seed Weight -gram]]="","",Master[[#This Row],[Hundred Seed Weight -gram]])</f>
        <v>0.1201</v>
      </c>
      <c r="V14" s="58" t="str">
        <f>IF(Master[[#This Row],[Note (Inventory)]]="","",Master[[#This Row],[Note (Inventory)]])</f>
        <v/>
      </c>
    </row>
    <row r="15" spans="1:22" x14ac:dyDescent="0.25">
      <c r="A15" s="58"/>
      <c r="B15" s="58" t="str">
        <f>IF(Master[[#This Row],[Inventory Prefix]]="","",Master[[#This Row],[Inventory Prefix]])</f>
        <v>W6</v>
      </c>
      <c r="C15" s="58" t="str">
        <f>IF(Master[[#This Row],[Inventory Number]]="","",Master[[#This Row],[Inventory Number]])</f>
        <v/>
      </c>
      <c r="D15" s="79" t="str">
        <f>IF(Master[[#This Row],[Inventory Suffix]]="","",Master[[#This Row],[Inventory Suffix]])</f>
        <v/>
      </c>
      <c r="E15" s="58" t="str">
        <f>IF(Master[[#This Row],[Inventory Type - Lookup Picker]]="","",Master[[#This Row],[Inventory Type - Lookup Picker]])</f>
        <v>SD</v>
      </c>
      <c r="F15" s="58" t="str">
        <f>Master[[#This Row],[Accession Prefix (NPGS)]]&amp;" "&amp;Master[[#This Row],[Accession Number -Assigned]]</f>
        <v>W6 59601</v>
      </c>
      <c r="G15" s="79" t="str">
        <f>IF(Master[[#This Row],[Inventory Maintenance Policy]]="","",Master[[#This Row],[Inventory Maintenance Policy]])</f>
        <v>w6_native</v>
      </c>
      <c r="H15" s="58" t="str">
        <f>IF(Master[[#This Row],[Inventory Maintenance Site -W6]]="","",Master[[#This Row],[Inventory Maintenance Site -W6]])</f>
        <v>W6</v>
      </c>
      <c r="I15" s="58" t="str">
        <f>IF(RIGHT(TEXT(Inventory[[#This Row],[Inventory Suffix]],"00"),2)="01","Y",IF(RIGHT(TEXT(Inventory[[#This Row],[Inventory Suffix]],"00"),2)="c1","Y",IF(RIGHT(TEXT(Inventory[[#This Row],[Inventory Suffix]],"00"),2)="m1","Y","N")))</f>
        <v>N</v>
      </c>
      <c r="J15" s="58" t="str">
        <f>IF(Inventory[[#This Row],[Inventory Type]]="SD","Y",IF(Inventory[[#This Row],[Inventory Type]]="LV","Y","N"))</f>
        <v>Y</v>
      </c>
      <c r="K15" s="58" t="str">
        <f t="shared" si="4"/>
        <v>N</v>
      </c>
      <c r="L15" s="58" t="str">
        <f t="shared" si="0"/>
        <v>Original lot received</v>
      </c>
      <c r="M15" s="58" t="str">
        <f t="shared" si="1"/>
        <v>ORIG from SOS Project</v>
      </c>
      <c r="N15" s="81">
        <f>ROUNDDOWN(Master[[#This Row],[Quantity On Hand]],0)</f>
        <v>0</v>
      </c>
      <c r="O15" s="81" t="str">
        <f>IF(Master[[#This Row],[Quantity On Hand Units -''count'' or ''packet'']]="","",Master[[#This Row],[Quantity On Hand Units -''count'' or ''packet'']])</f>
        <v/>
      </c>
      <c r="P15" s="81" t="str">
        <f>IF(Master[[#This Row],[Inventory Type - Lookup Picker]]="","",Master[[#This Row],[Inventory Type - Lookup Picker]])</f>
        <v>SD</v>
      </c>
      <c r="Q15" t="str">
        <f t="shared" si="2"/>
        <v>Mike has</v>
      </c>
      <c r="R15" s="59">
        <f>IF(Master[[#This Row],[Latitude -decimal degrees]]="","",Master[[#This Row],[Latitude -decimal degrees]])</f>
        <v>40.384689999999999</v>
      </c>
      <c r="S15" s="59">
        <f>IF(Master[[#This Row],[Longitude -decimal degrees]]="","",Master[[#This Row],[Longitude -decimal degrees]])</f>
        <v>-106.57035999999999</v>
      </c>
      <c r="T15" s="58" t="str">
        <f>IF(Master[[#This Row],[Parent Inventory]]="","",Master[[#This Row],[Parent Inventory]])</f>
        <v/>
      </c>
      <c r="U15" s="58">
        <f>IF(Master[[#This Row],[Hundred Seed Weight -gram]]="","",Master[[#This Row],[Hundred Seed Weight -gram]])</f>
        <v>3.3300000000000003E-2</v>
      </c>
      <c r="V15" s="58" t="str">
        <f>IF(Master[[#This Row],[Note (Inventory)]]="","",Master[[#This Row],[Note (Inventory)]])</f>
        <v/>
      </c>
    </row>
    <row r="16" spans="1:22" x14ac:dyDescent="0.25">
      <c r="A16" s="58"/>
      <c r="B16" s="58" t="str">
        <f>IF(Master[[#This Row],[Inventory Prefix]]="","",Master[[#This Row],[Inventory Prefix]])</f>
        <v>W6</v>
      </c>
      <c r="C16" s="58" t="str">
        <f>IF(Master[[#This Row],[Inventory Number]]="","",Master[[#This Row],[Inventory Number]])</f>
        <v/>
      </c>
      <c r="D16" s="79" t="str">
        <f>IF(Master[[#This Row],[Inventory Suffix]]="","",Master[[#This Row],[Inventory Suffix]])</f>
        <v/>
      </c>
      <c r="E16" s="58" t="str">
        <f>IF(Master[[#This Row],[Inventory Type - Lookup Picker]]="","",Master[[#This Row],[Inventory Type - Lookup Picker]])</f>
        <v>SD</v>
      </c>
      <c r="F16" s="58" t="str">
        <f>Master[[#This Row],[Accession Prefix (NPGS)]]&amp;" "&amp;Master[[#This Row],[Accession Number -Assigned]]</f>
        <v>W6 59602</v>
      </c>
      <c r="G16" s="79" t="str">
        <f>IF(Master[[#This Row],[Inventory Maintenance Policy]]="","",Master[[#This Row],[Inventory Maintenance Policy]])</f>
        <v>w6_native</v>
      </c>
      <c r="H16" s="58" t="str">
        <f>IF(Master[[#This Row],[Inventory Maintenance Site -W6]]="","",Master[[#This Row],[Inventory Maintenance Site -W6]])</f>
        <v>W6</v>
      </c>
      <c r="I16" s="58" t="str">
        <f>IF(RIGHT(TEXT(Inventory[[#This Row],[Inventory Suffix]],"00"),2)="01","Y",IF(RIGHT(TEXT(Inventory[[#This Row],[Inventory Suffix]],"00"),2)="c1","Y",IF(RIGHT(TEXT(Inventory[[#This Row],[Inventory Suffix]],"00"),2)="m1","Y","N")))</f>
        <v>N</v>
      </c>
      <c r="J16" s="58" t="str">
        <f>IF(Inventory[[#This Row],[Inventory Type]]="SD","Y",IF(Inventory[[#This Row],[Inventory Type]]="LV","Y","N"))</f>
        <v>Y</v>
      </c>
      <c r="K16" s="58" t="str">
        <f t="shared" si="4"/>
        <v>N</v>
      </c>
      <c r="L16" s="58" t="str">
        <f t="shared" si="0"/>
        <v>Original lot received</v>
      </c>
      <c r="M16" s="58" t="str">
        <f t="shared" si="1"/>
        <v>ORIG from SOS Project</v>
      </c>
      <c r="N16" s="81">
        <f>ROUNDDOWN(Master[[#This Row],[Quantity On Hand]],0)</f>
        <v>0</v>
      </c>
      <c r="O16" s="81" t="str">
        <f>IF(Master[[#This Row],[Quantity On Hand Units -''count'' or ''packet'']]="","",Master[[#This Row],[Quantity On Hand Units -''count'' or ''packet'']])</f>
        <v/>
      </c>
      <c r="P16" s="81" t="str">
        <f>IF(Master[[#This Row],[Inventory Type - Lookup Picker]]="","",Master[[#This Row],[Inventory Type - Lookup Picker]])</f>
        <v>SD</v>
      </c>
      <c r="Q16" t="str">
        <f t="shared" si="2"/>
        <v>Mike has</v>
      </c>
      <c r="R16" s="59">
        <f>IF(Master[[#This Row],[Latitude -decimal degrees]]="","",Master[[#This Row],[Latitude -decimal degrees]])</f>
        <v>40.023269999999997</v>
      </c>
      <c r="S16" s="59">
        <f>IF(Master[[#This Row],[Longitude -decimal degrees]]="","",Master[[#This Row],[Longitude -decimal degrees]])</f>
        <v>-106.84023000000001</v>
      </c>
      <c r="T16" s="58" t="str">
        <f>IF(Master[[#This Row],[Parent Inventory]]="","",Master[[#This Row],[Parent Inventory]])</f>
        <v/>
      </c>
      <c r="U16" s="58">
        <f>IF(Master[[#This Row],[Hundred Seed Weight -gram]]="","",Master[[#This Row],[Hundred Seed Weight -gram]])</f>
        <v>1.5299999999999999E-2</v>
      </c>
      <c r="V16" s="58" t="str">
        <f>IF(Master[[#This Row],[Note (Inventory)]]="","",Master[[#This Row],[Note (Inventory)]])</f>
        <v/>
      </c>
    </row>
    <row r="17" spans="1:22" x14ac:dyDescent="0.25">
      <c r="A17" s="58"/>
      <c r="B17" s="58" t="str">
        <f>IF(Master[[#This Row],[Inventory Prefix]]="","",Master[[#This Row],[Inventory Prefix]])</f>
        <v>W6</v>
      </c>
      <c r="C17" s="58" t="str">
        <f>IF(Master[[#This Row],[Inventory Number]]="","",Master[[#This Row],[Inventory Number]])</f>
        <v/>
      </c>
      <c r="D17" s="79" t="str">
        <f>IF(Master[[#This Row],[Inventory Suffix]]="","",Master[[#This Row],[Inventory Suffix]])</f>
        <v/>
      </c>
      <c r="E17" s="58" t="str">
        <f>IF(Master[[#This Row],[Inventory Type - Lookup Picker]]="","",Master[[#This Row],[Inventory Type - Lookup Picker]])</f>
        <v>SD</v>
      </c>
      <c r="F17" s="60" t="str">
        <f>Master[[#This Row],[Accession Prefix (NPGS)]]&amp;" "&amp;Master[[#This Row],[Accession Number -Assigned]]</f>
        <v>W6 59603</v>
      </c>
      <c r="G17" s="79" t="str">
        <f>IF(Master[[#This Row],[Inventory Maintenance Policy]]="","",Master[[#This Row],[Inventory Maintenance Policy]])</f>
        <v>w6_native</v>
      </c>
      <c r="H17" s="58" t="str">
        <f>IF(Master[[#This Row],[Inventory Maintenance Site -W6]]="","",Master[[#This Row],[Inventory Maintenance Site -W6]])</f>
        <v>W6</v>
      </c>
      <c r="I17" s="58" t="str">
        <f>IF(RIGHT(TEXT(Inventory[[#This Row],[Inventory Suffix]],"00"),2)="01","Y",IF(RIGHT(TEXT(Inventory[[#This Row],[Inventory Suffix]],"00"),2)="c1","Y",IF(RIGHT(TEXT(Inventory[[#This Row],[Inventory Suffix]],"00"),2)="m1","Y","N")))</f>
        <v>N</v>
      </c>
      <c r="J17" s="58" t="str">
        <f>IF(Inventory[[#This Row],[Inventory Type]]="SD","Y",IF(Inventory[[#This Row],[Inventory Type]]="LV","Y","N"))</f>
        <v>Y</v>
      </c>
      <c r="K17" s="58" t="str">
        <f t="shared" si="4"/>
        <v>N</v>
      </c>
      <c r="L17" s="58" t="str">
        <f t="shared" si="0"/>
        <v>Original lot received</v>
      </c>
      <c r="M17" s="58" t="str">
        <f t="shared" si="1"/>
        <v>ORIG from SOS Project</v>
      </c>
      <c r="N17" s="81">
        <f>ROUNDDOWN(Master[[#This Row],[Quantity On Hand]],0)</f>
        <v>0</v>
      </c>
      <c r="O17" s="81" t="str">
        <f>IF(Master[[#This Row],[Quantity On Hand Units -''count'' or ''packet'']]="","",Master[[#This Row],[Quantity On Hand Units -''count'' or ''packet'']])</f>
        <v/>
      </c>
      <c r="P17" s="81" t="str">
        <f>IF(Master[[#This Row],[Inventory Type - Lookup Picker]]="","",Master[[#This Row],[Inventory Type - Lookup Picker]])</f>
        <v>SD</v>
      </c>
      <c r="Q17" t="str">
        <f t="shared" si="2"/>
        <v>Mike has</v>
      </c>
      <c r="R17" s="59">
        <f>IF(Master[[#This Row],[Latitude -decimal degrees]]="","",Master[[#This Row],[Latitude -decimal degrees]])</f>
        <v>40.027670000000001</v>
      </c>
      <c r="S17" s="59">
        <f>IF(Master[[#This Row],[Longitude -decimal degrees]]="","",Master[[#This Row],[Longitude -decimal degrees]])</f>
        <v>-106.79264999999999</v>
      </c>
      <c r="T17" s="58" t="str">
        <f>IF(Master[[#This Row],[Parent Inventory]]="","",Master[[#This Row],[Parent Inventory]])</f>
        <v/>
      </c>
      <c r="U17" s="58">
        <f>IF(Master[[#This Row],[Hundred Seed Weight -gram]]="","",Master[[#This Row],[Hundred Seed Weight -gram]])</f>
        <v>1.2500000000000001E-2</v>
      </c>
      <c r="V17" s="58" t="str">
        <f>IF(Master[[#This Row],[Note (Inventory)]]="","",Master[[#This Row],[Note (Inventory)]])</f>
        <v/>
      </c>
    </row>
    <row r="18" spans="1:22" x14ac:dyDescent="0.25">
      <c r="A18" s="58"/>
      <c r="B18" s="58" t="str">
        <f>IF(Master[[#This Row],[Inventory Prefix]]="","",Master[[#This Row],[Inventory Prefix]])</f>
        <v>W6</v>
      </c>
      <c r="C18" s="58" t="str">
        <f>IF(Master[[#This Row],[Inventory Number]]="","",Master[[#This Row],[Inventory Number]])</f>
        <v/>
      </c>
      <c r="D18" s="79" t="str">
        <f>IF(Master[[#This Row],[Inventory Suffix]]="","",Master[[#This Row],[Inventory Suffix]])</f>
        <v/>
      </c>
      <c r="E18" s="58" t="str">
        <f>IF(Master[[#This Row],[Inventory Type - Lookup Picker]]="","",Master[[#This Row],[Inventory Type - Lookup Picker]])</f>
        <v>SD</v>
      </c>
      <c r="F18" s="60" t="str">
        <f>Master[[#This Row],[Accession Prefix (NPGS)]]&amp;" "&amp;Master[[#This Row],[Accession Number -Assigned]]</f>
        <v>W6 59604</v>
      </c>
      <c r="G18" s="79" t="str">
        <f>IF(Master[[#This Row],[Inventory Maintenance Policy]]="","",Master[[#This Row],[Inventory Maintenance Policy]])</f>
        <v>w6_native</v>
      </c>
      <c r="H18" s="58" t="str">
        <f>IF(Master[[#This Row],[Inventory Maintenance Site -W6]]="","",Master[[#This Row],[Inventory Maintenance Site -W6]])</f>
        <v>W6</v>
      </c>
      <c r="I18" s="58" t="str">
        <f>IF(RIGHT(TEXT(Inventory[[#This Row],[Inventory Suffix]],"00"),2)="01","Y",IF(RIGHT(TEXT(Inventory[[#This Row],[Inventory Suffix]],"00"),2)="c1","Y",IF(RIGHT(TEXT(Inventory[[#This Row],[Inventory Suffix]],"00"),2)="m1","Y","N")))</f>
        <v>N</v>
      </c>
      <c r="J18" s="58" t="str">
        <f>IF(Inventory[[#This Row],[Inventory Type]]="SD","Y",IF(Inventory[[#This Row],[Inventory Type]]="LV","Y","N"))</f>
        <v>Y</v>
      </c>
      <c r="K18" s="58" t="str">
        <f t="shared" si="4"/>
        <v>N</v>
      </c>
      <c r="L18" s="58" t="str">
        <f t="shared" si="0"/>
        <v>Original lot received</v>
      </c>
      <c r="M18" s="58" t="str">
        <f t="shared" si="1"/>
        <v>ORIG from SOS Project</v>
      </c>
      <c r="N18" s="81">
        <f>ROUNDDOWN(Master[[#This Row],[Quantity On Hand]],0)</f>
        <v>0</v>
      </c>
      <c r="O18" s="81" t="str">
        <f>IF(Master[[#This Row],[Quantity On Hand Units -''count'' or ''packet'']]="","",Master[[#This Row],[Quantity On Hand Units -''count'' or ''packet'']])</f>
        <v/>
      </c>
      <c r="P18" s="81" t="str">
        <f>IF(Master[[#This Row],[Inventory Type - Lookup Picker]]="","",Master[[#This Row],[Inventory Type - Lookup Picker]])</f>
        <v>SD</v>
      </c>
      <c r="Q18" t="str">
        <f t="shared" si="2"/>
        <v>Mike has</v>
      </c>
      <c r="R18" s="59">
        <f>IF(Master[[#This Row],[Latitude -decimal degrees]]="","",Master[[#This Row],[Latitude -decimal degrees]])</f>
        <v>40.019669999999998</v>
      </c>
      <c r="S18" s="59">
        <f>IF(Master[[#This Row],[Longitude -decimal degrees]]="","",Master[[#This Row],[Longitude -decimal degrees]])</f>
        <v>-106.84244</v>
      </c>
      <c r="T18" s="58" t="str">
        <f>IF(Master[[#This Row],[Parent Inventory]]="","",Master[[#This Row],[Parent Inventory]])</f>
        <v/>
      </c>
      <c r="U18" s="58">
        <f>IF(Master[[#This Row],[Hundred Seed Weight -gram]]="","",Master[[#This Row],[Hundred Seed Weight -gram]])</f>
        <v>1.15E-2</v>
      </c>
      <c r="V18" s="58" t="str">
        <f>IF(Master[[#This Row],[Note (Inventory)]]="","",Master[[#This Row],[Note (Inventory)]])</f>
        <v/>
      </c>
    </row>
    <row r="19" spans="1:22" x14ac:dyDescent="0.25">
      <c r="A19" s="58"/>
      <c r="B19" s="58" t="str">
        <f>IF(Master[[#This Row],[Inventory Prefix]]="","",Master[[#This Row],[Inventory Prefix]])</f>
        <v>W6</v>
      </c>
      <c r="C19" s="58" t="str">
        <f>IF(Master[[#This Row],[Inventory Number]]="","",Master[[#This Row],[Inventory Number]])</f>
        <v/>
      </c>
      <c r="D19" s="79" t="str">
        <f>IF(Master[[#This Row],[Inventory Suffix]]="","",Master[[#This Row],[Inventory Suffix]])</f>
        <v/>
      </c>
      <c r="E19" s="58" t="str">
        <f>IF(Master[[#This Row],[Inventory Type - Lookup Picker]]="","",Master[[#This Row],[Inventory Type - Lookup Picker]])</f>
        <v>SD</v>
      </c>
      <c r="F19" s="60" t="str">
        <f>Master[[#This Row],[Accession Prefix (NPGS)]]&amp;" "&amp;Master[[#This Row],[Accession Number -Assigned]]</f>
        <v>W6 59605</v>
      </c>
      <c r="G19" s="79" t="str">
        <f>IF(Master[[#This Row],[Inventory Maintenance Policy]]="","",Master[[#This Row],[Inventory Maintenance Policy]])</f>
        <v>w6_native</v>
      </c>
      <c r="H19" s="58" t="str">
        <f>IF(Master[[#This Row],[Inventory Maintenance Site -W6]]="","",Master[[#This Row],[Inventory Maintenance Site -W6]])</f>
        <v>W6</v>
      </c>
      <c r="I19" s="58" t="str">
        <f>IF(RIGHT(TEXT(Inventory[[#This Row],[Inventory Suffix]],"00"),2)="01","Y",IF(RIGHT(TEXT(Inventory[[#This Row],[Inventory Suffix]],"00"),2)="c1","Y",IF(RIGHT(TEXT(Inventory[[#This Row],[Inventory Suffix]],"00"),2)="m1","Y","N")))</f>
        <v>N</v>
      </c>
      <c r="J19" s="58" t="str">
        <f>IF(Inventory[[#This Row],[Inventory Type]]="SD","Y",IF(Inventory[[#This Row],[Inventory Type]]="LV","Y","N"))</f>
        <v>Y</v>
      </c>
      <c r="K19" s="58" t="str">
        <f t="shared" si="4"/>
        <v>N</v>
      </c>
      <c r="L19" s="58" t="str">
        <f t="shared" si="0"/>
        <v>Original lot received</v>
      </c>
      <c r="M19" s="58" t="str">
        <f t="shared" si="1"/>
        <v>ORIG from SOS Project</v>
      </c>
      <c r="N19" s="81">
        <f>ROUNDDOWN(Master[[#This Row],[Quantity On Hand]],0)</f>
        <v>0</v>
      </c>
      <c r="O19" s="81" t="str">
        <f>IF(Master[[#This Row],[Quantity On Hand Units -''count'' or ''packet'']]="","",Master[[#This Row],[Quantity On Hand Units -''count'' or ''packet'']])</f>
        <v/>
      </c>
      <c r="P19" s="81" t="str">
        <f>IF(Master[[#This Row],[Inventory Type - Lookup Picker]]="","",Master[[#This Row],[Inventory Type - Lookup Picker]])</f>
        <v>SD</v>
      </c>
      <c r="Q19" t="str">
        <f t="shared" si="2"/>
        <v>Mike has</v>
      </c>
      <c r="R19" s="59">
        <f>IF(Master[[#This Row],[Latitude -decimal degrees]]="","",Master[[#This Row],[Latitude -decimal degrees]])</f>
        <v>39.911209999999997</v>
      </c>
      <c r="S19" s="59">
        <f>IF(Master[[#This Row],[Longitude -decimal degrees]]="","",Master[[#This Row],[Longitude -decimal degrees]])</f>
        <v>-106.74414</v>
      </c>
      <c r="T19" s="58" t="str">
        <f>IF(Master[[#This Row],[Parent Inventory]]="","",Master[[#This Row],[Parent Inventory]])</f>
        <v/>
      </c>
      <c r="U19" s="58">
        <f>IF(Master[[#This Row],[Hundred Seed Weight -gram]]="","",Master[[#This Row],[Hundred Seed Weight -gram]])</f>
        <v>6.3299999999999995E-2</v>
      </c>
      <c r="V19" s="58" t="str">
        <f>IF(Master[[#This Row],[Note (Inventory)]]="","",Master[[#This Row],[Note (Inventory)]])</f>
        <v/>
      </c>
    </row>
    <row r="20" spans="1:22" x14ac:dyDescent="0.25">
      <c r="A20" s="58"/>
      <c r="B20" s="58" t="str">
        <f>IF(Master[[#This Row],[Inventory Prefix]]="","",Master[[#This Row],[Inventory Prefix]])</f>
        <v>W6</v>
      </c>
      <c r="C20" s="58" t="str">
        <f>IF(Master[[#This Row],[Inventory Number]]="","",Master[[#This Row],[Inventory Number]])</f>
        <v/>
      </c>
      <c r="D20" s="79" t="str">
        <f>IF(Master[[#This Row],[Inventory Suffix]]="","",Master[[#This Row],[Inventory Suffix]])</f>
        <v/>
      </c>
      <c r="E20" s="58" t="str">
        <f>IF(Master[[#This Row],[Inventory Type - Lookup Picker]]="","",Master[[#This Row],[Inventory Type - Lookup Picker]])</f>
        <v>SD</v>
      </c>
      <c r="F20" s="60" t="str">
        <f>Master[[#This Row],[Accession Prefix (NPGS)]]&amp;" "&amp;Master[[#This Row],[Accession Number -Assigned]]</f>
        <v>W6 59606</v>
      </c>
      <c r="G20" s="79" t="str">
        <f>IF(Master[[#This Row],[Inventory Maintenance Policy]]="","",Master[[#This Row],[Inventory Maintenance Policy]])</f>
        <v>w6_native</v>
      </c>
      <c r="H20" s="58" t="str">
        <f>IF(Master[[#This Row],[Inventory Maintenance Site -W6]]="","",Master[[#This Row],[Inventory Maintenance Site -W6]])</f>
        <v>W6</v>
      </c>
      <c r="I20" s="58" t="str">
        <f>IF(RIGHT(TEXT(Inventory[[#This Row],[Inventory Suffix]],"00"),2)="01","Y",IF(RIGHT(TEXT(Inventory[[#This Row],[Inventory Suffix]],"00"),2)="c1","Y",IF(RIGHT(TEXT(Inventory[[#This Row],[Inventory Suffix]],"00"),2)="m1","Y","N")))</f>
        <v>N</v>
      </c>
      <c r="J20" s="58" t="str">
        <f>IF(Inventory[[#This Row],[Inventory Type]]="SD","Y",IF(Inventory[[#This Row],[Inventory Type]]="LV","Y","N"))</f>
        <v>Y</v>
      </c>
      <c r="K20" s="58" t="str">
        <f t="shared" si="4"/>
        <v>N</v>
      </c>
      <c r="L20" s="58" t="str">
        <f t="shared" si="0"/>
        <v>Original lot received</v>
      </c>
      <c r="M20" s="58" t="str">
        <f t="shared" si="1"/>
        <v>ORIG from SOS Project</v>
      </c>
      <c r="N20" s="81">
        <f>ROUNDDOWN(Master[[#This Row],[Quantity On Hand]],0)</f>
        <v>0</v>
      </c>
      <c r="O20" s="81" t="str">
        <f>IF(Master[[#This Row],[Quantity On Hand Units -''count'' or ''packet'']]="","",Master[[#This Row],[Quantity On Hand Units -''count'' or ''packet'']])</f>
        <v/>
      </c>
      <c r="P20" s="81" t="str">
        <f>IF(Master[[#This Row],[Inventory Type - Lookup Picker]]="","",Master[[#This Row],[Inventory Type - Lookup Picker]])</f>
        <v>SD</v>
      </c>
      <c r="Q20" t="str">
        <f t="shared" si="2"/>
        <v>Mike has</v>
      </c>
      <c r="R20" s="59">
        <f>IF(Master[[#This Row],[Latitude -decimal degrees]]="","",Master[[#This Row],[Latitude -decimal degrees]])</f>
        <v>40.870539999999998</v>
      </c>
      <c r="S20" s="59">
        <f>IF(Master[[#This Row],[Longitude -decimal degrees]]="","",Master[[#This Row],[Longitude -decimal degrees]])</f>
        <v>-106.2068</v>
      </c>
      <c r="T20" s="58" t="str">
        <f>IF(Master[[#This Row],[Parent Inventory]]="","",Master[[#This Row],[Parent Inventory]])</f>
        <v/>
      </c>
      <c r="U20" s="58">
        <f>IF(Master[[#This Row],[Hundred Seed Weight -gram]]="","",Master[[#This Row],[Hundred Seed Weight -gram]])</f>
        <v>7.4300000000000005E-2</v>
      </c>
      <c r="V20" s="58" t="str">
        <f>IF(Master[[#This Row],[Note (Inventory)]]="","",Master[[#This Row],[Note (Inventory)]])</f>
        <v/>
      </c>
    </row>
    <row r="21" spans="1:22" x14ac:dyDescent="0.25">
      <c r="A21" s="58"/>
      <c r="B21" s="58" t="str">
        <f>IF(Master[[#This Row],[Inventory Prefix]]="","",Master[[#This Row],[Inventory Prefix]])</f>
        <v>W6</v>
      </c>
      <c r="C21" s="58" t="str">
        <f>IF(Master[[#This Row],[Inventory Number]]="","",Master[[#This Row],[Inventory Number]])</f>
        <v/>
      </c>
      <c r="D21" s="79" t="str">
        <f>IF(Master[[#This Row],[Inventory Suffix]]="","",Master[[#This Row],[Inventory Suffix]])</f>
        <v/>
      </c>
      <c r="E21" s="58" t="str">
        <f>IF(Master[[#This Row],[Inventory Type - Lookup Picker]]="","",Master[[#This Row],[Inventory Type - Lookup Picker]])</f>
        <v>SD</v>
      </c>
      <c r="F21" s="60" t="str">
        <f>Master[[#This Row],[Accession Prefix (NPGS)]]&amp;" "&amp;Master[[#This Row],[Accession Number -Assigned]]</f>
        <v>W6 59607</v>
      </c>
      <c r="G21" s="79" t="str">
        <f>IF(Master[[#This Row],[Inventory Maintenance Policy]]="","",Master[[#This Row],[Inventory Maintenance Policy]])</f>
        <v>w6_native</v>
      </c>
      <c r="H21" s="58" t="str">
        <f>IF(Master[[#This Row],[Inventory Maintenance Site -W6]]="","",Master[[#This Row],[Inventory Maintenance Site -W6]])</f>
        <v>W6</v>
      </c>
      <c r="I21" s="58" t="str">
        <f>IF(RIGHT(TEXT(Inventory[[#This Row],[Inventory Suffix]],"00"),2)="01","Y",IF(RIGHT(TEXT(Inventory[[#This Row],[Inventory Suffix]],"00"),2)="c1","Y",IF(RIGHT(TEXT(Inventory[[#This Row],[Inventory Suffix]],"00"),2)="m1","Y","N")))</f>
        <v>N</v>
      </c>
      <c r="J21" s="58" t="str">
        <f>IF(Inventory[[#This Row],[Inventory Type]]="SD","Y",IF(Inventory[[#This Row],[Inventory Type]]="LV","Y","N"))</f>
        <v>Y</v>
      </c>
      <c r="K21" s="58" t="str">
        <f t="shared" si="4"/>
        <v>N</v>
      </c>
      <c r="L21" s="58" t="str">
        <f t="shared" si="0"/>
        <v>Original lot received</v>
      </c>
      <c r="M21" s="58" t="str">
        <f t="shared" si="1"/>
        <v>ORIG from SOS Project</v>
      </c>
      <c r="N21" s="81">
        <f>ROUNDDOWN(Master[[#This Row],[Quantity On Hand]],0)</f>
        <v>0</v>
      </c>
      <c r="O21" s="81" t="str">
        <f>IF(Master[[#This Row],[Quantity On Hand Units -''count'' or ''packet'']]="","",Master[[#This Row],[Quantity On Hand Units -''count'' or ''packet'']])</f>
        <v/>
      </c>
      <c r="P21" s="81" t="str">
        <f>IF(Master[[#This Row],[Inventory Type - Lookup Picker]]="","",Master[[#This Row],[Inventory Type - Lookup Picker]])</f>
        <v>SD</v>
      </c>
      <c r="Q21" t="str">
        <f t="shared" si="2"/>
        <v>Mike has</v>
      </c>
      <c r="R21" s="59">
        <f>IF(Master[[#This Row],[Latitude -decimal degrees]]="","",Master[[#This Row],[Latitude -decimal degrees]])</f>
        <v>40.564219999999999</v>
      </c>
      <c r="S21" s="59">
        <f>IF(Master[[#This Row],[Longitude -decimal degrees]]="","",Master[[#This Row],[Longitude -decimal degrees]])</f>
        <v>-106.34797</v>
      </c>
      <c r="T21" s="58" t="str">
        <f>IF(Master[[#This Row],[Parent Inventory]]="","",Master[[#This Row],[Parent Inventory]])</f>
        <v/>
      </c>
      <c r="U21" s="58">
        <f>IF(Master[[#This Row],[Hundred Seed Weight -gram]]="","",Master[[#This Row],[Hundred Seed Weight -gram]])</f>
        <v>0.1236</v>
      </c>
      <c r="V21" s="58" t="str">
        <f>IF(Master[[#This Row],[Note (Inventory)]]="","",Master[[#This Row],[Note (Inventory)]])</f>
        <v/>
      </c>
    </row>
    <row r="22" spans="1:22" x14ac:dyDescent="0.25">
      <c r="A22" s="30"/>
      <c r="B22" s="151" t="str">
        <f>IF(Master[[#This Row],[Inventory Prefix]]="","",Master[[#This Row],[Inventory Prefix]])</f>
        <v>W6</v>
      </c>
      <c r="C22" s="151" t="str">
        <f>IF(Master[[#This Row],[Inventory Number]]="","",Master[[#This Row],[Inventory Number]])</f>
        <v/>
      </c>
      <c r="D22" s="78" t="str">
        <f>IF(Master[[#This Row],[Inventory Suffix]]="","",Master[[#This Row],[Inventory Suffix]])</f>
        <v/>
      </c>
      <c r="E22" s="30" t="str">
        <f>IF(Master[[#This Row],[Inventory Type - Lookup Picker]]="","",Master[[#This Row],[Inventory Type - Lookup Picker]])</f>
        <v>SD</v>
      </c>
      <c r="F22" s="151" t="str">
        <f>Master[[#This Row],[Accession Prefix (NPGS)]]&amp;" "&amp;Master[[#This Row],[Accession Number -Assigned]]</f>
        <v>W6 59608</v>
      </c>
      <c r="G22" s="78" t="str">
        <f>IF(Master[[#This Row],[Inventory Maintenance Policy]]="","",Master[[#This Row],[Inventory Maintenance Policy]])</f>
        <v>w6_native</v>
      </c>
      <c r="H22" s="30" t="str">
        <f>IF(Master[[#This Row],[Inventory Maintenance Site -W6]]="","",Master[[#This Row],[Inventory Maintenance Site -W6]])</f>
        <v>W6</v>
      </c>
      <c r="I22" s="30" t="str">
        <f>IF(RIGHT(TEXT(Inventory[[#This Row],[Inventory Suffix]],"00"),2)="01","Y",IF(RIGHT(TEXT(Inventory[[#This Row],[Inventory Suffix]],"00"),2)="c1","Y",IF(RIGHT(TEXT(Inventory[[#This Row],[Inventory Suffix]],"00"),2)="m1","Y","N")))</f>
        <v>N</v>
      </c>
      <c r="J22" s="30" t="str">
        <f>IF(Inventory[[#This Row],[Inventory Type]]="SD","Y",IF(Inventory[[#This Row],[Inventory Type]]="LV","Y","N"))</f>
        <v>Y</v>
      </c>
      <c r="K22" s="30" t="str">
        <f t="shared" ref="K22:K53" si="5">"N"</f>
        <v>N</v>
      </c>
      <c r="L22" s="30" t="str">
        <f t="shared" si="0"/>
        <v>Original lot received</v>
      </c>
      <c r="M22" s="30" t="str">
        <f t="shared" si="1"/>
        <v>ORIG from SOS Project</v>
      </c>
      <c r="N22" s="80">
        <f>ROUNDDOWN(Master[[#This Row],[Quantity On Hand]],0)</f>
        <v>0</v>
      </c>
      <c r="O22" s="78" t="str">
        <f>IF(Master[[#This Row],[Quantity On Hand Units -''count'' or ''packet'']]="","",Master[[#This Row],[Quantity On Hand Units -''count'' or ''packet'']])</f>
        <v/>
      </c>
      <c r="P22" s="80" t="str">
        <f>IF(Master[[#This Row],[Inventory Type - Lookup Picker]]="","",Master[[#This Row],[Inventory Type - Lookup Picker]])</f>
        <v>SD</v>
      </c>
      <c r="Q22" s="45" t="str">
        <f t="shared" si="2"/>
        <v>Mike has</v>
      </c>
      <c r="R22" s="56">
        <f>IF(Master[[#This Row],[Latitude -decimal degrees]]="","",Master[[#This Row],[Latitude -decimal degrees]])</f>
        <v>39.704500000000003</v>
      </c>
      <c r="S22" s="56">
        <f>IF(Master[[#This Row],[Longitude -decimal degrees]]="","",Master[[#This Row],[Longitude -decimal degrees]])</f>
        <v>-106.68017</v>
      </c>
      <c r="T22" s="30" t="str">
        <f>IF(Master[[#This Row],[Parent Inventory]]="","",Master[[#This Row],[Parent Inventory]])</f>
        <v/>
      </c>
      <c r="U22" s="30">
        <f>IF(Master[[#This Row],[Hundred Seed Weight -gram]]="","",Master[[#This Row],[Hundred Seed Weight -gram]])</f>
        <v>0.58150000000000002</v>
      </c>
      <c r="V22" s="30" t="str">
        <f>IF(Master[[#This Row],[Note (Inventory)]]="","",Master[[#This Row],[Note (Inventory)]])</f>
        <v/>
      </c>
    </row>
    <row r="23" spans="1:22" x14ac:dyDescent="0.25">
      <c r="A23" s="30"/>
      <c r="B23" s="151" t="str">
        <f>IF(Master[[#This Row],[Inventory Prefix]]="","",Master[[#This Row],[Inventory Prefix]])</f>
        <v>W6</v>
      </c>
      <c r="C23" s="151" t="str">
        <f>IF(Master[[#This Row],[Inventory Number]]="","",Master[[#This Row],[Inventory Number]])</f>
        <v/>
      </c>
      <c r="D23" s="78" t="str">
        <f>IF(Master[[#This Row],[Inventory Suffix]]="","",Master[[#This Row],[Inventory Suffix]])</f>
        <v/>
      </c>
      <c r="E23" s="30" t="str">
        <f>IF(Master[[#This Row],[Inventory Type - Lookup Picker]]="","",Master[[#This Row],[Inventory Type - Lookup Picker]])</f>
        <v>SD</v>
      </c>
      <c r="F23" s="151" t="str">
        <f>Master[[#This Row],[Accession Prefix (NPGS)]]&amp;" "&amp;Master[[#This Row],[Accession Number -Assigned]]</f>
        <v>W6 59609</v>
      </c>
      <c r="G23" s="78" t="str">
        <f>IF(Master[[#This Row],[Inventory Maintenance Policy]]="","",Master[[#This Row],[Inventory Maintenance Policy]])</f>
        <v>w6_native</v>
      </c>
      <c r="H23" s="30" t="str">
        <f>IF(Master[[#This Row],[Inventory Maintenance Site -W6]]="","",Master[[#This Row],[Inventory Maintenance Site -W6]])</f>
        <v>W6</v>
      </c>
      <c r="I23" s="30" t="str">
        <f>IF(RIGHT(TEXT(Inventory[[#This Row],[Inventory Suffix]],"00"),2)="01","Y",IF(RIGHT(TEXT(Inventory[[#This Row],[Inventory Suffix]],"00"),2)="c1","Y",IF(RIGHT(TEXT(Inventory[[#This Row],[Inventory Suffix]],"00"),2)="m1","Y","N")))</f>
        <v>N</v>
      </c>
      <c r="J23" s="30" t="str">
        <f>IF(Inventory[[#This Row],[Inventory Type]]="SD","Y",IF(Inventory[[#This Row],[Inventory Type]]="LV","Y","N"))</f>
        <v>Y</v>
      </c>
      <c r="K23" s="30" t="str">
        <f t="shared" si="5"/>
        <v>N</v>
      </c>
      <c r="L23" s="30" t="str">
        <f t="shared" si="0"/>
        <v>Original lot received</v>
      </c>
      <c r="M23" s="30" t="str">
        <f t="shared" si="1"/>
        <v>ORIG from SOS Project</v>
      </c>
      <c r="N23" s="80">
        <f>ROUNDDOWN(Master[[#This Row],[Quantity On Hand]],0)</f>
        <v>0</v>
      </c>
      <c r="O23" s="78" t="str">
        <f>IF(Master[[#This Row],[Quantity On Hand Units -''count'' or ''packet'']]="","",Master[[#This Row],[Quantity On Hand Units -''count'' or ''packet'']])</f>
        <v/>
      </c>
      <c r="P23" s="80" t="str">
        <f>IF(Master[[#This Row],[Inventory Type - Lookup Picker]]="","",Master[[#This Row],[Inventory Type - Lookup Picker]])</f>
        <v>SD</v>
      </c>
      <c r="Q23" s="45" t="str">
        <f t="shared" si="2"/>
        <v>Mike has</v>
      </c>
      <c r="R23" s="56">
        <f>IF(Master[[#This Row],[Latitude -decimal degrees]]="","",Master[[#This Row],[Latitude -decimal degrees]])</f>
        <v>40.065899999999999</v>
      </c>
      <c r="S23" s="56">
        <f>IF(Master[[#This Row],[Longitude -decimal degrees]]="","",Master[[#This Row],[Longitude -decimal degrees]])</f>
        <v>-106.13357999999999</v>
      </c>
      <c r="T23" s="30" t="str">
        <f>IF(Master[[#This Row],[Parent Inventory]]="","",Master[[#This Row],[Parent Inventory]])</f>
        <v/>
      </c>
      <c r="U23" s="30">
        <f>IF(Master[[#This Row],[Hundred Seed Weight -gram]]="","",Master[[#This Row],[Hundred Seed Weight -gram]])</f>
        <v>3.9699999999999999E-2</v>
      </c>
      <c r="V23" s="30" t="str">
        <f>IF(Master[[#This Row],[Note (Inventory)]]="","",Master[[#This Row],[Note (Inventory)]])</f>
        <v/>
      </c>
    </row>
    <row r="24" spans="1:22" x14ac:dyDescent="0.25">
      <c r="A24" s="30"/>
      <c r="B24" s="151" t="str">
        <f>IF(Master[[#This Row],[Inventory Prefix]]="","",Master[[#This Row],[Inventory Prefix]])</f>
        <v>W6</v>
      </c>
      <c r="C24" s="151" t="str">
        <f>IF(Master[[#This Row],[Inventory Number]]="","",Master[[#This Row],[Inventory Number]])</f>
        <v/>
      </c>
      <c r="D24" s="78" t="str">
        <f>IF(Master[[#This Row],[Inventory Suffix]]="","",Master[[#This Row],[Inventory Suffix]])</f>
        <v/>
      </c>
      <c r="E24" s="30" t="str">
        <f>IF(Master[[#This Row],[Inventory Type - Lookup Picker]]="","",Master[[#This Row],[Inventory Type - Lookup Picker]])</f>
        <v>SD</v>
      </c>
      <c r="F24" s="151" t="str">
        <f>Master[[#This Row],[Accession Prefix (NPGS)]]&amp;" "&amp;Master[[#This Row],[Accession Number -Assigned]]</f>
        <v>W6 59610</v>
      </c>
      <c r="G24" s="78" t="str">
        <f>IF(Master[[#This Row],[Inventory Maintenance Policy]]="","",Master[[#This Row],[Inventory Maintenance Policy]])</f>
        <v>w6_native</v>
      </c>
      <c r="H24" s="30" t="str">
        <f>IF(Master[[#This Row],[Inventory Maintenance Site -W6]]="","",Master[[#This Row],[Inventory Maintenance Site -W6]])</f>
        <v>W6</v>
      </c>
      <c r="I24" s="30" t="str">
        <f>IF(RIGHT(TEXT(Inventory[[#This Row],[Inventory Suffix]],"00"),2)="01","Y",IF(RIGHT(TEXT(Inventory[[#This Row],[Inventory Suffix]],"00"),2)="c1","Y",IF(RIGHT(TEXT(Inventory[[#This Row],[Inventory Suffix]],"00"),2)="m1","Y","N")))</f>
        <v>N</v>
      </c>
      <c r="J24" s="30" t="str">
        <f>IF(Inventory[[#This Row],[Inventory Type]]="SD","Y",IF(Inventory[[#This Row],[Inventory Type]]="LV","Y","N"))</f>
        <v>Y</v>
      </c>
      <c r="K24" s="30" t="str">
        <f t="shared" si="5"/>
        <v>N</v>
      </c>
      <c r="L24" s="30" t="str">
        <f t="shared" si="0"/>
        <v>Original lot received</v>
      </c>
      <c r="M24" s="30" t="str">
        <f t="shared" si="1"/>
        <v>ORIG from SOS Project</v>
      </c>
      <c r="N24" s="80">
        <f>ROUNDDOWN(Master[[#This Row],[Quantity On Hand]],0)</f>
        <v>0</v>
      </c>
      <c r="O24" s="78" t="str">
        <f>IF(Master[[#This Row],[Quantity On Hand Units -''count'' or ''packet'']]="","",Master[[#This Row],[Quantity On Hand Units -''count'' or ''packet'']])</f>
        <v/>
      </c>
      <c r="P24" s="80" t="str">
        <f>IF(Master[[#This Row],[Inventory Type - Lookup Picker]]="","",Master[[#This Row],[Inventory Type - Lookup Picker]])</f>
        <v>SD</v>
      </c>
      <c r="Q24" s="45" t="str">
        <f t="shared" si="2"/>
        <v>Mike has</v>
      </c>
      <c r="R24" s="56">
        <f>IF(Master[[#This Row],[Latitude -decimal degrees]]="","",Master[[#This Row],[Latitude -decimal degrees]])</f>
        <v>40.444310000000002</v>
      </c>
      <c r="S24" s="56">
        <f>IF(Master[[#This Row],[Longitude -decimal degrees]]="","",Master[[#This Row],[Longitude -decimal degrees]])</f>
        <v>-106.45126</v>
      </c>
      <c r="T24" s="30" t="str">
        <f>IF(Master[[#This Row],[Parent Inventory]]="","",Master[[#This Row],[Parent Inventory]])</f>
        <v/>
      </c>
      <c r="U24" s="30">
        <f>IF(Master[[#This Row],[Hundred Seed Weight -gram]]="","",Master[[#This Row],[Hundred Seed Weight -gram]])</f>
        <v>8.6099999999999996E-2</v>
      </c>
      <c r="V24" s="30" t="str">
        <f>IF(Master[[#This Row],[Note (Inventory)]]="","",Master[[#This Row],[Note (Inventory)]])</f>
        <v/>
      </c>
    </row>
    <row r="25" spans="1:22" x14ac:dyDescent="0.25">
      <c r="A25" s="30"/>
      <c r="B25" s="151" t="str">
        <f>IF(Master[[#This Row],[Inventory Prefix]]="","",Master[[#This Row],[Inventory Prefix]])</f>
        <v>W6</v>
      </c>
      <c r="C25" s="151" t="str">
        <f>IF(Master[[#This Row],[Inventory Number]]="","",Master[[#This Row],[Inventory Number]])</f>
        <v/>
      </c>
      <c r="D25" s="78" t="str">
        <f>IF(Master[[#This Row],[Inventory Suffix]]="","",Master[[#This Row],[Inventory Suffix]])</f>
        <v/>
      </c>
      <c r="E25" s="30" t="str">
        <f>IF(Master[[#This Row],[Inventory Type - Lookup Picker]]="","",Master[[#This Row],[Inventory Type - Lookup Picker]])</f>
        <v>SD</v>
      </c>
      <c r="F25" s="151" t="str">
        <f>Master[[#This Row],[Accession Prefix (NPGS)]]&amp;" "&amp;Master[[#This Row],[Accession Number -Assigned]]</f>
        <v>W6 59611</v>
      </c>
      <c r="G25" s="78" t="str">
        <f>IF(Master[[#This Row],[Inventory Maintenance Policy]]="","",Master[[#This Row],[Inventory Maintenance Policy]])</f>
        <v>w6_native</v>
      </c>
      <c r="H25" s="30" t="str">
        <f>IF(Master[[#This Row],[Inventory Maintenance Site -W6]]="","",Master[[#This Row],[Inventory Maintenance Site -W6]])</f>
        <v>W6</v>
      </c>
      <c r="I25" s="30" t="str">
        <f>IF(RIGHT(TEXT(Inventory[[#This Row],[Inventory Suffix]],"00"),2)="01","Y",IF(RIGHT(TEXT(Inventory[[#This Row],[Inventory Suffix]],"00"),2)="c1","Y",IF(RIGHT(TEXT(Inventory[[#This Row],[Inventory Suffix]],"00"),2)="m1","Y","N")))</f>
        <v>N</v>
      </c>
      <c r="J25" s="30" t="str">
        <f>IF(Inventory[[#This Row],[Inventory Type]]="SD","Y",IF(Inventory[[#This Row],[Inventory Type]]="LV","Y","N"))</f>
        <v>Y</v>
      </c>
      <c r="K25" s="30" t="str">
        <f t="shared" si="5"/>
        <v>N</v>
      </c>
      <c r="L25" s="30" t="str">
        <f t="shared" si="0"/>
        <v>Original lot received</v>
      </c>
      <c r="M25" s="30" t="str">
        <f t="shared" si="1"/>
        <v>ORIG from SOS Project</v>
      </c>
      <c r="N25" s="80">
        <f>ROUNDDOWN(Master[[#This Row],[Quantity On Hand]],0)</f>
        <v>0</v>
      </c>
      <c r="O25" s="78" t="str">
        <f>IF(Master[[#This Row],[Quantity On Hand Units -''count'' or ''packet'']]="","",Master[[#This Row],[Quantity On Hand Units -''count'' or ''packet'']])</f>
        <v/>
      </c>
      <c r="P25" s="80" t="str">
        <f>IF(Master[[#This Row],[Inventory Type - Lookup Picker]]="","",Master[[#This Row],[Inventory Type - Lookup Picker]])</f>
        <v>SD</v>
      </c>
      <c r="Q25" s="45" t="str">
        <f t="shared" si="2"/>
        <v>Mike has</v>
      </c>
      <c r="R25" s="56">
        <f>IF(Master[[#This Row],[Latitude -decimal degrees]]="","",Master[[#This Row],[Latitude -decimal degrees]])</f>
        <v>34.914870000000001</v>
      </c>
      <c r="S25" s="56">
        <f>IF(Master[[#This Row],[Longitude -decimal degrees]]="","",Master[[#This Row],[Longitude -decimal degrees]])</f>
        <v>-106.30195999999999</v>
      </c>
      <c r="T25" s="30" t="str">
        <f>IF(Master[[#This Row],[Parent Inventory]]="","",Master[[#This Row],[Parent Inventory]])</f>
        <v/>
      </c>
      <c r="U25" s="30">
        <f>IF(Master[[#This Row],[Hundred Seed Weight -gram]]="","",Master[[#This Row],[Hundred Seed Weight -gram]])</f>
        <v>3.6499999999999998E-2</v>
      </c>
      <c r="V25" s="30" t="str">
        <f>IF(Master[[#This Row],[Note (Inventory)]]="","",Master[[#This Row],[Note (Inventory)]])</f>
        <v/>
      </c>
    </row>
    <row r="26" spans="1:22" x14ac:dyDescent="0.25">
      <c r="A26" s="30"/>
      <c r="B26" s="151" t="str">
        <f>IF(Master[[#This Row],[Inventory Prefix]]="","",Master[[#This Row],[Inventory Prefix]])</f>
        <v>W6</v>
      </c>
      <c r="C26" s="151" t="str">
        <f>IF(Master[[#This Row],[Inventory Number]]="","",Master[[#This Row],[Inventory Number]])</f>
        <v/>
      </c>
      <c r="D26" s="78" t="str">
        <f>IF(Master[[#This Row],[Inventory Suffix]]="","",Master[[#This Row],[Inventory Suffix]])</f>
        <v/>
      </c>
      <c r="E26" s="30" t="str">
        <f>IF(Master[[#This Row],[Inventory Type - Lookup Picker]]="","",Master[[#This Row],[Inventory Type - Lookup Picker]])</f>
        <v>SD</v>
      </c>
      <c r="F26" s="151" t="str">
        <f>Master[[#This Row],[Accession Prefix (NPGS)]]&amp;" "&amp;Master[[#This Row],[Accession Number -Assigned]]</f>
        <v>W6 59612</v>
      </c>
      <c r="G26" s="78" t="str">
        <f>IF(Master[[#This Row],[Inventory Maintenance Policy]]="","",Master[[#This Row],[Inventory Maintenance Policy]])</f>
        <v>w6_native</v>
      </c>
      <c r="H26" s="30" t="str">
        <f>IF(Master[[#This Row],[Inventory Maintenance Site -W6]]="","",Master[[#This Row],[Inventory Maintenance Site -W6]])</f>
        <v>W6</v>
      </c>
      <c r="I26" s="30" t="str">
        <f>IF(RIGHT(TEXT(Inventory[[#This Row],[Inventory Suffix]],"00"),2)="01","Y",IF(RIGHT(TEXT(Inventory[[#This Row],[Inventory Suffix]],"00"),2)="c1","Y",IF(RIGHT(TEXT(Inventory[[#This Row],[Inventory Suffix]],"00"),2)="m1","Y","N")))</f>
        <v>N</v>
      </c>
      <c r="J26" s="30" t="str">
        <f>IF(Inventory[[#This Row],[Inventory Type]]="SD","Y",IF(Inventory[[#This Row],[Inventory Type]]="LV","Y","N"))</f>
        <v>Y</v>
      </c>
      <c r="K26" s="30" t="str">
        <f t="shared" si="5"/>
        <v>N</v>
      </c>
      <c r="L26" s="30" t="str">
        <f t="shared" si="0"/>
        <v>Original lot received</v>
      </c>
      <c r="M26" s="30" t="str">
        <f t="shared" si="1"/>
        <v>ORIG from SOS Project</v>
      </c>
      <c r="N26" s="80">
        <f>ROUNDDOWN(Master[[#This Row],[Quantity On Hand]],0)</f>
        <v>0</v>
      </c>
      <c r="O26" s="78" t="str">
        <f>IF(Master[[#This Row],[Quantity On Hand Units -''count'' or ''packet'']]="","",Master[[#This Row],[Quantity On Hand Units -''count'' or ''packet'']])</f>
        <v/>
      </c>
      <c r="P26" s="80" t="str">
        <f>IF(Master[[#This Row],[Inventory Type - Lookup Picker]]="","",Master[[#This Row],[Inventory Type - Lookup Picker]])</f>
        <v>SD</v>
      </c>
      <c r="Q26" s="45" t="str">
        <f t="shared" si="2"/>
        <v>Mike has</v>
      </c>
      <c r="R26" s="56">
        <f>IF(Master[[#This Row],[Latitude -decimal degrees]]="","",Master[[#This Row],[Latitude -decimal degrees]])</f>
        <v>40.201250000000002</v>
      </c>
      <c r="S26" s="56">
        <f>IF(Master[[#This Row],[Longitude -decimal degrees]]="","",Master[[#This Row],[Longitude -decimal degrees]])</f>
        <v>-106.33041</v>
      </c>
      <c r="T26" s="30" t="str">
        <f>IF(Master[[#This Row],[Parent Inventory]]="","",Master[[#This Row],[Parent Inventory]])</f>
        <v/>
      </c>
      <c r="U26" s="30">
        <f>IF(Master[[#This Row],[Hundred Seed Weight -gram]]="","",Master[[#This Row],[Hundred Seed Weight -gram]])</f>
        <v>3.6799999999999999E-2</v>
      </c>
      <c r="V26" s="30" t="str">
        <f>IF(Master[[#This Row],[Note (Inventory)]]="","",Master[[#This Row],[Note (Inventory)]])</f>
        <v/>
      </c>
    </row>
    <row r="27" spans="1:22" x14ac:dyDescent="0.25">
      <c r="A27" s="30"/>
      <c r="B27" s="151" t="str">
        <f>IF(Master[[#This Row],[Inventory Prefix]]="","",Master[[#This Row],[Inventory Prefix]])</f>
        <v>W6</v>
      </c>
      <c r="C27" s="151" t="str">
        <f>IF(Master[[#This Row],[Inventory Number]]="","",Master[[#This Row],[Inventory Number]])</f>
        <v/>
      </c>
      <c r="D27" s="78" t="str">
        <f>IF(Master[[#This Row],[Inventory Suffix]]="","",Master[[#This Row],[Inventory Suffix]])</f>
        <v/>
      </c>
      <c r="E27" s="30" t="str">
        <f>IF(Master[[#This Row],[Inventory Type - Lookup Picker]]="","",Master[[#This Row],[Inventory Type - Lookup Picker]])</f>
        <v>SD</v>
      </c>
      <c r="F27" s="151" t="str">
        <f>Master[[#This Row],[Accession Prefix (NPGS)]]&amp;" "&amp;Master[[#This Row],[Accession Number -Assigned]]</f>
        <v>W6 59613</v>
      </c>
      <c r="G27" s="78" t="str">
        <f>IF(Master[[#This Row],[Inventory Maintenance Policy]]="","",Master[[#This Row],[Inventory Maintenance Policy]])</f>
        <v>w6_native</v>
      </c>
      <c r="H27" s="30" t="str">
        <f>IF(Master[[#This Row],[Inventory Maintenance Site -W6]]="","",Master[[#This Row],[Inventory Maintenance Site -W6]])</f>
        <v>W6</v>
      </c>
      <c r="I27" s="30" t="str">
        <f>IF(RIGHT(TEXT(Inventory[[#This Row],[Inventory Suffix]],"00"),2)="01","Y",IF(RIGHT(TEXT(Inventory[[#This Row],[Inventory Suffix]],"00"),2)="c1","Y",IF(RIGHT(TEXT(Inventory[[#This Row],[Inventory Suffix]],"00"),2)="m1","Y","N")))</f>
        <v>N</v>
      </c>
      <c r="J27" s="30" t="str">
        <f>IF(Inventory[[#This Row],[Inventory Type]]="SD","Y",IF(Inventory[[#This Row],[Inventory Type]]="LV","Y","N"))</f>
        <v>Y</v>
      </c>
      <c r="K27" s="30" t="str">
        <f t="shared" si="5"/>
        <v>N</v>
      </c>
      <c r="L27" s="30" t="str">
        <f t="shared" si="0"/>
        <v>Original lot received</v>
      </c>
      <c r="M27" s="30" t="str">
        <f t="shared" si="1"/>
        <v>ORIG from SOS Project</v>
      </c>
      <c r="N27" s="80">
        <f>ROUNDDOWN(Master[[#This Row],[Quantity On Hand]],0)</f>
        <v>0</v>
      </c>
      <c r="O27" s="78" t="str">
        <f>IF(Master[[#This Row],[Quantity On Hand Units -''count'' or ''packet'']]="","",Master[[#This Row],[Quantity On Hand Units -''count'' or ''packet'']])</f>
        <v/>
      </c>
      <c r="P27" s="80" t="str">
        <f>IF(Master[[#This Row],[Inventory Type - Lookup Picker]]="","",Master[[#This Row],[Inventory Type - Lookup Picker]])</f>
        <v>SD</v>
      </c>
      <c r="Q27" s="45" t="str">
        <f t="shared" si="2"/>
        <v>Mike has</v>
      </c>
      <c r="R27" s="56">
        <f>IF(Master[[#This Row],[Latitude -decimal degrees]]="","",Master[[#This Row],[Latitude -decimal degrees]])</f>
        <v>39.910409999999999</v>
      </c>
      <c r="S27" s="56">
        <f>IF(Master[[#This Row],[Longitude -decimal degrees]]="","",Master[[#This Row],[Longitude -decimal degrees]])</f>
        <v>-106.75167</v>
      </c>
      <c r="T27" s="30" t="str">
        <f>IF(Master[[#This Row],[Parent Inventory]]="","",Master[[#This Row],[Parent Inventory]])</f>
        <v/>
      </c>
      <c r="U27" s="30">
        <f>IF(Master[[#This Row],[Hundred Seed Weight -gram]]="","",Master[[#This Row],[Hundred Seed Weight -gram]])</f>
        <v>3.6700000000000003E-2</v>
      </c>
      <c r="V27" s="30" t="str">
        <f>IF(Master[[#This Row],[Note (Inventory)]]="","",Master[[#This Row],[Note (Inventory)]])</f>
        <v/>
      </c>
    </row>
    <row r="28" spans="1:22" x14ac:dyDescent="0.25">
      <c r="A28" s="30"/>
      <c r="B28" s="151" t="str">
        <f>IF(Master[[#This Row],[Inventory Prefix]]="","",Master[[#This Row],[Inventory Prefix]])</f>
        <v>W6</v>
      </c>
      <c r="C28" s="151" t="str">
        <f>IF(Master[[#This Row],[Inventory Number]]="","",Master[[#This Row],[Inventory Number]])</f>
        <v/>
      </c>
      <c r="D28" s="78" t="str">
        <f>IF(Master[[#This Row],[Inventory Suffix]]="","",Master[[#This Row],[Inventory Suffix]])</f>
        <v/>
      </c>
      <c r="E28" s="30" t="str">
        <f>IF(Master[[#This Row],[Inventory Type - Lookup Picker]]="","",Master[[#This Row],[Inventory Type - Lookup Picker]])</f>
        <v>SD</v>
      </c>
      <c r="F28" s="151" t="str">
        <f>Master[[#This Row],[Accession Prefix (NPGS)]]&amp;" "&amp;Master[[#This Row],[Accession Number -Assigned]]</f>
        <v>W6 59614</v>
      </c>
      <c r="G28" s="78" t="str">
        <f>IF(Master[[#This Row],[Inventory Maintenance Policy]]="","",Master[[#This Row],[Inventory Maintenance Policy]])</f>
        <v>w6_native</v>
      </c>
      <c r="H28" s="30" t="str">
        <f>IF(Master[[#This Row],[Inventory Maintenance Site -W6]]="","",Master[[#This Row],[Inventory Maintenance Site -W6]])</f>
        <v>W6</v>
      </c>
      <c r="I28" s="30" t="str">
        <f>IF(RIGHT(TEXT(Inventory[[#This Row],[Inventory Suffix]],"00"),2)="01","Y",IF(RIGHT(TEXT(Inventory[[#This Row],[Inventory Suffix]],"00"),2)="c1","Y",IF(RIGHT(TEXT(Inventory[[#This Row],[Inventory Suffix]],"00"),2)="m1","Y","N")))</f>
        <v>N</v>
      </c>
      <c r="J28" s="30" t="str">
        <f>IF(Inventory[[#This Row],[Inventory Type]]="SD","Y",IF(Inventory[[#This Row],[Inventory Type]]="LV","Y","N"))</f>
        <v>Y</v>
      </c>
      <c r="K28" s="30" t="str">
        <f t="shared" si="5"/>
        <v>N</v>
      </c>
      <c r="L28" s="30" t="str">
        <f t="shared" si="0"/>
        <v>Original lot received</v>
      </c>
      <c r="M28" s="30" t="str">
        <f t="shared" si="1"/>
        <v>ORIG from SOS Project</v>
      </c>
      <c r="N28" s="80">
        <f>ROUNDDOWN(Master[[#This Row],[Quantity On Hand]],0)</f>
        <v>0</v>
      </c>
      <c r="O28" s="78" t="str">
        <f>IF(Master[[#This Row],[Quantity On Hand Units -''count'' or ''packet'']]="","",Master[[#This Row],[Quantity On Hand Units -''count'' or ''packet'']])</f>
        <v/>
      </c>
      <c r="P28" s="80" t="str">
        <f>IF(Master[[#This Row],[Inventory Type - Lookup Picker]]="","",Master[[#This Row],[Inventory Type - Lookup Picker]])</f>
        <v>SD</v>
      </c>
      <c r="Q28" s="45" t="str">
        <f t="shared" si="2"/>
        <v>Mike has</v>
      </c>
      <c r="R28" s="56">
        <f>IF(Master[[#This Row],[Latitude -decimal degrees]]="","",Master[[#This Row],[Latitude -decimal degrees]])</f>
        <v>39.910420000000002</v>
      </c>
      <c r="S28" s="56">
        <f>IF(Master[[#This Row],[Longitude -decimal degrees]]="","",Master[[#This Row],[Longitude -decimal degrees]])</f>
        <v>-106.75167999999999</v>
      </c>
      <c r="T28" s="30" t="str">
        <f>IF(Master[[#This Row],[Parent Inventory]]="","",Master[[#This Row],[Parent Inventory]])</f>
        <v/>
      </c>
      <c r="U28" s="30">
        <f>IF(Master[[#This Row],[Hundred Seed Weight -gram]]="","",Master[[#This Row],[Hundred Seed Weight -gram]])</f>
        <v>0.11310000000000001</v>
      </c>
      <c r="V28" s="30" t="str">
        <f>IF(Master[[#This Row],[Note (Inventory)]]="","",Master[[#This Row],[Note (Inventory)]])</f>
        <v/>
      </c>
    </row>
    <row r="29" spans="1:22" x14ac:dyDescent="0.25">
      <c r="A29" s="30"/>
      <c r="B29" s="151" t="str">
        <f>IF(Master[[#This Row],[Inventory Prefix]]="","",Master[[#This Row],[Inventory Prefix]])</f>
        <v>W6</v>
      </c>
      <c r="C29" s="151" t="str">
        <f>IF(Master[[#This Row],[Inventory Number]]="","",Master[[#This Row],[Inventory Number]])</f>
        <v/>
      </c>
      <c r="D29" s="78" t="str">
        <f>IF(Master[[#This Row],[Inventory Suffix]]="","",Master[[#This Row],[Inventory Suffix]])</f>
        <v/>
      </c>
      <c r="E29" s="30" t="str">
        <f>IF(Master[[#This Row],[Inventory Type - Lookup Picker]]="","",Master[[#This Row],[Inventory Type - Lookup Picker]])</f>
        <v>SD</v>
      </c>
      <c r="F29" s="151" t="str">
        <f>Master[[#This Row],[Accession Prefix (NPGS)]]&amp;" "&amp;Master[[#This Row],[Accession Number -Assigned]]</f>
        <v>W6 59615</v>
      </c>
      <c r="G29" s="78" t="str">
        <f>IF(Master[[#This Row],[Inventory Maintenance Policy]]="","",Master[[#This Row],[Inventory Maintenance Policy]])</f>
        <v>w6_native</v>
      </c>
      <c r="H29" s="30" t="str">
        <f>IF(Master[[#This Row],[Inventory Maintenance Site -W6]]="","",Master[[#This Row],[Inventory Maintenance Site -W6]])</f>
        <v>W6</v>
      </c>
      <c r="I29" s="30" t="str">
        <f>IF(RIGHT(TEXT(Inventory[[#This Row],[Inventory Suffix]],"00"),2)="01","Y",IF(RIGHT(TEXT(Inventory[[#This Row],[Inventory Suffix]],"00"),2)="c1","Y",IF(RIGHT(TEXT(Inventory[[#This Row],[Inventory Suffix]],"00"),2)="m1","Y","N")))</f>
        <v>N</v>
      </c>
      <c r="J29" s="30" t="str">
        <f>IF(Inventory[[#This Row],[Inventory Type]]="SD","Y",IF(Inventory[[#This Row],[Inventory Type]]="LV","Y","N"))</f>
        <v>Y</v>
      </c>
      <c r="K29" s="30" t="str">
        <f t="shared" si="5"/>
        <v>N</v>
      </c>
      <c r="L29" s="30" t="str">
        <f t="shared" si="0"/>
        <v>Original lot received</v>
      </c>
      <c r="M29" s="30" t="str">
        <f t="shared" si="1"/>
        <v>ORIG from SOS Project</v>
      </c>
      <c r="N29" s="80">
        <f>ROUNDDOWN(Master[[#This Row],[Quantity On Hand]],0)</f>
        <v>0</v>
      </c>
      <c r="O29" s="78" t="str">
        <f>IF(Master[[#This Row],[Quantity On Hand Units -''count'' or ''packet'']]="","",Master[[#This Row],[Quantity On Hand Units -''count'' or ''packet'']])</f>
        <v/>
      </c>
      <c r="P29" s="80" t="str">
        <f>IF(Master[[#This Row],[Inventory Type - Lookup Picker]]="","",Master[[#This Row],[Inventory Type - Lookup Picker]])</f>
        <v>SD</v>
      </c>
      <c r="Q29" s="45" t="str">
        <f t="shared" si="2"/>
        <v>Mike has</v>
      </c>
      <c r="R29" s="56">
        <f>IF(Master[[#This Row],[Latitude -decimal degrees]]="","",Master[[#This Row],[Latitude -decimal degrees]])</f>
        <v>40.460680000000004</v>
      </c>
      <c r="S29" s="56">
        <f>IF(Master[[#This Row],[Longitude -decimal degrees]]="","",Master[[#This Row],[Longitude -decimal degrees]])</f>
        <v>-106.26926</v>
      </c>
      <c r="T29" s="30" t="str">
        <f>IF(Master[[#This Row],[Parent Inventory]]="","",Master[[#This Row],[Parent Inventory]])</f>
        <v/>
      </c>
      <c r="U29" s="30">
        <f>IF(Master[[#This Row],[Hundred Seed Weight -gram]]="","",Master[[#This Row],[Hundred Seed Weight -gram]])</f>
        <v>7.1099999999999997E-2</v>
      </c>
      <c r="V29" s="30" t="str">
        <f>IF(Master[[#This Row],[Note (Inventory)]]="","",Master[[#This Row],[Note (Inventory)]])</f>
        <v/>
      </c>
    </row>
    <row r="30" spans="1:22" x14ac:dyDescent="0.25">
      <c r="A30" s="30"/>
      <c r="B30" s="151" t="str">
        <f>IF(Master[[#This Row],[Inventory Prefix]]="","",Master[[#This Row],[Inventory Prefix]])</f>
        <v>W6</v>
      </c>
      <c r="C30" s="151" t="str">
        <f>IF(Master[[#This Row],[Inventory Number]]="","",Master[[#This Row],[Inventory Number]])</f>
        <v/>
      </c>
      <c r="D30" s="78" t="str">
        <f>IF(Master[[#This Row],[Inventory Suffix]]="","",Master[[#This Row],[Inventory Suffix]])</f>
        <v/>
      </c>
      <c r="E30" s="30" t="str">
        <f>IF(Master[[#This Row],[Inventory Type - Lookup Picker]]="","",Master[[#This Row],[Inventory Type - Lookup Picker]])</f>
        <v>SD</v>
      </c>
      <c r="F30" s="151" t="str">
        <f>Master[[#This Row],[Accession Prefix (NPGS)]]&amp;" "&amp;Master[[#This Row],[Accession Number -Assigned]]</f>
        <v>W6 59616</v>
      </c>
      <c r="G30" s="78" t="str">
        <f>IF(Master[[#This Row],[Inventory Maintenance Policy]]="","",Master[[#This Row],[Inventory Maintenance Policy]])</f>
        <v>w6_native</v>
      </c>
      <c r="H30" s="30" t="str">
        <f>IF(Master[[#This Row],[Inventory Maintenance Site -W6]]="","",Master[[#This Row],[Inventory Maintenance Site -W6]])</f>
        <v>W6</v>
      </c>
      <c r="I30" s="30" t="str">
        <f>IF(RIGHT(TEXT(Inventory[[#This Row],[Inventory Suffix]],"00"),2)="01","Y",IF(RIGHT(TEXT(Inventory[[#This Row],[Inventory Suffix]],"00"),2)="c1","Y",IF(RIGHT(TEXT(Inventory[[#This Row],[Inventory Suffix]],"00"),2)="m1","Y","N")))</f>
        <v>N</v>
      </c>
      <c r="J30" s="30" t="str">
        <f>IF(Inventory[[#This Row],[Inventory Type]]="SD","Y",IF(Inventory[[#This Row],[Inventory Type]]="LV","Y","N"))</f>
        <v>Y</v>
      </c>
      <c r="K30" s="30" t="str">
        <f t="shared" si="5"/>
        <v>N</v>
      </c>
      <c r="L30" s="30" t="str">
        <f t="shared" si="0"/>
        <v>Original lot received</v>
      </c>
      <c r="M30" s="30" t="str">
        <f t="shared" si="1"/>
        <v>ORIG from SOS Project</v>
      </c>
      <c r="N30" s="80">
        <f>ROUNDDOWN(Master[[#This Row],[Quantity On Hand]],0)</f>
        <v>0</v>
      </c>
      <c r="O30" s="78" t="str">
        <f>IF(Master[[#This Row],[Quantity On Hand Units -''count'' or ''packet'']]="","",Master[[#This Row],[Quantity On Hand Units -''count'' or ''packet'']])</f>
        <v/>
      </c>
      <c r="P30" s="80" t="str">
        <f>IF(Master[[#This Row],[Inventory Type - Lookup Picker]]="","",Master[[#This Row],[Inventory Type - Lookup Picker]])</f>
        <v>SD</v>
      </c>
      <c r="Q30" s="45" t="str">
        <f t="shared" si="2"/>
        <v>Mike has</v>
      </c>
      <c r="R30" s="56">
        <f>IF(Master[[#This Row],[Latitude -decimal degrees]]="","",Master[[#This Row],[Latitude -decimal degrees]])</f>
        <v>40.454320000000003</v>
      </c>
      <c r="S30" s="56">
        <f>IF(Master[[#This Row],[Longitude -decimal degrees]]="","",Master[[#This Row],[Longitude -decimal degrees]])</f>
        <v>-106.91705</v>
      </c>
      <c r="T30" s="30" t="str">
        <f>IF(Master[[#This Row],[Parent Inventory]]="","",Master[[#This Row],[Parent Inventory]])</f>
        <v/>
      </c>
      <c r="U30" s="30">
        <f>IF(Master[[#This Row],[Hundred Seed Weight -gram]]="","",Master[[#This Row],[Hundred Seed Weight -gram]])</f>
        <v>1.9099999999999999E-2</v>
      </c>
      <c r="V30" s="30" t="str">
        <f>IF(Master[[#This Row],[Note (Inventory)]]="","",Master[[#This Row],[Note (Inventory)]])</f>
        <v/>
      </c>
    </row>
    <row r="31" spans="1:22" x14ac:dyDescent="0.25">
      <c r="A31" s="30"/>
      <c r="B31" s="151" t="str">
        <f>IF(Master[[#This Row],[Inventory Prefix]]="","",Master[[#This Row],[Inventory Prefix]])</f>
        <v>W6</v>
      </c>
      <c r="C31" s="151" t="str">
        <f>IF(Master[[#This Row],[Inventory Number]]="","",Master[[#This Row],[Inventory Number]])</f>
        <v/>
      </c>
      <c r="D31" s="78" t="str">
        <f>IF(Master[[#This Row],[Inventory Suffix]]="","",Master[[#This Row],[Inventory Suffix]])</f>
        <v/>
      </c>
      <c r="E31" s="30" t="str">
        <f>IF(Master[[#This Row],[Inventory Type - Lookup Picker]]="","",Master[[#This Row],[Inventory Type - Lookup Picker]])</f>
        <v>SD</v>
      </c>
      <c r="F31" s="151" t="str">
        <f>Master[[#This Row],[Accession Prefix (NPGS)]]&amp;" "&amp;Master[[#This Row],[Accession Number -Assigned]]</f>
        <v>W6 59617</v>
      </c>
      <c r="G31" s="78" t="str">
        <f>IF(Master[[#This Row],[Inventory Maintenance Policy]]="","",Master[[#This Row],[Inventory Maintenance Policy]])</f>
        <v>w6_native</v>
      </c>
      <c r="H31" s="30" t="str">
        <f>IF(Master[[#This Row],[Inventory Maintenance Site -W6]]="","",Master[[#This Row],[Inventory Maintenance Site -W6]])</f>
        <v>W6</v>
      </c>
      <c r="I31" s="30" t="str">
        <f>IF(RIGHT(TEXT(Inventory[[#This Row],[Inventory Suffix]],"00"),2)="01","Y",IF(RIGHT(TEXT(Inventory[[#This Row],[Inventory Suffix]],"00"),2)="c1","Y",IF(RIGHT(TEXT(Inventory[[#This Row],[Inventory Suffix]],"00"),2)="m1","Y","N")))</f>
        <v>N</v>
      </c>
      <c r="J31" s="30" t="str">
        <f>IF(Inventory[[#This Row],[Inventory Type]]="SD","Y",IF(Inventory[[#This Row],[Inventory Type]]="LV","Y","N"))</f>
        <v>Y</v>
      </c>
      <c r="K31" s="30" t="str">
        <f t="shared" si="5"/>
        <v>N</v>
      </c>
      <c r="L31" s="30" t="str">
        <f t="shared" si="0"/>
        <v>Original lot received</v>
      </c>
      <c r="M31" s="30" t="str">
        <f t="shared" si="1"/>
        <v>ORIG from SOS Project</v>
      </c>
      <c r="N31" s="80">
        <f>ROUNDDOWN(Master[[#This Row],[Quantity On Hand]],0)</f>
        <v>0</v>
      </c>
      <c r="O31" s="78" t="str">
        <f>IF(Master[[#This Row],[Quantity On Hand Units -''count'' or ''packet'']]="","",Master[[#This Row],[Quantity On Hand Units -''count'' or ''packet'']])</f>
        <v/>
      </c>
      <c r="P31" s="80" t="str">
        <f>IF(Master[[#This Row],[Inventory Type - Lookup Picker]]="","",Master[[#This Row],[Inventory Type - Lookup Picker]])</f>
        <v>SD</v>
      </c>
      <c r="Q31" s="45" t="str">
        <f t="shared" si="2"/>
        <v>Mike has</v>
      </c>
      <c r="R31" s="56">
        <f>IF(Master[[#This Row],[Latitude -decimal degrees]]="","",Master[[#This Row],[Latitude -decimal degrees]])</f>
        <v>38.052909999999997</v>
      </c>
      <c r="S31" s="56">
        <f>IF(Master[[#This Row],[Longitude -decimal degrees]]="","",Master[[#This Row],[Longitude -decimal degrees]])</f>
        <v>-119.07544</v>
      </c>
      <c r="T31" s="30" t="str">
        <f>IF(Master[[#This Row],[Parent Inventory]]="","",Master[[#This Row],[Parent Inventory]])</f>
        <v/>
      </c>
      <c r="U31" s="30">
        <f>IF(Master[[#This Row],[Hundred Seed Weight -gram]]="","",Master[[#This Row],[Hundred Seed Weight -gram]])</f>
        <v>3.4200000000000001E-2</v>
      </c>
      <c r="V31" s="30" t="str">
        <f>IF(Master[[#This Row],[Note (Inventory)]]="","",Master[[#This Row],[Note (Inventory)]])</f>
        <v/>
      </c>
    </row>
    <row r="32" spans="1:22" x14ac:dyDescent="0.25">
      <c r="A32" s="30"/>
      <c r="B32" s="151" t="str">
        <f>IF(Master[[#This Row],[Inventory Prefix]]="","",Master[[#This Row],[Inventory Prefix]])</f>
        <v>W6</v>
      </c>
      <c r="C32" s="151" t="str">
        <f>IF(Master[[#This Row],[Inventory Number]]="","",Master[[#This Row],[Inventory Number]])</f>
        <v/>
      </c>
      <c r="D32" s="78" t="str">
        <f>IF(Master[[#This Row],[Inventory Suffix]]="","",Master[[#This Row],[Inventory Suffix]])</f>
        <v/>
      </c>
      <c r="E32" s="30" t="str">
        <f>IF(Master[[#This Row],[Inventory Type - Lookup Picker]]="","",Master[[#This Row],[Inventory Type - Lookup Picker]])</f>
        <v>SD</v>
      </c>
      <c r="F32" s="151" t="str">
        <f>Master[[#This Row],[Accession Prefix (NPGS)]]&amp;" "&amp;Master[[#This Row],[Accession Number -Assigned]]</f>
        <v>W6 59618</v>
      </c>
      <c r="G32" s="78" t="str">
        <f>IF(Master[[#This Row],[Inventory Maintenance Policy]]="","",Master[[#This Row],[Inventory Maintenance Policy]])</f>
        <v>w6_native</v>
      </c>
      <c r="H32" s="30" t="str">
        <f>IF(Master[[#This Row],[Inventory Maintenance Site -W6]]="","",Master[[#This Row],[Inventory Maintenance Site -W6]])</f>
        <v>W6</v>
      </c>
      <c r="I32" s="30" t="str">
        <f>IF(RIGHT(TEXT(Inventory[[#This Row],[Inventory Suffix]],"00"),2)="01","Y",IF(RIGHT(TEXT(Inventory[[#This Row],[Inventory Suffix]],"00"),2)="c1","Y",IF(RIGHT(TEXT(Inventory[[#This Row],[Inventory Suffix]],"00"),2)="m1","Y","N")))</f>
        <v>N</v>
      </c>
      <c r="J32" s="30" t="str">
        <f>IF(Inventory[[#This Row],[Inventory Type]]="SD","Y",IF(Inventory[[#This Row],[Inventory Type]]="LV","Y","N"))</f>
        <v>Y</v>
      </c>
      <c r="K32" s="30" t="str">
        <f t="shared" si="5"/>
        <v>N</v>
      </c>
      <c r="L32" s="30" t="str">
        <f t="shared" si="0"/>
        <v>Original lot received</v>
      </c>
      <c r="M32" s="30" t="str">
        <f t="shared" si="1"/>
        <v>ORIG from SOS Project</v>
      </c>
      <c r="N32" s="80">
        <f>ROUNDDOWN(Master[[#This Row],[Quantity On Hand]],0)</f>
        <v>0</v>
      </c>
      <c r="O32" s="78" t="str">
        <f>IF(Master[[#This Row],[Quantity On Hand Units -''count'' or ''packet'']]="","",Master[[#This Row],[Quantity On Hand Units -''count'' or ''packet'']])</f>
        <v/>
      </c>
      <c r="P32" s="80" t="str">
        <f>IF(Master[[#This Row],[Inventory Type - Lookup Picker]]="","",Master[[#This Row],[Inventory Type - Lookup Picker]])</f>
        <v>SD</v>
      </c>
      <c r="Q32" s="45" t="str">
        <f t="shared" si="2"/>
        <v>Mike has</v>
      </c>
      <c r="R32" s="56">
        <f>IF(Master[[#This Row],[Latitude -decimal degrees]]="","",Master[[#This Row],[Latitude -decimal degrees]])</f>
        <v>37.834879999999998</v>
      </c>
      <c r="S32" s="56">
        <f>IF(Master[[#This Row],[Longitude -decimal degrees]]="","",Master[[#This Row],[Longitude -decimal degrees]])</f>
        <v>-119.12738</v>
      </c>
      <c r="T32" s="30" t="str">
        <f>IF(Master[[#This Row],[Parent Inventory]]="","",Master[[#This Row],[Parent Inventory]])</f>
        <v/>
      </c>
      <c r="U32" s="30">
        <f>IF(Master[[#This Row],[Hundred Seed Weight -gram]]="","",Master[[#This Row],[Hundred Seed Weight -gram]])</f>
        <v>0.32919999999999999</v>
      </c>
      <c r="V32" s="30" t="str">
        <f>IF(Master[[#This Row],[Note (Inventory)]]="","",Master[[#This Row],[Note (Inventory)]])</f>
        <v/>
      </c>
    </row>
    <row r="33" spans="1:22" x14ac:dyDescent="0.25">
      <c r="A33" s="30"/>
      <c r="B33" s="151" t="str">
        <f>IF(Master[[#This Row],[Inventory Prefix]]="","",Master[[#This Row],[Inventory Prefix]])</f>
        <v>W6</v>
      </c>
      <c r="C33" s="151" t="str">
        <f>IF(Master[[#This Row],[Inventory Number]]="","",Master[[#This Row],[Inventory Number]])</f>
        <v/>
      </c>
      <c r="D33" s="78" t="str">
        <f>IF(Master[[#This Row],[Inventory Suffix]]="","",Master[[#This Row],[Inventory Suffix]])</f>
        <v/>
      </c>
      <c r="E33" s="30" t="str">
        <f>IF(Master[[#This Row],[Inventory Type - Lookup Picker]]="","",Master[[#This Row],[Inventory Type - Lookup Picker]])</f>
        <v>SD</v>
      </c>
      <c r="F33" s="151" t="str">
        <f>Master[[#This Row],[Accession Prefix (NPGS)]]&amp;" "&amp;Master[[#This Row],[Accession Number -Assigned]]</f>
        <v>W6 59619</v>
      </c>
      <c r="G33" s="78" t="str">
        <f>IF(Master[[#This Row],[Inventory Maintenance Policy]]="","",Master[[#This Row],[Inventory Maintenance Policy]])</f>
        <v>w6_native</v>
      </c>
      <c r="H33" s="30" t="str">
        <f>IF(Master[[#This Row],[Inventory Maintenance Site -W6]]="","",Master[[#This Row],[Inventory Maintenance Site -W6]])</f>
        <v>W6</v>
      </c>
      <c r="I33" s="30" t="str">
        <f>IF(RIGHT(TEXT(Inventory[[#This Row],[Inventory Suffix]],"00"),2)="01","Y",IF(RIGHT(TEXT(Inventory[[#This Row],[Inventory Suffix]],"00"),2)="c1","Y",IF(RIGHT(TEXT(Inventory[[#This Row],[Inventory Suffix]],"00"),2)="m1","Y","N")))</f>
        <v>N</v>
      </c>
      <c r="J33" s="30" t="str">
        <f>IF(Inventory[[#This Row],[Inventory Type]]="SD","Y",IF(Inventory[[#This Row],[Inventory Type]]="LV","Y","N"))</f>
        <v>Y</v>
      </c>
      <c r="K33" s="30" t="str">
        <f t="shared" si="5"/>
        <v>N</v>
      </c>
      <c r="L33" s="30" t="str">
        <f t="shared" si="0"/>
        <v>Original lot received</v>
      </c>
      <c r="M33" s="30" t="str">
        <f t="shared" si="1"/>
        <v>ORIG from SOS Project</v>
      </c>
      <c r="N33" s="80">
        <f>ROUNDDOWN(Master[[#This Row],[Quantity On Hand]],0)</f>
        <v>0</v>
      </c>
      <c r="O33" s="78" t="str">
        <f>IF(Master[[#This Row],[Quantity On Hand Units -''count'' or ''packet'']]="","",Master[[#This Row],[Quantity On Hand Units -''count'' or ''packet'']])</f>
        <v/>
      </c>
      <c r="P33" s="80" t="str">
        <f>IF(Master[[#This Row],[Inventory Type - Lookup Picker]]="","",Master[[#This Row],[Inventory Type - Lookup Picker]])</f>
        <v>SD</v>
      </c>
      <c r="Q33" s="45" t="str">
        <f t="shared" si="2"/>
        <v>Mike has</v>
      </c>
      <c r="R33" s="56">
        <f>IF(Master[[#This Row],[Latitude -decimal degrees]]="","",Master[[#This Row],[Latitude -decimal degrees]])</f>
        <v>37.850439999999999</v>
      </c>
      <c r="S33" s="56">
        <f>IF(Master[[#This Row],[Longitude -decimal degrees]]="","",Master[[#This Row],[Longitude -decimal degrees]])</f>
        <v>-119.08277</v>
      </c>
      <c r="T33" s="30" t="str">
        <f>IF(Master[[#This Row],[Parent Inventory]]="","",Master[[#This Row],[Parent Inventory]])</f>
        <v/>
      </c>
      <c r="U33" s="30">
        <f>IF(Master[[#This Row],[Hundred Seed Weight -gram]]="","",Master[[#This Row],[Hundred Seed Weight -gram]])</f>
        <v>0.61760000000000004</v>
      </c>
      <c r="V33" s="30" t="str">
        <f>IF(Master[[#This Row],[Note (Inventory)]]="","",Master[[#This Row],[Note (Inventory)]])</f>
        <v/>
      </c>
    </row>
    <row r="34" spans="1:22" x14ac:dyDescent="0.25">
      <c r="A34" s="30"/>
      <c r="B34" s="151" t="str">
        <f>IF(Master[[#This Row],[Inventory Prefix]]="","",Master[[#This Row],[Inventory Prefix]])</f>
        <v>W6</v>
      </c>
      <c r="C34" s="151" t="str">
        <f>IF(Master[[#This Row],[Inventory Number]]="","",Master[[#This Row],[Inventory Number]])</f>
        <v/>
      </c>
      <c r="D34" s="78" t="str">
        <f>IF(Master[[#This Row],[Inventory Suffix]]="","",Master[[#This Row],[Inventory Suffix]])</f>
        <v/>
      </c>
      <c r="E34" s="30" t="str">
        <f>IF(Master[[#This Row],[Inventory Type - Lookup Picker]]="","",Master[[#This Row],[Inventory Type - Lookup Picker]])</f>
        <v>SD</v>
      </c>
      <c r="F34" s="151" t="str">
        <f>Master[[#This Row],[Accession Prefix (NPGS)]]&amp;" "&amp;Master[[#This Row],[Accession Number -Assigned]]</f>
        <v>W6 59620</v>
      </c>
      <c r="G34" s="78" t="str">
        <f>IF(Master[[#This Row],[Inventory Maintenance Policy]]="","",Master[[#This Row],[Inventory Maintenance Policy]])</f>
        <v>w6_native</v>
      </c>
      <c r="H34" s="30" t="str">
        <f>IF(Master[[#This Row],[Inventory Maintenance Site -W6]]="","",Master[[#This Row],[Inventory Maintenance Site -W6]])</f>
        <v>W6</v>
      </c>
      <c r="I34" s="30" t="str">
        <f>IF(RIGHT(TEXT(Inventory[[#This Row],[Inventory Suffix]],"00"),2)="01","Y",IF(RIGHT(TEXT(Inventory[[#This Row],[Inventory Suffix]],"00"),2)="c1","Y",IF(RIGHT(TEXT(Inventory[[#This Row],[Inventory Suffix]],"00"),2)="m1","Y","N")))</f>
        <v>N</v>
      </c>
      <c r="J34" s="30" t="str">
        <f>IF(Inventory[[#This Row],[Inventory Type]]="SD","Y",IF(Inventory[[#This Row],[Inventory Type]]="LV","Y","N"))</f>
        <v>Y</v>
      </c>
      <c r="K34" s="30" t="str">
        <f t="shared" si="5"/>
        <v>N</v>
      </c>
      <c r="L34" s="30" t="str">
        <f t="shared" ref="L34:L65" si="6">"Original lot received"</f>
        <v>Original lot received</v>
      </c>
      <c r="M34" s="30" t="str">
        <f t="shared" ref="M34:M65" si="7">"ORIG from SOS Project"</f>
        <v>ORIG from SOS Project</v>
      </c>
      <c r="N34" s="80">
        <f>ROUNDDOWN(Master[[#This Row],[Quantity On Hand]],0)</f>
        <v>0</v>
      </c>
      <c r="O34" s="78" t="str">
        <f>IF(Master[[#This Row],[Quantity On Hand Units -''count'' or ''packet'']]="","",Master[[#This Row],[Quantity On Hand Units -''count'' or ''packet'']])</f>
        <v/>
      </c>
      <c r="P34" s="80" t="str">
        <f>IF(Master[[#This Row],[Inventory Type - Lookup Picker]]="","",Master[[#This Row],[Inventory Type - Lookup Picker]])</f>
        <v>SD</v>
      </c>
      <c r="Q34" s="45" t="str">
        <f t="shared" ref="Q34:Q65" si="8">"Mike has"</f>
        <v>Mike has</v>
      </c>
      <c r="R34" s="56">
        <f>IF(Master[[#This Row],[Latitude -decimal degrees]]="","",Master[[#This Row],[Latitude -decimal degrees]])</f>
        <v>39.239249999999998</v>
      </c>
      <c r="S34" s="56">
        <f>IF(Master[[#This Row],[Longitude -decimal degrees]]="","",Master[[#This Row],[Longitude -decimal degrees]])</f>
        <v>-119.76730000000001</v>
      </c>
      <c r="T34" s="30" t="str">
        <f>IF(Master[[#This Row],[Parent Inventory]]="","",Master[[#This Row],[Parent Inventory]])</f>
        <v/>
      </c>
      <c r="U34" s="30">
        <f>IF(Master[[#This Row],[Hundred Seed Weight -gram]]="","",Master[[#This Row],[Hundred Seed Weight -gram]])</f>
        <v>0.45269999999999999</v>
      </c>
      <c r="V34" s="30" t="str">
        <f>IF(Master[[#This Row],[Note (Inventory)]]="","",Master[[#This Row],[Note (Inventory)]])</f>
        <v/>
      </c>
    </row>
    <row r="35" spans="1:22" x14ac:dyDescent="0.25">
      <c r="A35" s="30"/>
      <c r="B35" s="151" t="str">
        <f>IF(Master[[#This Row],[Inventory Prefix]]="","",Master[[#This Row],[Inventory Prefix]])</f>
        <v>W6</v>
      </c>
      <c r="C35" s="151" t="str">
        <f>IF(Master[[#This Row],[Inventory Number]]="","",Master[[#This Row],[Inventory Number]])</f>
        <v/>
      </c>
      <c r="D35" s="78" t="str">
        <f>IF(Master[[#This Row],[Inventory Suffix]]="","",Master[[#This Row],[Inventory Suffix]])</f>
        <v/>
      </c>
      <c r="E35" s="30" t="str">
        <f>IF(Master[[#This Row],[Inventory Type - Lookup Picker]]="","",Master[[#This Row],[Inventory Type - Lookup Picker]])</f>
        <v>SD</v>
      </c>
      <c r="F35" s="151" t="str">
        <f>Master[[#This Row],[Accession Prefix (NPGS)]]&amp;" "&amp;Master[[#This Row],[Accession Number -Assigned]]</f>
        <v>W6 59621</v>
      </c>
      <c r="G35" s="78" t="str">
        <f>IF(Master[[#This Row],[Inventory Maintenance Policy]]="","",Master[[#This Row],[Inventory Maintenance Policy]])</f>
        <v>w6_native</v>
      </c>
      <c r="H35" s="30" t="str">
        <f>IF(Master[[#This Row],[Inventory Maintenance Site -W6]]="","",Master[[#This Row],[Inventory Maintenance Site -W6]])</f>
        <v>W6</v>
      </c>
      <c r="I35" s="30" t="str">
        <f>IF(RIGHT(TEXT(Inventory[[#This Row],[Inventory Suffix]],"00"),2)="01","Y",IF(RIGHT(TEXT(Inventory[[#This Row],[Inventory Suffix]],"00"),2)="c1","Y",IF(RIGHT(TEXT(Inventory[[#This Row],[Inventory Suffix]],"00"),2)="m1","Y","N")))</f>
        <v>N</v>
      </c>
      <c r="J35" s="30" t="str">
        <f>IF(Inventory[[#This Row],[Inventory Type]]="SD","Y",IF(Inventory[[#This Row],[Inventory Type]]="LV","Y","N"))</f>
        <v>Y</v>
      </c>
      <c r="K35" s="30" t="str">
        <f t="shared" si="5"/>
        <v>N</v>
      </c>
      <c r="L35" s="30" t="str">
        <f t="shared" si="6"/>
        <v>Original lot received</v>
      </c>
      <c r="M35" s="30" t="str">
        <f t="shared" si="7"/>
        <v>ORIG from SOS Project</v>
      </c>
      <c r="N35" s="80">
        <f>ROUNDDOWN(Master[[#This Row],[Quantity On Hand]],0)</f>
        <v>0</v>
      </c>
      <c r="O35" s="78" t="str">
        <f>IF(Master[[#This Row],[Quantity On Hand Units -''count'' or ''packet'']]="","",Master[[#This Row],[Quantity On Hand Units -''count'' or ''packet'']])</f>
        <v/>
      </c>
      <c r="P35" s="80" t="str">
        <f>IF(Master[[#This Row],[Inventory Type - Lookup Picker]]="","",Master[[#This Row],[Inventory Type - Lookup Picker]])</f>
        <v>SD</v>
      </c>
      <c r="Q35" s="45" t="str">
        <f t="shared" si="8"/>
        <v>Mike has</v>
      </c>
      <c r="R35" s="56">
        <f>IF(Master[[#This Row],[Latitude -decimal degrees]]="","",Master[[#This Row],[Latitude -decimal degrees]])</f>
        <v>38.782940000000004</v>
      </c>
      <c r="S35" s="56">
        <f>IF(Master[[#This Row],[Longitude -decimal degrees]]="","",Master[[#This Row],[Longitude -decimal degrees]])</f>
        <v>-119.0333</v>
      </c>
      <c r="T35" s="30" t="str">
        <f>IF(Master[[#This Row],[Parent Inventory]]="","",Master[[#This Row],[Parent Inventory]])</f>
        <v/>
      </c>
      <c r="U35" s="30">
        <f>IF(Master[[#This Row],[Hundred Seed Weight -gram]]="","",Master[[#This Row],[Hundred Seed Weight -gram]])</f>
        <v>0.51800000000000002</v>
      </c>
      <c r="V35" s="30" t="str">
        <f>IF(Master[[#This Row],[Note (Inventory)]]="","",Master[[#This Row],[Note (Inventory)]])</f>
        <v/>
      </c>
    </row>
    <row r="36" spans="1:22" x14ac:dyDescent="0.25">
      <c r="A36" s="30"/>
      <c r="B36" s="151" t="str">
        <f>IF(Master[[#This Row],[Inventory Prefix]]="","",Master[[#This Row],[Inventory Prefix]])</f>
        <v>W6</v>
      </c>
      <c r="C36" s="151" t="str">
        <f>IF(Master[[#This Row],[Inventory Number]]="","",Master[[#This Row],[Inventory Number]])</f>
        <v/>
      </c>
      <c r="D36" s="78" t="str">
        <f>IF(Master[[#This Row],[Inventory Suffix]]="","",Master[[#This Row],[Inventory Suffix]])</f>
        <v/>
      </c>
      <c r="E36" s="30" t="str">
        <f>IF(Master[[#This Row],[Inventory Type - Lookup Picker]]="","",Master[[#This Row],[Inventory Type - Lookup Picker]])</f>
        <v>SD</v>
      </c>
      <c r="F36" s="151" t="str">
        <f>Master[[#This Row],[Accession Prefix (NPGS)]]&amp;" "&amp;Master[[#This Row],[Accession Number -Assigned]]</f>
        <v>W6 59622</v>
      </c>
      <c r="G36" s="78" t="str">
        <f>IF(Master[[#This Row],[Inventory Maintenance Policy]]="","",Master[[#This Row],[Inventory Maintenance Policy]])</f>
        <v>w6_native</v>
      </c>
      <c r="H36" s="30" t="str">
        <f>IF(Master[[#This Row],[Inventory Maintenance Site -W6]]="","",Master[[#This Row],[Inventory Maintenance Site -W6]])</f>
        <v>W6</v>
      </c>
      <c r="I36" s="30" t="str">
        <f>IF(RIGHT(TEXT(Inventory[[#This Row],[Inventory Suffix]],"00"),2)="01","Y",IF(RIGHT(TEXT(Inventory[[#This Row],[Inventory Suffix]],"00"),2)="c1","Y",IF(RIGHT(TEXT(Inventory[[#This Row],[Inventory Suffix]],"00"),2)="m1","Y","N")))</f>
        <v>N</v>
      </c>
      <c r="J36" s="30" t="str">
        <f>IF(Inventory[[#This Row],[Inventory Type]]="SD","Y",IF(Inventory[[#This Row],[Inventory Type]]="LV","Y","N"))</f>
        <v>Y</v>
      </c>
      <c r="K36" s="30" t="str">
        <f t="shared" si="5"/>
        <v>N</v>
      </c>
      <c r="L36" s="30" t="str">
        <f t="shared" si="6"/>
        <v>Original lot received</v>
      </c>
      <c r="M36" s="30" t="str">
        <f t="shared" si="7"/>
        <v>ORIG from SOS Project</v>
      </c>
      <c r="N36" s="80">
        <f>ROUNDDOWN(Master[[#This Row],[Quantity On Hand]],0)</f>
        <v>0</v>
      </c>
      <c r="O36" s="78" t="str">
        <f>IF(Master[[#This Row],[Quantity On Hand Units -''count'' or ''packet'']]="","",Master[[#This Row],[Quantity On Hand Units -''count'' or ''packet'']])</f>
        <v/>
      </c>
      <c r="P36" s="80" t="str">
        <f>IF(Master[[#This Row],[Inventory Type - Lookup Picker]]="","",Master[[#This Row],[Inventory Type - Lookup Picker]])</f>
        <v>SD</v>
      </c>
      <c r="Q36" s="45" t="str">
        <f t="shared" si="8"/>
        <v>Mike has</v>
      </c>
      <c r="R36" s="56">
        <f>IF(Master[[#This Row],[Latitude -decimal degrees]]="","",Master[[#This Row],[Latitude -decimal degrees]])</f>
        <v>38.765189999999997</v>
      </c>
      <c r="S36" s="56">
        <f>IF(Master[[#This Row],[Longitude -decimal degrees]]="","",Master[[#This Row],[Longitude -decimal degrees]])</f>
        <v>-119.01963000000001</v>
      </c>
      <c r="T36" s="30" t="str">
        <f>IF(Master[[#This Row],[Parent Inventory]]="","",Master[[#This Row],[Parent Inventory]])</f>
        <v/>
      </c>
      <c r="U36" s="30">
        <f>IF(Master[[#This Row],[Hundred Seed Weight -gram]]="","",Master[[#This Row],[Hundred Seed Weight -gram]])</f>
        <v>0.1045</v>
      </c>
      <c r="V36" s="30" t="str">
        <f>IF(Master[[#This Row],[Note (Inventory)]]="","",Master[[#This Row],[Note (Inventory)]])</f>
        <v/>
      </c>
    </row>
    <row r="37" spans="1:22" x14ac:dyDescent="0.25">
      <c r="A37" s="30"/>
      <c r="B37" s="151" t="str">
        <f>IF(Master[[#This Row],[Inventory Prefix]]="","",Master[[#This Row],[Inventory Prefix]])</f>
        <v>W6</v>
      </c>
      <c r="C37" s="151" t="str">
        <f>IF(Master[[#This Row],[Inventory Number]]="","",Master[[#This Row],[Inventory Number]])</f>
        <v/>
      </c>
      <c r="D37" s="78" t="str">
        <f>IF(Master[[#This Row],[Inventory Suffix]]="","",Master[[#This Row],[Inventory Suffix]])</f>
        <v/>
      </c>
      <c r="E37" s="30" t="str">
        <f>IF(Master[[#This Row],[Inventory Type - Lookup Picker]]="","",Master[[#This Row],[Inventory Type - Lookup Picker]])</f>
        <v>SD</v>
      </c>
      <c r="F37" s="151" t="str">
        <f>Master[[#This Row],[Accession Prefix (NPGS)]]&amp;" "&amp;Master[[#This Row],[Accession Number -Assigned]]</f>
        <v>W6 59623</v>
      </c>
      <c r="G37" s="78" t="str">
        <f>IF(Master[[#This Row],[Inventory Maintenance Policy]]="","",Master[[#This Row],[Inventory Maintenance Policy]])</f>
        <v>w6_native</v>
      </c>
      <c r="H37" s="30" t="str">
        <f>IF(Master[[#This Row],[Inventory Maintenance Site -W6]]="","",Master[[#This Row],[Inventory Maintenance Site -W6]])</f>
        <v>W6</v>
      </c>
      <c r="I37" s="30" t="str">
        <f>IF(RIGHT(TEXT(Inventory[[#This Row],[Inventory Suffix]],"00"),2)="01","Y",IF(RIGHT(TEXT(Inventory[[#This Row],[Inventory Suffix]],"00"),2)="c1","Y",IF(RIGHT(TEXT(Inventory[[#This Row],[Inventory Suffix]],"00"),2)="m1","Y","N")))</f>
        <v>N</v>
      </c>
      <c r="J37" s="30" t="str">
        <f>IF(Inventory[[#This Row],[Inventory Type]]="SD","Y",IF(Inventory[[#This Row],[Inventory Type]]="LV","Y","N"))</f>
        <v>Y</v>
      </c>
      <c r="K37" s="30" t="str">
        <f t="shared" si="5"/>
        <v>N</v>
      </c>
      <c r="L37" s="30" t="str">
        <f t="shared" si="6"/>
        <v>Original lot received</v>
      </c>
      <c r="M37" s="30" t="str">
        <f t="shared" si="7"/>
        <v>ORIG from SOS Project</v>
      </c>
      <c r="N37" s="80">
        <f>ROUNDDOWN(Master[[#This Row],[Quantity On Hand]],0)</f>
        <v>0</v>
      </c>
      <c r="O37" s="78" t="str">
        <f>IF(Master[[#This Row],[Quantity On Hand Units -''count'' or ''packet'']]="","",Master[[#This Row],[Quantity On Hand Units -''count'' or ''packet'']])</f>
        <v/>
      </c>
      <c r="P37" s="80" t="str">
        <f>IF(Master[[#This Row],[Inventory Type - Lookup Picker]]="","",Master[[#This Row],[Inventory Type - Lookup Picker]])</f>
        <v>SD</v>
      </c>
      <c r="Q37" s="45" t="str">
        <f t="shared" si="8"/>
        <v>Mike has</v>
      </c>
      <c r="R37" s="56">
        <f>IF(Master[[#This Row],[Latitude -decimal degrees]]="","",Master[[#This Row],[Latitude -decimal degrees]])</f>
        <v>39.243250000000003</v>
      </c>
      <c r="S37" s="56">
        <f>IF(Master[[#This Row],[Longitude -decimal degrees]]="","",Master[[#This Row],[Longitude -decimal degrees]])</f>
        <v>-119.76819</v>
      </c>
      <c r="T37" s="30" t="str">
        <f>IF(Master[[#This Row],[Parent Inventory]]="","",Master[[#This Row],[Parent Inventory]])</f>
        <v/>
      </c>
      <c r="U37" s="30">
        <f>IF(Master[[#This Row],[Hundred Seed Weight -gram]]="","",Master[[#This Row],[Hundred Seed Weight -gram]])</f>
        <v>1.3351</v>
      </c>
      <c r="V37" s="30" t="str">
        <f>IF(Master[[#This Row],[Note (Inventory)]]="","",Master[[#This Row],[Note (Inventory)]])</f>
        <v/>
      </c>
    </row>
    <row r="38" spans="1:22" x14ac:dyDescent="0.25">
      <c r="A38" s="30"/>
      <c r="B38" s="151" t="str">
        <f>IF(Master[[#This Row],[Inventory Prefix]]="","",Master[[#This Row],[Inventory Prefix]])</f>
        <v>W6</v>
      </c>
      <c r="C38" s="151" t="str">
        <f>IF(Master[[#This Row],[Inventory Number]]="","",Master[[#This Row],[Inventory Number]])</f>
        <v/>
      </c>
      <c r="D38" s="78" t="str">
        <f>IF(Master[[#This Row],[Inventory Suffix]]="","",Master[[#This Row],[Inventory Suffix]])</f>
        <v/>
      </c>
      <c r="E38" s="30" t="str">
        <f>IF(Master[[#This Row],[Inventory Type - Lookup Picker]]="","",Master[[#This Row],[Inventory Type - Lookup Picker]])</f>
        <v>SD</v>
      </c>
      <c r="F38" s="151" t="str">
        <f>Master[[#This Row],[Accession Prefix (NPGS)]]&amp;" "&amp;Master[[#This Row],[Accession Number -Assigned]]</f>
        <v>W6 59624</v>
      </c>
      <c r="G38" s="78" t="str">
        <f>IF(Master[[#This Row],[Inventory Maintenance Policy]]="","",Master[[#This Row],[Inventory Maintenance Policy]])</f>
        <v>w6_native</v>
      </c>
      <c r="H38" s="30" t="str">
        <f>IF(Master[[#This Row],[Inventory Maintenance Site -W6]]="","",Master[[#This Row],[Inventory Maintenance Site -W6]])</f>
        <v>W6</v>
      </c>
      <c r="I38" s="30" t="str">
        <f>IF(RIGHT(TEXT(Inventory[[#This Row],[Inventory Suffix]],"00"),2)="01","Y",IF(RIGHT(TEXT(Inventory[[#This Row],[Inventory Suffix]],"00"),2)="c1","Y",IF(RIGHT(TEXT(Inventory[[#This Row],[Inventory Suffix]],"00"),2)="m1","Y","N")))</f>
        <v>N</v>
      </c>
      <c r="J38" s="30" t="str">
        <f>IF(Inventory[[#This Row],[Inventory Type]]="SD","Y",IF(Inventory[[#This Row],[Inventory Type]]="LV","Y","N"))</f>
        <v>Y</v>
      </c>
      <c r="K38" s="30" t="str">
        <f t="shared" si="5"/>
        <v>N</v>
      </c>
      <c r="L38" s="30" t="str">
        <f t="shared" si="6"/>
        <v>Original lot received</v>
      </c>
      <c r="M38" s="30" t="str">
        <f t="shared" si="7"/>
        <v>ORIG from SOS Project</v>
      </c>
      <c r="N38" s="80">
        <f>ROUNDDOWN(Master[[#This Row],[Quantity On Hand]],0)</f>
        <v>0</v>
      </c>
      <c r="O38" s="78" t="str">
        <f>IF(Master[[#This Row],[Quantity On Hand Units -''count'' or ''packet'']]="","",Master[[#This Row],[Quantity On Hand Units -''count'' or ''packet'']])</f>
        <v/>
      </c>
      <c r="P38" s="80" t="str">
        <f>IF(Master[[#This Row],[Inventory Type - Lookup Picker]]="","",Master[[#This Row],[Inventory Type - Lookup Picker]])</f>
        <v>SD</v>
      </c>
      <c r="Q38" s="45" t="str">
        <f t="shared" si="8"/>
        <v>Mike has</v>
      </c>
      <c r="R38" s="56">
        <f>IF(Master[[#This Row],[Latitude -decimal degrees]]="","",Master[[#This Row],[Latitude -decimal degrees]])</f>
        <v>39.241500000000002</v>
      </c>
      <c r="S38" s="56">
        <f>IF(Master[[#This Row],[Longitude -decimal degrees]]="","",Master[[#This Row],[Longitude -decimal degrees]])</f>
        <v>-119.76672000000001</v>
      </c>
      <c r="T38" s="30" t="str">
        <f>IF(Master[[#This Row],[Parent Inventory]]="","",Master[[#This Row],[Parent Inventory]])</f>
        <v/>
      </c>
      <c r="U38" s="30">
        <f>IF(Master[[#This Row],[Hundred Seed Weight -gram]]="","",Master[[#This Row],[Hundred Seed Weight -gram]])</f>
        <v>7.2700000000000001E-2</v>
      </c>
      <c r="V38" s="30" t="str">
        <f>IF(Master[[#This Row],[Note (Inventory)]]="","",Master[[#This Row],[Note (Inventory)]])</f>
        <v/>
      </c>
    </row>
    <row r="39" spans="1:22" x14ac:dyDescent="0.25">
      <c r="A39" s="30"/>
      <c r="B39" s="151" t="str">
        <f>IF(Master[[#This Row],[Inventory Prefix]]="","",Master[[#This Row],[Inventory Prefix]])</f>
        <v>W6</v>
      </c>
      <c r="C39" s="151" t="str">
        <f>IF(Master[[#This Row],[Inventory Number]]="","",Master[[#This Row],[Inventory Number]])</f>
        <v/>
      </c>
      <c r="D39" s="78" t="str">
        <f>IF(Master[[#This Row],[Inventory Suffix]]="","",Master[[#This Row],[Inventory Suffix]])</f>
        <v/>
      </c>
      <c r="E39" s="30" t="str">
        <f>IF(Master[[#This Row],[Inventory Type - Lookup Picker]]="","",Master[[#This Row],[Inventory Type - Lookup Picker]])</f>
        <v>SD</v>
      </c>
      <c r="F39" s="151" t="str">
        <f>Master[[#This Row],[Accession Prefix (NPGS)]]&amp;" "&amp;Master[[#This Row],[Accession Number -Assigned]]</f>
        <v>W6 59625</v>
      </c>
      <c r="G39" s="78" t="str">
        <f>IF(Master[[#This Row],[Inventory Maintenance Policy]]="","",Master[[#This Row],[Inventory Maintenance Policy]])</f>
        <v>w6_native</v>
      </c>
      <c r="H39" s="30" t="str">
        <f>IF(Master[[#This Row],[Inventory Maintenance Site -W6]]="","",Master[[#This Row],[Inventory Maintenance Site -W6]])</f>
        <v>W6</v>
      </c>
      <c r="I39" s="30" t="str">
        <f>IF(RIGHT(TEXT(Inventory[[#This Row],[Inventory Suffix]],"00"),2)="01","Y",IF(RIGHT(TEXT(Inventory[[#This Row],[Inventory Suffix]],"00"),2)="c1","Y",IF(RIGHT(TEXT(Inventory[[#This Row],[Inventory Suffix]],"00"),2)="m1","Y","N")))</f>
        <v>N</v>
      </c>
      <c r="J39" s="30" t="str">
        <f>IF(Inventory[[#This Row],[Inventory Type]]="SD","Y",IF(Inventory[[#This Row],[Inventory Type]]="LV","Y","N"))</f>
        <v>Y</v>
      </c>
      <c r="K39" s="30" t="str">
        <f t="shared" si="5"/>
        <v>N</v>
      </c>
      <c r="L39" s="30" t="str">
        <f t="shared" si="6"/>
        <v>Original lot received</v>
      </c>
      <c r="M39" s="30" t="str">
        <f t="shared" si="7"/>
        <v>ORIG from SOS Project</v>
      </c>
      <c r="N39" s="80">
        <f>ROUNDDOWN(Master[[#This Row],[Quantity On Hand]],0)</f>
        <v>0</v>
      </c>
      <c r="O39" s="78" t="str">
        <f>IF(Master[[#This Row],[Quantity On Hand Units -''count'' or ''packet'']]="","",Master[[#This Row],[Quantity On Hand Units -''count'' or ''packet'']])</f>
        <v/>
      </c>
      <c r="P39" s="80" t="str">
        <f>IF(Master[[#This Row],[Inventory Type - Lookup Picker]]="","",Master[[#This Row],[Inventory Type - Lookup Picker]])</f>
        <v>SD</v>
      </c>
      <c r="Q39" s="45" t="str">
        <f t="shared" si="8"/>
        <v>Mike has</v>
      </c>
      <c r="R39" s="56">
        <f>IF(Master[[#This Row],[Latitude -decimal degrees]]="","",Master[[#This Row],[Latitude -decimal degrees]])</f>
        <v>39.237769999999998</v>
      </c>
      <c r="S39" s="56">
        <f>IF(Master[[#This Row],[Longitude -decimal degrees]]="","",Master[[#This Row],[Longitude -decimal degrees]])</f>
        <v>-119.76366</v>
      </c>
      <c r="T39" s="30" t="str">
        <f>IF(Master[[#This Row],[Parent Inventory]]="","",Master[[#This Row],[Parent Inventory]])</f>
        <v/>
      </c>
      <c r="U39" s="30">
        <f>IF(Master[[#This Row],[Hundred Seed Weight -gram]]="","",Master[[#This Row],[Hundred Seed Weight -gram]])</f>
        <v>4.4999999999999997E-3</v>
      </c>
      <c r="V39" s="30" t="str">
        <f>IF(Master[[#This Row],[Note (Inventory)]]="","",Master[[#This Row],[Note (Inventory)]])</f>
        <v/>
      </c>
    </row>
    <row r="40" spans="1:22" x14ac:dyDescent="0.25">
      <c r="A40" s="30"/>
      <c r="B40" s="151" t="str">
        <f>IF(Master[[#This Row],[Inventory Prefix]]="","",Master[[#This Row],[Inventory Prefix]])</f>
        <v>W6</v>
      </c>
      <c r="C40" s="151" t="str">
        <f>IF(Master[[#This Row],[Inventory Number]]="","",Master[[#This Row],[Inventory Number]])</f>
        <v/>
      </c>
      <c r="D40" s="78" t="str">
        <f>IF(Master[[#This Row],[Inventory Suffix]]="","",Master[[#This Row],[Inventory Suffix]])</f>
        <v/>
      </c>
      <c r="E40" s="30" t="str">
        <f>IF(Master[[#This Row],[Inventory Type - Lookup Picker]]="","",Master[[#This Row],[Inventory Type - Lookup Picker]])</f>
        <v>SD</v>
      </c>
      <c r="F40" s="151" t="str">
        <f>Master[[#This Row],[Accession Prefix (NPGS)]]&amp;" "&amp;Master[[#This Row],[Accession Number -Assigned]]</f>
        <v>W6 59626</v>
      </c>
      <c r="G40" s="78" t="str">
        <f>IF(Master[[#This Row],[Inventory Maintenance Policy]]="","",Master[[#This Row],[Inventory Maintenance Policy]])</f>
        <v>w6_native</v>
      </c>
      <c r="H40" s="30" t="str">
        <f>IF(Master[[#This Row],[Inventory Maintenance Site -W6]]="","",Master[[#This Row],[Inventory Maintenance Site -W6]])</f>
        <v>W6</v>
      </c>
      <c r="I40" s="30" t="str">
        <f>IF(RIGHT(TEXT(Inventory[[#This Row],[Inventory Suffix]],"00"),2)="01","Y",IF(RIGHT(TEXT(Inventory[[#This Row],[Inventory Suffix]],"00"),2)="c1","Y",IF(RIGHT(TEXT(Inventory[[#This Row],[Inventory Suffix]],"00"),2)="m1","Y","N")))</f>
        <v>N</v>
      </c>
      <c r="J40" s="30" t="str">
        <f>IF(Inventory[[#This Row],[Inventory Type]]="SD","Y",IF(Inventory[[#This Row],[Inventory Type]]="LV","Y","N"))</f>
        <v>Y</v>
      </c>
      <c r="K40" s="30" t="str">
        <f t="shared" si="5"/>
        <v>N</v>
      </c>
      <c r="L40" s="30" t="str">
        <f t="shared" si="6"/>
        <v>Original lot received</v>
      </c>
      <c r="M40" s="30" t="str">
        <f t="shared" si="7"/>
        <v>ORIG from SOS Project</v>
      </c>
      <c r="N40" s="80">
        <f>ROUNDDOWN(Master[[#This Row],[Quantity On Hand]],0)</f>
        <v>0</v>
      </c>
      <c r="O40" s="78" t="str">
        <f>IF(Master[[#This Row],[Quantity On Hand Units -''count'' or ''packet'']]="","",Master[[#This Row],[Quantity On Hand Units -''count'' or ''packet'']])</f>
        <v/>
      </c>
      <c r="P40" s="80" t="str">
        <f>IF(Master[[#This Row],[Inventory Type - Lookup Picker]]="","",Master[[#This Row],[Inventory Type - Lookup Picker]])</f>
        <v>SD</v>
      </c>
      <c r="Q40" s="45" t="str">
        <f t="shared" si="8"/>
        <v>Mike has</v>
      </c>
      <c r="R40" s="56">
        <f>IF(Master[[#This Row],[Latitude -decimal degrees]]="","",Master[[#This Row],[Latitude -decimal degrees]])</f>
        <v>39.237499999999997</v>
      </c>
      <c r="S40" s="56">
        <f>IF(Master[[#This Row],[Longitude -decimal degrees]]="","",Master[[#This Row],[Longitude -decimal degrees]])</f>
        <v>-119.76336000000001</v>
      </c>
      <c r="T40" s="30" t="str">
        <f>IF(Master[[#This Row],[Parent Inventory]]="","",Master[[#This Row],[Parent Inventory]])</f>
        <v/>
      </c>
      <c r="U40" s="30">
        <f>IF(Master[[#This Row],[Hundred Seed Weight -gram]]="","",Master[[#This Row],[Hundred Seed Weight -gram]])</f>
        <v>3.0599999999999999E-2</v>
      </c>
      <c r="V40" s="30" t="str">
        <f>IF(Master[[#This Row],[Note (Inventory)]]="","",Master[[#This Row],[Note (Inventory)]])</f>
        <v/>
      </c>
    </row>
    <row r="41" spans="1:22" x14ac:dyDescent="0.25">
      <c r="A41" s="30"/>
      <c r="B41" s="151" t="str">
        <f>IF(Master[[#This Row],[Inventory Prefix]]="","",Master[[#This Row],[Inventory Prefix]])</f>
        <v>W6</v>
      </c>
      <c r="C41" s="151" t="str">
        <f>IF(Master[[#This Row],[Inventory Number]]="","",Master[[#This Row],[Inventory Number]])</f>
        <v/>
      </c>
      <c r="D41" s="78" t="str">
        <f>IF(Master[[#This Row],[Inventory Suffix]]="","",Master[[#This Row],[Inventory Suffix]])</f>
        <v/>
      </c>
      <c r="E41" s="30" t="str">
        <f>IF(Master[[#This Row],[Inventory Type - Lookup Picker]]="","",Master[[#This Row],[Inventory Type - Lookup Picker]])</f>
        <v>SD</v>
      </c>
      <c r="F41" s="151" t="str">
        <f>Master[[#This Row],[Accession Prefix (NPGS)]]&amp;" "&amp;Master[[#This Row],[Accession Number -Assigned]]</f>
        <v>W6 59627</v>
      </c>
      <c r="G41" s="78" t="str">
        <f>IF(Master[[#This Row],[Inventory Maintenance Policy]]="","",Master[[#This Row],[Inventory Maintenance Policy]])</f>
        <v>w6_native</v>
      </c>
      <c r="H41" s="30" t="str">
        <f>IF(Master[[#This Row],[Inventory Maintenance Site -W6]]="","",Master[[#This Row],[Inventory Maintenance Site -W6]])</f>
        <v>W6</v>
      </c>
      <c r="I41" s="30" t="str">
        <f>IF(RIGHT(TEXT(Inventory[[#This Row],[Inventory Suffix]],"00"),2)="01","Y",IF(RIGHT(TEXT(Inventory[[#This Row],[Inventory Suffix]],"00"),2)="c1","Y",IF(RIGHT(TEXT(Inventory[[#This Row],[Inventory Suffix]],"00"),2)="m1","Y","N")))</f>
        <v>N</v>
      </c>
      <c r="J41" s="30" t="str">
        <f>IF(Inventory[[#This Row],[Inventory Type]]="SD","Y",IF(Inventory[[#This Row],[Inventory Type]]="LV","Y","N"))</f>
        <v>Y</v>
      </c>
      <c r="K41" s="30" t="str">
        <f t="shared" si="5"/>
        <v>N</v>
      </c>
      <c r="L41" s="30" t="str">
        <f t="shared" si="6"/>
        <v>Original lot received</v>
      </c>
      <c r="M41" s="30" t="str">
        <f t="shared" si="7"/>
        <v>ORIG from SOS Project</v>
      </c>
      <c r="N41" s="80">
        <f>ROUNDDOWN(Master[[#This Row],[Quantity On Hand]],0)</f>
        <v>0</v>
      </c>
      <c r="O41" s="78" t="str">
        <f>IF(Master[[#This Row],[Quantity On Hand Units -''count'' or ''packet'']]="","",Master[[#This Row],[Quantity On Hand Units -''count'' or ''packet'']])</f>
        <v/>
      </c>
      <c r="P41" s="80" t="str">
        <f>IF(Master[[#This Row],[Inventory Type - Lookup Picker]]="","",Master[[#This Row],[Inventory Type - Lookup Picker]])</f>
        <v>SD</v>
      </c>
      <c r="Q41" s="45" t="str">
        <f t="shared" si="8"/>
        <v>Mike has</v>
      </c>
      <c r="R41" s="56">
        <f>IF(Master[[#This Row],[Latitude -decimal degrees]]="","",Master[[#This Row],[Latitude -decimal degrees]])</f>
        <v>39.237609999999997</v>
      </c>
      <c r="S41" s="56">
        <f>IF(Master[[#This Row],[Longitude -decimal degrees]]="","",Master[[#This Row],[Longitude -decimal degrees]])</f>
        <v>-119.76361</v>
      </c>
      <c r="T41" s="30" t="str">
        <f>IF(Master[[#This Row],[Parent Inventory]]="","",Master[[#This Row],[Parent Inventory]])</f>
        <v/>
      </c>
      <c r="U41" s="30">
        <f>IF(Master[[#This Row],[Hundred Seed Weight -gram]]="","",Master[[#This Row],[Hundred Seed Weight -gram]])</f>
        <v>0.36659999999999998</v>
      </c>
      <c r="V41" s="30" t="str">
        <f>IF(Master[[#This Row],[Note (Inventory)]]="","",Master[[#This Row],[Note (Inventory)]])</f>
        <v/>
      </c>
    </row>
    <row r="42" spans="1:22" x14ac:dyDescent="0.25">
      <c r="A42" s="30"/>
      <c r="B42" s="151" t="str">
        <f>IF(Master[[#This Row],[Inventory Prefix]]="","",Master[[#This Row],[Inventory Prefix]])</f>
        <v>W6</v>
      </c>
      <c r="C42" s="151" t="str">
        <f>IF(Master[[#This Row],[Inventory Number]]="","",Master[[#This Row],[Inventory Number]])</f>
        <v/>
      </c>
      <c r="D42" s="78" t="str">
        <f>IF(Master[[#This Row],[Inventory Suffix]]="","",Master[[#This Row],[Inventory Suffix]])</f>
        <v/>
      </c>
      <c r="E42" s="30" t="str">
        <f>IF(Master[[#This Row],[Inventory Type - Lookup Picker]]="","",Master[[#This Row],[Inventory Type - Lookup Picker]])</f>
        <v>SD</v>
      </c>
      <c r="F42" s="151" t="str">
        <f>Master[[#This Row],[Accession Prefix (NPGS)]]&amp;" "&amp;Master[[#This Row],[Accession Number -Assigned]]</f>
        <v>W6 59628</v>
      </c>
      <c r="G42" s="78" t="str">
        <f>IF(Master[[#This Row],[Inventory Maintenance Policy]]="","",Master[[#This Row],[Inventory Maintenance Policy]])</f>
        <v>w6_native</v>
      </c>
      <c r="H42" s="30" t="str">
        <f>IF(Master[[#This Row],[Inventory Maintenance Site -W6]]="","",Master[[#This Row],[Inventory Maintenance Site -W6]])</f>
        <v>W6</v>
      </c>
      <c r="I42" s="30" t="str">
        <f>IF(RIGHT(TEXT(Inventory[[#This Row],[Inventory Suffix]],"00"),2)="01","Y",IF(RIGHT(TEXT(Inventory[[#This Row],[Inventory Suffix]],"00"),2)="c1","Y",IF(RIGHT(TEXT(Inventory[[#This Row],[Inventory Suffix]],"00"),2)="m1","Y","N")))</f>
        <v>N</v>
      </c>
      <c r="J42" s="30" t="str">
        <f>IF(Inventory[[#This Row],[Inventory Type]]="SD","Y",IF(Inventory[[#This Row],[Inventory Type]]="LV","Y","N"))</f>
        <v>Y</v>
      </c>
      <c r="K42" s="30" t="str">
        <f t="shared" si="5"/>
        <v>N</v>
      </c>
      <c r="L42" s="30" t="str">
        <f t="shared" si="6"/>
        <v>Original lot received</v>
      </c>
      <c r="M42" s="30" t="str">
        <f t="shared" si="7"/>
        <v>ORIG from SOS Project</v>
      </c>
      <c r="N42" s="80">
        <f>ROUNDDOWN(Master[[#This Row],[Quantity On Hand]],0)</f>
        <v>0</v>
      </c>
      <c r="O42" s="78" t="str">
        <f>IF(Master[[#This Row],[Quantity On Hand Units -''count'' or ''packet'']]="","",Master[[#This Row],[Quantity On Hand Units -''count'' or ''packet'']])</f>
        <v/>
      </c>
      <c r="P42" s="80" t="str">
        <f>IF(Master[[#This Row],[Inventory Type - Lookup Picker]]="","",Master[[#This Row],[Inventory Type - Lookup Picker]])</f>
        <v>SD</v>
      </c>
      <c r="Q42" s="45" t="str">
        <f t="shared" si="8"/>
        <v>Mike has</v>
      </c>
      <c r="R42" s="56">
        <f>IF(Master[[#This Row],[Latitude -decimal degrees]]="","",Master[[#This Row],[Latitude -decimal degrees]])</f>
        <v>39.242800000000003</v>
      </c>
      <c r="S42" s="56">
        <f>IF(Master[[#This Row],[Longitude -decimal degrees]]="","",Master[[#This Row],[Longitude -decimal degrees]])</f>
        <v>-119.76711</v>
      </c>
      <c r="T42" s="30" t="str">
        <f>IF(Master[[#This Row],[Parent Inventory]]="","",Master[[#This Row],[Parent Inventory]])</f>
        <v/>
      </c>
      <c r="U42" s="30">
        <f>IF(Master[[#This Row],[Hundred Seed Weight -gram]]="","",Master[[#This Row],[Hundred Seed Weight -gram]])</f>
        <v>0.24829999999999999</v>
      </c>
      <c r="V42" s="30" t="str">
        <f>IF(Master[[#This Row],[Note (Inventory)]]="","",Master[[#This Row],[Note (Inventory)]])</f>
        <v/>
      </c>
    </row>
    <row r="43" spans="1:22" x14ac:dyDescent="0.25">
      <c r="A43" s="30"/>
      <c r="B43" s="151" t="str">
        <f>IF(Master[[#This Row],[Inventory Prefix]]="","",Master[[#This Row],[Inventory Prefix]])</f>
        <v>W6</v>
      </c>
      <c r="C43" s="151" t="str">
        <f>IF(Master[[#This Row],[Inventory Number]]="","",Master[[#This Row],[Inventory Number]])</f>
        <v/>
      </c>
      <c r="D43" s="78" t="str">
        <f>IF(Master[[#This Row],[Inventory Suffix]]="","",Master[[#This Row],[Inventory Suffix]])</f>
        <v/>
      </c>
      <c r="E43" s="30" t="str">
        <f>IF(Master[[#This Row],[Inventory Type - Lookup Picker]]="","",Master[[#This Row],[Inventory Type - Lookup Picker]])</f>
        <v>SD</v>
      </c>
      <c r="F43" s="151" t="str">
        <f>Master[[#This Row],[Accession Prefix (NPGS)]]&amp;" "&amp;Master[[#This Row],[Accession Number -Assigned]]</f>
        <v>W6 59629</v>
      </c>
      <c r="G43" s="78" t="str">
        <f>IF(Master[[#This Row],[Inventory Maintenance Policy]]="","",Master[[#This Row],[Inventory Maintenance Policy]])</f>
        <v>w6_native</v>
      </c>
      <c r="H43" s="30" t="str">
        <f>IF(Master[[#This Row],[Inventory Maintenance Site -W6]]="","",Master[[#This Row],[Inventory Maintenance Site -W6]])</f>
        <v>W6</v>
      </c>
      <c r="I43" s="30" t="str">
        <f>IF(RIGHT(TEXT(Inventory[[#This Row],[Inventory Suffix]],"00"),2)="01","Y",IF(RIGHT(TEXT(Inventory[[#This Row],[Inventory Suffix]],"00"),2)="c1","Y",IF(RIGHT(TEXT(Inventory[[#This Row],[Inventory Suffix]],"00"),2)="m1","Y","N")))</f>
        <v>N</v>
      </c>
      <c r="J43" s="30" t="str">
        <f>IF(Inventory[[#This Row],[Inventory Type]]="SD","Y",IF(Inventory[[#This Row],[Inventory Type]]="LV","Y","N"))</f>
        <v>Y</v>
      </c>
      <c r="K43" s="30" t="str">
        <f t="shared" si="5"/>
        <v>N</v>
      </c>
      <c r="L43" s="30" t="str">
        <f t="shared" si="6"/>
        <v>Original lot received</v>
      </c>
      <c r="M43" s="30" t="str">
        <f t="shared" si="7"/>
        <v>ORIG from SOS Project</v>
      </c>
      <c r="N43" s="80">
        <f>ROUNDDOWN(Master[[#This Row],[Quantity On Hand]],0)</f>
        <v>0</v>
      </c>
      <c r="O43" s="78" t="str">
        <f>IF(Master[[#This Row],[Quantity On Hand Units -''count'' or ''packet'']]="","",Master[[#This Row],[Quantity On Hand Units -''count'' or ''packet'']])</f>
        <v/>
      </c>
      <c r="P43" s="80" t="str">
        <f>IF(Master[[#This Row],[Inventory Type - Lookup Picker]]="","",Master[[#This Row],[Inventory Type - Lookup Picker]])</f>
        <v>SD</v>
      </c>
      <c r="Q43" s="45" t="str">
        <f t="shared" si="8"/>
        <v>Mike has</v>
      </c>
      <c r="R43" s="56">
        <f>IF(Master[[#This Row],[Latitude -decimal degrees]]="","",Master[[#This Row],[Latitude -decimal degrees]])</f>
        <v>39.243409999999997</v>
      </c>
      <c r="S43" s="56">
        <f>IF(Master[[#This Row],[Longitude -decimal degrees]]="","",Master[[#This Row],[Longitude -decimal degrees]])</f>
        <v>-119.76766000000001</v>
      </c>
      <c r="T43" s="30" t="str">
        <f>IF(Master[[#This Row],[Parent Inventory]]="","",Master[[#This Row],[Parent Inventory]])</f>
        <v/>
      </c>
      <c r="U43" s="30">
        <f>IF(Master[[#This Row],[Hundred Seed Weight -gram]]="","",Master[[#This Row],[Hundred Seed Weight -gram]])</f>
        <v>7.7000000000000002E-3</v>
      </c>
      <c r="V43" s="30" t="str">
        <f>IF(Master[[#This Row],[Note (Inventory)]]="","",Master[[#This Row],[Note (Inventory)]])</f>
        <v/>
      </c>
    </row>
    <row r="44" spans="1:22" x14ac:dyDescent="0.25">
      <c r="A44" s="30"/>
      <c r="B44" s="151" t="str">
        <f>IF(Master[[#This Row],[Inventory Prefix]]="","",Master[[#This Row],[Inventory Prefix]])</f>
        <v>W6</v>
      </c>
      <c r="C44" s="151" t="str">
        <f>IF(Master[[#This Row],[Inventory Number]]="","",Master[[#This Row],[Inventory Number]])</f>
        <v/>
      </c>
      <c r="D44" s="78" t="str">
        <f>IF(Master[[#This Row],[Inventory Suffix]]="","",Master[[#This Row],[Inventory Suffix]])</f>
        <v/>
      </c>
      <c r="E44" s="30" t="str">
        <f>IF(Master[[#This Row],[Inventory Type - Lookup Picker]]="","",Master[[#This Row],[Inventory Type - Lookup Picker]])</f>
        <v>SD</v>
      </c>
      <c r="F44" s="151" t="str">
        <f>Master[[#This Row],[Accession Prefix (NPGS)]]&amp;" "&amp;Master[[#This Row],[Accession Number -Assigned]]</f>
        <v>W6 59630</v>
      </c>
      <c r="G44" s="78" t="str">
        <f>IF(Master[[#This Row],[Inventory Maintenance Policy]]="","",Master[[#This Row],[Inventory Maintenance Policy]])</f>
        <v>w6_native</v>
      </c>
      <c r="H44" s="30" t="str">
        <f>IF(Master[[#This Row],[Inventory Maintenance Site -W6]]="","",Master[[#This Row],[Inventory Maintenance Site -W6]])</f>
        <v>W6</v>
      </c>
      <c r="I44" s="30" t="str">
        <f>IF(RIGHT(TEXT(Inventory[[#This Row],[Inventory Suffix]],"00"),2)="01","Y",IF(RIGHT(TEXT(Inventory[[#This Row],[Inventory Suffix]],"00"),2)="c1","Y",IF(RIGHT(TEXT(Inventory[[#This Row],[Inventory Suffix]],"00"),2)="m1","Y","N")))</f>
        <v>N</v>
      </c>
      <c r="J44" s="30" t="str">
        <f>IF(Inventory[[#This Row],[Inventory Type]]="SD","Y",IF(Inventory[[#This Row],[Inventory Type]]="LV","Y","N"))</f>
        <v>Y</v>
      </c>
      <c r="K44" s="30" t="str">
        <f t="shared" si="5"/>
        <v>N</v>
      </c>
      <c r="L44" s="30" t="str">
        <f t="shared" si="6"/>
        <v>Original lot received</v>
      </c>
      <c r="M44" s="30" t="str">
        <f t="shared" si="7"/>
        <v>ORIG from SOS Project</v>
      </c>
      <c r="N44" s="80">
        <f>ROUNDDOWN(Master[[#This Row],[Quantity On Hand]],0)</f>
        <v>0</v>
      </c>
      <c r="O44" s="78" t="str">
        <f>IF(Master[[#This Row],[Quantity On Hand Units -''count'' or ''packet'']]="","",Master[[#This Row],[Quantity On Hand Units -''count'' or ''packet'']])</f>
        <v/>
      </c>
      <c r="P44" s="80" t="str">
        <f>IF(Master[[#This Row],[Inventory Type - Lookup Picker]]="","",Master[[#This Row],[Inventory Type - Lookup Picker]])</f>
        <v>SD</v>
      </c>
      <c r="Q44" s="45" t="str">
        <f t="shared" si="8"/>
        <v>Mike has</v>
      </c>
      <c r="R44" s="56">
        <f>IF(Master[[#This Row],[Latitude -decimal degrees]]="","",Master[[#This Row],[Latitude -decimal degrees]])</f>
        <v>39.24841</v>
      </c>
      <c r="S44" s="56">
        <f>IF(Master[[#This Row],[Longitude -decimal degrees]]="","",Master[[#This Row],[Longitude -decimal degrees]])</f>
        <v>-119.76763</v>
      </c>
      <c r="T44" s="30" t="str">
        <f>IF(Master[[#This Row],[Parent Inventory]]="","",Master[[#This Row],[Parent Inventory]])</f>
        <v/>
      </c>
      <c r="U44" s="30">
        <f>IF(Master[[#This Row],[Hundred Seed Weight -gram]]="","",Master[[#This Row],[Hundred Seed Weight -gram]])</f>
        <v>1.1429</v>
      </c>
      <c r="V44" s="30" t="str">
        <f>IF(Master[[#This Row],[Note (Inventory)]]="","",Master[[#This Row],[Note (Inventory)]])</f>
        <v/>
      </c>
    </row>
    <row r="45" spans="1:22" x14ac:dyDescent="0.25">
      <c r="A45" s="30"/>
      <c r="B45" s="151" t="str">
        <f>IF(Master[[#This Row],[Inventory Prefix]]="","",Master[[#This Row],[Inventory Prefix]])</f>
        <v>W6</v>
      </c>
      <c r="C45" s="151" t="str">
        <f>IF(Master[[#This Row],[Inventory Number]]="","",Master[[#This Row],[Inventory Number]])</f>
        <v/>
      </c>
      <c r="D45" s="78" t="str">
        <f>IF(Master[[#This Row],[Inventory Suffix]]="","",Master[[#This Row],[Inventory Suffix]])</f>
        <v/>
      </c>
      <c r="E45" s="30" t="str">
        <f>IF(Master[[#This Row],[Inventory Type - Lookup Picker]]="","",Master[[#This Row],[Inventory Type - Lookup Picker]])</f>
        <v>SD</v>
      </c>
      <c r="F45" s="151" t="str">
        <f>Master[[#This Row],[Accession Prefix (NPGS)]]&amp;" "&amp;Master[[#This Row],[Accession Number -Assigned]]</f>
        <v>W6 59631</v>
      </c>
      <c r="G45" s="78" t="str">
        <f>IF(Master[[#This Row],[Inventory Maintenance Policy]]="","",Master[[#This Row],[Inventory Maintenance Policy]])</f>
        <v>w6_native</v>
      </c>
      <c r="H45" s="30" t="str">
        <f>IF(Master[[#This Row],[Inventory Maintenance Site -W6]]="","",Master[[#This Row],[Inventory Maintenance Site -W6]])</f>
        <v>W6</v>
      </c>
      <c r="I45" s="30" t="str">
        <f>IF(RIGHT(TEXT(Inventory[[#This Row],[Inventory Suffix]],"00"),2)="01","Y",IF(RIGHT(TEXT(Inventory[[#This Row],[Inventory Suffix]],"00"),2)="c1","Y",IF(RIGHT(TEXT(Inventory[[#This Row],[Inventory Suffix]],"00"),2)="m1","Y","N")))</f>
        <v>N</v>
      </c>
      <c r="J45" s="30" t="str">
        <f>IF(Inventory[[#This Row],[Inventory Type]]="SD","Y",IF(Inventory[[#This Row],[Inventory Type]]="LV","Y","N"))</f>
        <v>Y</v>
      </c>
      <c r="K45" s="30" t="str">
        <f t="shared" si="5"/>
        <v>N</v>
      </c>
      <c r="L45" s="30" t="str">
        <f t="shared" si="6"/>
        <v>Original lot received</v>
      </c>
      <c r="M45" s="30" t="str">
        <f t="shared" si="7"/>
        <v>ORIG from SOS Project</v>
      </c>
      <c r="N45" s="80">
        <f>ROUNDDOWN(Master[[#This Row],[Quantity On Hand]],0)</f>
        <v>0</v>
      </c>
      <c r="O45" s="78" t="str">
        <f>IF(Master[[#This Row],[Quantity On Hand Units -''count'' or ''packet'']]="","",Master[[#This Row],[Quantity On Hand Units -''count'' or ''packet'']])</f>
        <v/>
      </c>
      <c r="P45" s="80" t="str">
        <f>IF(Master[[#This Row],[Inventory Type - Lookup Picker]]="","",Master[[#This Row],[Inventory Type - Lookup Picker]])</f>
        <v>SD</v>
      </c>
      <c r="Q45" s="45" t="str">
        <f t="shared" si="8"/>
        <v>Mike has</v>
      </c>
      <c r="R45" s="56">
        <f>IF(Master[[#This Row],[Latitude -decimal degrees]]="","",Master[[#This Row],[Latitude -decimal degrees]])</f>
        <v>39.349440000000001</v>
      </c>
      <c r="S45" s="56">
        <f>IF(Master[[#This Row],[Longitude -decimal degrees]]="","",Master[[#This Row],[Longitude -decimal degrees]])</f>
        <v>-117.69555</v>
      </c>
      <c r="T45" s="30" t="str">
        <f>IF(Master[[#This Row],[Parent Inventory]]="","",Master[[#This Row],[Parent Inventory]])</f>
        <v/>
      </c>
      <c r="U45" s="30">
        <f>IF(Master[[#This Row],[Hundred Seed Weight -gram]]="","",Master[[#This Row],[Hundred Seed Weight -gram]])</f>
        <v>0.62690000000000001</v>
      </c>
      <c r="V45" s="30" t="str">
        <f>IF(Master[[#This Row],[Note (Inventory)]]="","",Master[[#This Row],[Note (Inventory)]])</f>
        <v/>
      </c>
    </row>
    <row r="46" spans="1:22" x14ac:dyDescent="0.25">
      <c r="A46" s="30"/>
      <c r="B46" s="151" t="str">
        <f>IF(Master[[#This Row],[Inventory Prefix]]="","",Master[[#This Row],[Inventory Prefix]])</f>
        <v>W6</v>
      </c>
      <c r="C46" s="151" t="str">
        <f>IF(Master[[#This Row],[Inventory Number]]="","",Master[[#This Row],[Inventory Number]])</f>
        <v/>
      </c>
      <c r="D46" s="78" t="str">
        <f>IF(Master[[#This Row],[Inventory Suffix]]="","",Master[[#This Row],[Inventory Suffix]])</f>
        <v/>
      </c>
      <c r="E46" s="30" t="str">
        <f>IF(Master[[#This Row],[Inventory Type - Lookup Picker]]="","",Master[[#This Row],[Inventory Type - Lookup Picker]])</f>
        <v>SD</v>
      </c>
      <c r="F46" s="151" t="str">
        <f>Master[[#This Row],[Accession Prefix (NPGS)]]&amp;" "&amp;Master[[#This Row],[Accession Number -Assigned]]</f>
        <v>W6 59632</v>
      </c>
      <c r="G46" s="78" t="str">
        <f>IF(Master[[#This Row],[Inventory Maintenance Policy]]="","",Master[[#This Row],[Inventory Maintenance Policy]])</f>
        <v>w6_native</v>
      </c>
      <c r="H46" s="30" t="str">
        <f>IF(Master[[#This Row],[Inventory Maintenance Site -W6]]="","",Master[[#This Row],[Inventory Maintenance Site -W6]])</f>
        <v>W6</v>
      </c>
      <c r="I46" s="30" t="str">
        <f>IF(RIGHT(TEXT(Inventory[[#This Row],[Inventory Suffix]],"00"),2)="01","Y",IF(RIGHT(TEXT(Inventory[[#This Row],[Inventory Suffix]],"00"),2)="c1","Y",IF(RIGHT(TEXT(Inventory[[#This Row],[Inventory Suffix]],"00"),2)="m1","Y","N")))</f>
        <v>N</v>
      </c>
      <c r="J46" s="30" t="str">
        <f>IF(Inventory[[#This Row],[Inventory Type]]="SD","Y",IF(Inventory[[#This Row],[Inventory Type]]="LV","Y","N"))</f>
        <v>Y</v>
      </c>
      <c r="K46" s="30" t="str">
        <f t="shared" si="5"/>
        <v>N</v>
      </c>
      <c r="L46" s="30" t="str">
        <f t="shared" si="6"/>
        <v>Original lot received</v>
      </c>
      <c r="M46" s="30" t="str">
        <f t="shared" si="7"/>
        <v>ORIG from SOS Project</v>
      </c>
      <c r="N46" s="80">
        <f>ROUNDDOWN(Master[[#This Row],[Quantity On Hand]],0)</f>
        <v>0</v>
      </c>
      <c r="O46" s="78" t="str">
        <f>IF(Master[[#This Row],[Quantity On Hand Units -''count'' or ''packet'']]="","",Master[[#This Row],[Quantity On Hand Units -''count'' or ''packet'']])</f>
        <v/>
      </c>
      <c r="P46" s="80" t="str">
        <f>IF(Master[[#This Row],[Inventory Type - Lookup Picker]]="","",Master[[#This Row],[Inventory Type - Lookup Picker]])</f>
        <v>SD</v>
      </c>
      <c r="Q46" s="45" t="str">
        <f t="shared" si="8"/>
        <v>Mike has</v>
      </c>
      <c r="R46" s="56">
        <f>IF(Master[[#This Row],[Latitude -decimal degrees]]="","",Master[[#This Row],[Latitude -decimal degrees]])</f>
        <v>38.765270000000001</v>
      </c>
      <c r="S46" s="56">
        <f>IF(Master[[#This Row],[Longitude -decimal degrees]]="","",Master[[#This Row],[Longitude -decimal degrees]])</f>
        <v>-119.01888</v>
      </c>
      <c r="T46" s="30" t="str">
        <f>IF(Master[[#This Row],[Parent Inventory]]="","",Master[[#This Row],[Parent Inventory]])</f>
        <v/>
      </c>
      <c r="U46" s="30">
        <f>IF(Master[[#This Row],[Hundred Seed Weight -gram]]="","",Master[[#This Row],[Hundred Seed Weight -gram]])</f>
        <v>4.4699999999999997E-2</v>
      </c>
      <c r="V46" s="30" t="str">
        <f>IF(Master[[#This Row],[Note (Inventory)]]="","",Master[[#This Row],[Note (Inventory)]])</f>
        <v/>
      </c>
    </row>
    <row r="47" spans="1:22" x14ac:dyDescent="0.25">
      <c r="A47" s="30"/>
      <c r="B47" s="151" t="str">
        <f>IF(Master[[#This Row],[Inventory Prefix]]="","",Master[[#This Row],[Inventory Prefix]])</f>
        <v>W6</v>
      </c>
      <c r="C47" s="151" t="str">
        <f>IF(Master[[#This Row],[Inventory Number]]="","",Master[[#This Row],[Inventory Number]])</f>
        <v/>
      </c>
      <c r="D47" s="78" t="str">
        <f>IF(Master[[#This Row],[Inventory Suffix]]="","",Master[[#This Row],[Inventory Suffix]])</f>
        <v/>
      </c>
      <c r="E47" s="30" t="str">
        <f>IF(Master[[#This Row],[Inventory Type - Lookup Picker]]="","",Master[[#This Row],[Inventory Type - Lookup Picker]])</f>
        <v>SD</v>
      </c>
      <c r="F47" s="151" t="str">
        <f>Master[[#This Row],[Accession Prefix (NPGS)]]&amp;" "&amp;Master[[#This Row],[Accession Number -Assigned]]</f>
        <v>W6 59633</v>
      </c>
      <c r="G47" s="78" t="str">
        <f>IF(Master[[#This Row],[Inventory Maintenance Policy]]="","",Master[[#This Row],[Inventory Maintenance Policy]])</f>
        <v>w6_native</v>
      </c>
      <c r="H47" s="30" t="str">
        <f>IF(Master[[#This Row],[Inventory Maintenance Site -W6]]="","",Master[[#This Row],[Inventory Maintenance Site -W6]])</f>
        <v>W6</v>
      </c>
      <c r="I47" s="30" t="str">
        <f>IF(RIGHT(TEXT(Inventory[[#This Row],[Inventory Suffix]],"00"),2)="01","Y",IF(RIGHT(TEXT(Inventory[[#This Row],[Inventory Suffix]],"00"),2)="c1","Y",IF(RIGHT(TEXT(Inventory[[#This Row],[Inventory Suffix]],"00"),2)="m1","Y","N")))</f>
        <v>N</v>
      </c>
      <c r="J47" s="30" t="str">
        <f>IF(Inventory[[#This Row],[Inventory Type]]="SD","Y",IF(Inventory[[#This Row],[Inventory Type]]="LV","Y","N"))</f>
        <v>Y</v>
      </c>
      <c r="K47" s="30" t="str">
        <f t="shared" si="5"/>
        <v>N</v>
      </c>
      <c r="L47" s="30" t="str">
        <f t="shared" si="6"/>
        <v>Original lot received</v>
      </c>
      <c r="M47" s="30" t="str">
        <f t="shared" si="7"/>
        <v>ORIG from SOS Project</v>
      </c>
      <c r="N47" s="80">
        <f>ROUNDDOWN(Master[[#This Row],[Quantity On Hand]],0)</f>
        <v>0</v>
      </c>
      <c r="O47" s="78" t="str">
        <f>IF(Master[[#This Row],[Quantity On Hand Units -''count'' or ''packet'']]="","",Master[[#This Row],[Quantity On Hand Units -''count'' or ''packet'']])</f>
        <v/>
      </c>
      <c r="P47" s="80" t="str">
        <f>IF(Master[[#This Row],[Inventory Type - Lookup Picker]]="","",Master[[#This Row],[Inventory Type - Lookup Picker]])</f>
        <v>SD</v>
      </c>
      <c r="Q47" s="45" t="str">
        <f t="shared" si="8"/>
        <v>Mike has</v>
      </c>
      <c r="R47" s="56">
        <f>IF(Master[[#This Row],[Latitude -decimal degrees]]="","",Master[[#This Row],[Latitude -decimal degrees]])</f>
        <v>39.565719999999999</v>
      </c>
      <c r="S47" s="56">
        <f>IF(Master[[#This Row],[Longitude -decimal degrees]]="","",Master[[#This Row],[Longitude -decimal degrees]])</f>
        <v>-119.49182999999999</v>
      </c>
      <c r="T47" s="30" t="str">
        <f>IF(Master[[#This Row],[Parent Inventory]]="","",Master[[#This Row],[Parent Inventory]])</f>
        <v/>
      </c>
      <c r="U47" s="30">
        <f>IF(Master[[#This Row],[Hundred Seed Weight -gram]]="","",Master[[#This Row],[Hundred Seed Weight -gram]])</f>
        <v>1.3272999999999999</v>
      </c>
      <c r="V47" s="30" t="str">
        <f>IF(Master[[#This Row],[Note (Inventory)]]="","",Master[[#This Row],[Note (Inventory)]])</f>
        <v/>
      </c>
    </row>
    <row r="48" spans="1:22" x14ac:dyDescent="0.25">
      <c r="A48" s="30"/>
      <c r="B48" s="151" t="str">
        <f>IF(Master[[#This Row],[Inventory Prefix]]="","",Master[[#This Row],[Inventory Prefix]])</f>
        <v>W6</v>
      </c>
      <c r="C48" s="151" t="str">
        <f>IF(Master[[#This Row],[Inventory Number]]="","",Master[[#This Row],[Inventory Number]])</f>
        <v/>
      </c>
      <c r="D48" s="78" t="str">
        <f>IF(Master[[#This Row],[Inventory Suffix]]="","",Master[[#This Row],[Inventory Suffix]])</f>
        <v/>
      </c>
      <c r="E48" s="30" t="str">
        <f>IF(Master[[#This Row],[Inventory Type - Lookup Picker]]="","",Master[[#This Row],[Inventory Type - Lookup Picker]])</f>
        <v>SD</v>
      </c>
      <c r="F48" s="151" t="str">
        <f>Master[[#This Row],[Accession Prefix (NPGS)]]&amp;" "&amp;Master[[#This Row],[Accession Number -Assigned]]</f>
        <v>W6 59634</v>
      </c>
      <c r="G48" s="78" t="str">
        <f>IF(Master[[#This Row],[Inventory Maintenance Policy]]="","",Master[[#This Row],[Inventory Maintenance Policy]])</f>
        <v>w6_native</v>
      </c>
      <c r="H48" s="30" t="str">
        <f>IF(Master[[#This Row],[Inventory Maintenance Site -W6]]="","",Master[[#This Row],[Inventory Maintenance Site -W6]])</f>
        <v>W6</v>
      </c>
      <c r="I48" s="30" t="str">
        <f>IF(RIGHT(TEXT(Inventory[[#This Row],[Inventory Suffix]],"00"),2)="01","Y",IF(RIGHT(TEXT(Inventory[[#This Row],[Inventory Suffix]],"00"),2)="c1","Y",IF(RIGHT(TEXT(Inventory[[#This Row],[Inventory Suffix]],"00"),2)="m1","Y","N")))</f>
        <v>N</v>
      </c>
      <c r="J48" s="30" t="str">
        <f>IF(Inventory[[#This Row],[Inventory Type]]="SD","Y",IF(Inventory[[#This Row],[Inventory Type]]="LV","Y","N"))</f>
        <v>Y</v>
      </c>
      <c r="K48" s="30" t="str">
        <f t="shared" si="5"/>
        <v>N</v>
      </c>
      <c r="L48" s="30" t="str">
        <f t="shared" si="6"/>
        <v>Original lot received</v>
      </c>
      <c r="M48" s="30" t="str">
        <f t="shared" si="7"/>
        <v>ORIG from SOS Project</v>
      </c>
      <c r="N48" s="80">
        <f>ROUNDDOWN(Master[[#This Row],[Quantity On Hand]],0)</f>
        <v>0</v>
      </c>
      <c r="O48" s="78" t="str">
        <f>IF(Master[[#This Row],[Quantity On Hand Units -''count'' or ''packet'']]="","",Master[[#This Row],[Quantity On Hand Units -''count'' or ''packet'']])</f>
        <v/>
      </c>
      <c r="P48" s="80" t="str">
        <f>IF(Master[[#This Row],[Inventory Type - Lookup Picker]]="","",Master[[#This Row],[Inventory Type - Lookup Picker]])</f>
        <v>SD</v>
      </c>
      <c r="Q48" s="45" t="str">
        <f t="shared" si="8"/>
        <v>Mike has</v>
      </c>
      <c r="R48" s="56">
        <f>IF(Master[[#This Row],[Latitude -decimal degrees]]="","",Master[[#This Row],[Latitude -decimal degrees]])</f>
        <v>39.565719999999999</v>
      </c>
      <c r="S48" s="56">
        <f>IF(Master[[#This Row],[Longitude -decimal degrees]]="","",Master[[#This Row],[Longitude -decimal degrees]])</f>
        <v>-119.49182999999999</v>
      </c>
      <c r="T48" s="30" t="str">
        <f>IF(Master[[#This Row],[Parent Inventory]]="","",Master[[#This Row],[Parent Inventory]])</f>
        <v/>
      </c>
      <c r="U48" s="30">
        <f>IF(Master[[#This Row],[Hundred Seed Weight -gram]]="","",Master[[#This Row],[Hundred Seed Weight -gram]])</f>
        <v>4.0399999999999998E-2</v>
      </c>
      <c r="V48" s="30" t="str">
        <f>IF(Master[[#This Row],[Note (Inventory)]]="","",Master[[#This Row],[Note (Inventory)]])</f>
        <v/>
      </c>
    </row>
    <row r="49" spans="1:22" x14ac:dyDescent="0.25">
      <c r="A49" s="30"/>
      <c r="B49" s="151" t="str">
        <f>IF(Master[[#This Row],[Inventory Prefix]]="","",Master[[#This Row],[Inventory Prefix]])</f>
        <v>W6</v>
      </c>
      <c r="C49" s="151" t="str">
        <f>IF(Master[[#This Row],[Inventory Number]]="","",Master[[#This Row],[Inventory Number]])</f>
        <v/>
      </c>
      <c r="D49" s="78" t="str">
        <f>IF(Master[[#This Row],[Inventory Suffix]]="","",Master[[#This Row],[Inventory Suffix]])</f>
        <v/>
      </c>
      <c r="E49" s="30" t="str">
        <f>IF(Master[[#This Row],[Inventory Type - Lookup Picker]]="","",Master[[#This Row],[Inventory Type - Lookup Picker]])</f>
        <v>SD</v>
      </c>
      <c r="F49" s="151" t="str">
        <f>Master[[#This Row],[Accession Prefix (NPGS)]]&amp;" "&amp;Master[[#This Row],[Accession Number -Assigned]]</f>
        <v>W6 59635</v>
      </c>
      <c r="G49" s="78" t="str">
        <f>IF(Master[[#This Row],[Inventory Maintenance Policy]]="","",Master[[#This Row],[Inventory Maintenance Policy]])</f>
        <v>w6_native</v>
      </c>
      <c r="H49" s="30" t="str">
        <f>IF(Master[[#This Row],[Inventory Maintenance Site -W6]]="","",Master[[#This Row],[Inventory Maintenance Site -W6]])</f>
        <v>W6</v>
      </c>
      <c r="I49" s="30" t="str">
        <f>IF(RIGHT(TEXT(Inventory[[#This Row],[Inventory Suffix]],"00"),2)="01","Y",IF(RIGHT(TEXT(Inventory[[#This Row],[Inventory Suffix]],"00"),2)="c1","Y",IF(RIGHT(TEXT(Inventory[[#This Row],[Inventory Suffix]],"00"),2)="m1","Y","N")))</f>
        <v>N</v>
      </c>
      <c r="J49" s="30" t="str">
        <f>IF(Inventory[[#This Row],[Inventory Type]]="SD","Y",IF(Inventory[[#This Row],[Inventory Type]]="LV","Y","N"))</f>
        <v>Y</v>
      </c>
      <c r="K49" s="30" t="str">
        <f t="shared" si="5"/>
        <v>N</v>
      </c>
      <c r="L49" s="30" t="str">
        <f t="shared" si="6"/>
        <v>Original lot received</v>
      </c>
      <c r="M49" s="30" t="str">
        <f t="shared" si="7"/>
        <v>ORIG from SOS Project</v>
      </c>
      <c r="N49" s="80">
        <f>ROUNDDOWN(Master[[#This Row],[Quantity On Hand]],0)</f>
        <v>0</v>
      </c>
      <c r="O49" s="78" t="str">
        <f>IF(Master[[#This Row],[Quantity On Hand Units -''count'' or ''packet'']]="","",Master[[#This Row],[Quantity On Hand Units -''count'' or ''packet'']])</f>
        <v/>
      </c>
      <c r="P49" s="80" t="str">
        <f>IF(Master[[#This Row],[Inventory Type - Lookup Picker]]="","",Master[[#This Row],[Inventory Type - Lookup Picker]])</f>
        <v>SD</v>
      </c>
      <c r="Q49" s="45" t="str">
        <f t="shared" si="8"/>
        <v>Mike has</v>
      </c>
      <c r="R49" s="56">
        <f>IF(Master[[#This Row],[Latitude -decimal degrees]]="","",Master[[#This Row],[Latitude -decimal degrees]])</f>
        <v>39.279220000000002</v>
      </c>
      <c r="S49" s="56">
        <f>IF(Master[[#This Row],[Longitude -decimal degrees]]="","",Master[[#This Row],[Longitude -decimal degrees]])</f>
        <v>-119.23858</v>
      </c>
      <c r="T49" s="30" t="str">
        <f>IF(Master[[#This Row],[Parent Inventory]]="","",Master[[#This Row],[Parent Inventory]])</f>
        <v/>
      </c>
      <c r="U49" s="30">
        <f>IF(Master[[#This Row],[Hundred Seed Weight -gram]]="","",Master[[#This Row],[Hundred Seed Weight -gram]])</f>
        <v>1.5299999999999999E-2</v>
      </c>
      <c r="V49" s="30" t="str">
        <f>IF(Master[[#This Row],[Note (Inventory)]]="","",Master[[#This Row],[Note (Inventory)]])</f>
        <v/>
      </c>
    </row>
    <row r="50" spans="1:22" x14ac:dyDescent="0.25">
      <c r="A50" s="30"/>
      <c r="B50" s="151" t="str">
        <f>IF(Master[[#This Row],[Inventory Prefix]]="","",Master[[#This Row],[Inventory Prefix]])</f>
        <v>W6</v>
      </c>
      <c r="C50" s="151" t="str">
        <f>IF(Master[[#This Row],[Inventory Number]]="","",Master[[#This Row],[Inventory Number]])</f>
        <v/>
      </c>
      <c r="D50" s="78" t="str">
        <f>IF(Master[[#This Row],[Inventory Suffix]]="","",Master[[#This Row],[Inventory Suffix]])</f>
        <v/>
      </c>
      <c r="E50" s="30" t="str">
        <f>IF(Master[[#This Row],[Inventory Type - Lookup Picker]]="","",Master[[#This Row],[Inventory Type - Lookup Picker]])</f>
        <v>SD</v>
      </c>
      <c r="F50" s="151" t="str">
        <f>Master[[#This Row],[Accession Prefix (NPGS)]]&amp;" "&amp;Master[[#This Row],[Accession Number -Assigned]]</f>
        <v>W6 59636</v>
      </c>
      <c r="G50" s="78" t="str">
        <f>IF(Master[[#This Row],[Inventory Maintenance Policy]]="","",Master[[#This Row],[Inventory Maintenance Policy]])</f>
        <v>w6_native</v>
      </c>
      <c r="H50" s="30" t="str">
        <f>IF(Master[[#This Row],[Inventory Maintenance Site -W6]]="","",Master[[#This Row],[Inventory Maintenance Site -W6]])</f>
        <v>W6</v>
      </c>
      <c r="I50" s="30" t="str">
        <f>IF(RIGHT(TEXT(Inventory[[#This Row],[Inventory Suffix]],"00"),2)="01","Y",IF(RIGHT(TEXT(Inventory[[#This Row],[Inventory Suffix]],"00"),2)="c1","Y",IF(RIGHT(TEXT(Inventory[[#This Row],[Inventory Suffix]],"00"),2)="m1","Y","N")))</f>
        <v>N</v>
      </c>
      <c r="J50" s="30" t="str">
        <f>IF(Inventory[[#This Row],[Inventory Type]]="SD","Y",IF(Inventory[[#This Row],[Inventory Type]]="LV","Y","N"))</f>
        <v>Y</v>
      </c>
      <c r="K50" s="30" t="str">
        <f t="shared" si="5"/>
        <v>N</v>
      </c>
      <c r="L50" s="30" t="str">
        <f t="shared" si="6"/>
        <v>Original lot received</v>
      </c>
      <c r="M50" s="30" t="str">
        <f t="shared" si="7"/>
        <v>ORIG from SOS Project</v>
      </c>
      <c r="N50" s="80">
        <f>ROUNDDOWN(Master[[#This Row],[Quantity On Hand]],0)</f>
        <v>0</v>
      </c>
      <c r="O50" s="78" t="str">
        <f>IF(Master[[#This Row],[Quantity On Hand Units -''count'' or ''packet'']]="","",Master[[#This Row],[Quantity On Hand Units -''count'' or ''packet'']])</f>
        <v/>
      </c>
      <c r="P50" s="80" t="str">
        <f>IF(Master[[#This Row],[Inventory Type - Lookup Picker]]="","",Master[[#This Row],[Inventory Type - Lookup Picker]])</f>
        <v>SD</v>
      </c>
      <c r="Q50" s="45" t="str">
        <f t="shared" si="8"/>
        <v>Mike has</v>
      </c>
      <c r="R50" s="56">
        <f>IF(Master[[#This Row],[Latitude -decimal degrees]]="","",Master[[#This Row],[Latitude -decimal degrees]])</f>
        <v>39.859160000000003</v>
      </c>
      <c r="S50" s="56">
        <f>IF(Master[[#This Row],[Longitude -decimal degrees]]="","",Master[[#This Row],[Longitude -decimal degrees]])</f>
        <v>-119.825</v>
      </c>
      <c r="T50" s="30" t="str">
        <f>IF(Master[[#This Row],[Parent Inventory]]="","",Master[[#This Row],[Parent Inventory]])</f>
        <v/>
      </c>
      <c r="U50" s="30">
        <f>IF(Master[[#This Row],[Hundred Seed Weight -gram]]="","",Master[[#This Row],[Hundred Seed Weight -gram]])</f>
        <v>1.6899999999999998E-2</v>
      </c>
      <c r="V50" s="30" t="str">
        <f>IF(Master[[#This Row],[Note (Inventory)]]="","",Master[[#This Row],[Note (Inventory)]])</f>
        <v/>
      </c>
    </row>
    <row r="51" spans="1:22" x14ac:dyDescent="0.25">
      <c r="A51" s="30"/>
      <c r="B51" s="151" t="str">
        <f>IF(Master[[#This Row],[Inventory Prefix]]="","",Master[[#This Row],[Inventory Prefix]])</f>
        <v>W6</v>
      </c>
      <c r="C51" s="151" t="str">
        <f>IF(Master[[#This Row],[Inventory Number]]="","",Master[[#This Row],[Inventory Number]])</f>
        <v/>
      </c>
      <c r="D51" s="78" t="str">
        <f>IF(Master[[#This Row],[Inventory Suffix]]="","",Master[[#This Row],[Inventory Suffix]])</f>
        <v/>
      </c>
      <c r="E51" s="30" t="str">
        <f>IF(Master[[#This Row],[Inventory Type - Lookup Picker]]="","",Master[[#This Row],[Inventory Type - Lookup Picker]])</f>
        <v>SD</v>
      </c>
      <c r="F51" s="151" t="str">
        <f>Master[[#This Row],[Accession Prefix (NPGS)]]&amp;" "&amp;Master[[#This Row],[Accession Number -Assigned]]</f>
        <v>W6 59637</v>
      </c>
      <c r="G51" s="78" t="str">
        <f>IF(Master[[#This Row],[Inventory Maintenance Policy]]="","",Master[[#This Row],[Inventory Maintenance Policy]])</f>
        <v>w6_native</v>
      </c>
      <c r="H51" s="30" t="str">
        <f>IF(Master[[#This Row],[Inventory Maintenance Site -W6]]="","",Master[[#This Row],[Inventory Maintenance Site -W6]])</f>
        <v>W6</v>
      </c>
      <c r="I51" s="30" t="str">
        <f>IF(RIGHT(TEXT(Inventory[[#This Row],[Inventory Suffix]],"00"),2)="01","Y",IF(RIGHT(TEXT(Inventory[[#This Row],[Inventory Suffix]],"00"),2)="c1","Y",IF(RIGHT(TEXT(Inventory[[#This Row],[Inventory Suffix]],"00"),2)="m1","Y","N")))</f>
        <v>N</v>
      </c>
      <c r="J51" s="30" t="str">
        <f>IF(Inventory[[#This Row],[Inventory Type]]="SD","Y",IF(Inventory[[#This Row],[Inventory Type]]="LV","Y","N"))</f>
        <v>Y</v>
      </c>
      <c r="K51" s="30" t="str">
        <f t="shared" si="5"/>
        <v>N</v>
      </c>
      <c r="L51" s="30" t="str">
        <f t="shared" si="6"/>
        <v>Original lot received</v>
      </c>
      <c r="M51" s="30" t="str">
        <f t="shared" si="7"/>
        <v>ORIG from SOS Project</v>
      </c>
      <c r="N51" s="80">
        <f>ROUNDDOWN(Master[[#This Row],[Quantity On Hand]],0)</f>
        <v>0</v>
      </c>
      <c r="O51" s="78" t="str">
        <f>IF(Master[[#This Row],[Quantity On Hand Units -''count'' or ''packet'']]="","",Master[[#This Row],[Quantity On Hand Units -''count'' or ''packet'']])</f>
        <v/>
      </c>
      <c r="P51" s="80" t="str">
        <f>IF(Master[[#This Row],[Inventory Type - Lookup Picker]]="","",Master[[#This Row],[Inventory Type - Lookup Picker]])</f>
        <v>SD</v>
      </c>
      <c r="Q51" s="45" t="str">
        <f t="shared" si="8"/>
        <v>Mike has</v>
      </c>
      <c r="R51" s="56">
        <f>IF(Master[[#This Row],[Latitude -decimal degrees]]="","",Master[[#This Row],[Latitude -decimal degrees]])</f>
        <v>38.776940000000003</v>
      </c>
      <c r="S51" s="56">
        <f>IF(Master[[#This Row],[Longitude -decimal degrees]]="","",Master[[#This Row],[Longitude -decimal degrees]])</f>
        <v>-119.02916</v>
      </c>
      <c r="T51" s="30" t="str">
        <f>IF(Master[[#This Row],[Parent Inventory]]="","",Master[[#This Row],[Parent Inventory]])</f>
        <v/>
      </c>
      <c r="U51" s="30">
        <f>IF(Master[[#This Row],[Hundred Seed Weight -gram]]="","",Master[[#This Row],[Hundred Seed Weight -gram]])</f>
        <v>4.7000000000000002E-3</v>
      </c>
      <c r="V51" s="30" t="str">
        <f>IF(Master[[#This Row],[Note (Inventory)]]="","",Master[[#This Row],[Note (Inventory)]])</f>
        <v/>
      </c>
    </row>
    <row r="52" spans="1:22" x14ac:dyDescent="0.25">
      <c r="A52" s="30"/>
      <c r="B52" s="151" t="str">
        <f>IF(Master[[#This Row],[Inventory Prefix]]="","",Master[[#This Row],[Inventory Prefix]])</f>
        <v>W6</v>
      </c>
      <c r="C52" s="151" t="str">
        <f>IF(Master[[#This Row],[Inventory Number]]="","",Master[[#This Row],[Inventory Number]])</f>
        <v/>
      </c>
      <c r="D52" s="78" t="str">
        <f>IF(Master[[#This Row],[Inventory Suffix]]="","",Master[[#This Row],[Inventory Suffix]])</f>
        <v/>
      </c>
      <c r="E52" s="30" t="str">
        <f>IF(Master[[#This Row],[Inventory Type - Lookup Picker]]="","",Master[[#This Row],[Inventory Type - Lookup Picker]])</f>
        <v>SD</v>
      </c>
      <c r="F52" s="151" t="str">
        <f>Master[[#This Row],[Accession Prefix (NPGS)]]&amp;" "&amp;Master[[#This Row],[Accession Number -Assigned]]</f>
        <v>W6 59638</v>
      </c>
      <c r="G52" s="78" t="str">
        <f>IF(Master[[#This Row],[Inventory Maintenance Policy]]="","",Master[[#This Row],[Inventory Maintenance Policy]])</f>
        <v>w6_native</v>
      </c>
      <c r="H52" s="30" t="str">
        <f>IF(Master[[#This Row],[Inventory Maintenance Site -W6]]="","",Master[[#This Row],[Inventory Maintenance Site -W6]])</f>
        <v>W6</v>
      </c>
      <c r="I52" s="30" t="str">
        <f>IF(RIGHT(TEXT(Inventory[[#This Row],[Inventory Suffix]],"00"),2)="01","Y",IF(RIGHT(TEXT(Inventory[[#This Row],[Inventory Suffix]],"00"),2)="c1","Y",IF(RIGHT(TEXT(Inventory[[#This Row],[Inventory Suffix]],"00"),2)="m1","Y","N")))</f>
        <v>N</v>
      </c>
      <c r="J52" s="30" t="str">
        <f>IF(Inventory[[#This Row],[Inventory Type]]="SD","Y",IF(Inventory[[#This Row],[Inventory Type]]="LV","Y","N"))</f>
        <v>Y</v>
      </c>
      <c r="K52" s="30" t="str">
        <f t="shared" si="5"/>
        <v>N</v>
      </c>
      <c r="L52" s="30" t="str">
        <f t="shared" si="6"/>
        <v>Original lot received</v>
      </c>
      <c r="M52" s="30" t="str">
        <f t="shared" si="7"/>
        <v>ORIG from SOS Project</v>
      </c>
      <c r="N52" s="80">
        <f>ROUNDDOWN(Master[[#This Row],[Quantity On Hand]],0)</f>
        <v>0</v>
      </c>
      <c r="O52" s="78" t="str">
        <f>IF(Master[[#This Row],[Quantity On Hand Units -''count'' or ''packet'']]="","",Master[[#This Row],[Quantity On Hand Units -''count'' or ''packet'']])</f>
        <v/>
      </c>
      <c r="P52" s="80" t="str">
        <f>IF(Master[[#This Row],[Inventory Type - Lookup Picker]]="","",Master[[#This Row],[Inventory Type - Lookup Picker]])</f>
        <v>SD</v>
      </c>
      <c r="Q52" s="45" t="str">
        <f t="shared" si="8"/>
        <v>Mike has</v>
      </c>
      <c r="R52" s="56">
        <f>IF(Master[[#This Row],[Latitude -decimal degrees]]="","",Master[[#This Row],[Latitude -decimal degrees]])</f>
        <v>38.779470000000003</v>
      </c>
      <c r="S52" s="56">
        <f>IF(Master[[#This Row],[Longitude -decimal degrees]]="","",Master[[#This Row],[Longitude -decimal degrees]])</f>
        <v>-119.02327</v>
      </c>
      <c r="T52" s="30" t="str">
        <f>IF(Master[[#This Row],[Parent Inventory]]="","",Master[[#This Row],[Parent Inventory]])</f>
        <v/>
      </c>
      <c r="U52" s="30">
        <f>IF(Master[[#This Row],[Hundred Seed Weight -gram]]="","",Master[[#This Row],[Hundred Seed Weight -gram]])</f>
        <v>7.1000000000000004E-3</v>
      </c>
      <c r="V52" s="30" t="str">
        <f>IF(Master[[#This Row],[Note (Inventory)]]="","",Master[[#This Row],[Note (Inventory)]])</f>
        <v/>
      </c>
    </row>
    <row r="53" spans="1:22" x14ac:dyDescent="0.25">
      <c r="A53" s="30"/>
      <c r="B53" s="151" t="str">
        <f>IF(Master[[#This Row],[Inventory Prefix]]="","",Master[[#This Row],[Inventory Prefix]])</f>
        <v>W6</v>
      </c>
      <c r="C53" s="151" t="str">
        <f>IF(Master[[#This Row],[Inventory Number]]="","",Master[[#This Row],[Inventory Number]])</f>
        <v/>
      </c>
      <c r="D53" s="78" t="str">
        <f>IF(Master[[#This Row],[Inventory Suffix]]="","",Master[[#This Row],[Inventory Suffix]])</f>
        <v/>
      </c>
      <c r="E53" s="30" t="str">
        <f>IF(Master[[#This Row],[Inventory Type - Lookup Picker]]="","",Master[[#This Row],[Inventory Type - Lookup Picker]])</f>
        <v>SD</v>
      </c>
      <c r="F53" s="151" t="str">
        <f>Master[[#This Row],[Accession Prefix (NPGS)]]&amp;" "&amp;Master[[#This Row],[Accession Number -Assigned]]</f>
        <v>W6 59639</v>
      </c>
      <c r="G53" s="78" t="str">
        <f>IF(Master[[#This Row],[Inventory Maintenance Policy]]="","",Master[[#This Row],[Inventory Maintenance Policy]])</f>
        <v>w6_native</v>
      </c>
      <c r="H53" s="30" t="str">
        <f>IF(Master[[#This Row],[Inventory Maintenance Site -W6]]="","",Master[[#This Row],[Inventory Maintenance Site -W6]])</f>
        <v>W6</v>
      </c>
      <c r="I53" s="30" t="str">
        <f>IF(RIGHT(TEXT(Inventory[[#This Row],[Inventory Suffix]],"00"),2)="01","Y",IF(RIGHT(TEXT(Inventory[[#This Row],[Inventory Suffix]],"00"),2)="c1","Y",IF(RIGHT(TEXT(Inventory[[#This Row],[Inventory Suffix]],"00"),2)="m1","Y","N")))</f>
        <v>N</v>
      </c>
      <c r="J53" s="30" t="str">
        <f>IF(Inventory[[#This Row],[Inventory Type]]="SD","Y",IF(Inventory[[#This Row],[Inventory Type]]="LV","Y","N"))</f>
        <v>Y</v>
      </c>
      <c r="K53" s="30" t="str">
        <f t="shared" si="5"/>
        <v>N</v>
      </c>
      <c r="L53" s="30" t="str">
        <f t="shared" si="6"/>
        <v>Original lot received</v>
      </c>
      <c r="M53" s="30" t="str">
        <f t="shared" si="7"/>
        <v>ORIG from SOS Project</v>
      </c>
      <c r="N53" s="80">
        <f>ROUNDDOWN(Master[[#This Row],[Quantity On Hand]],0)</f>
        <v>0</v>
      </c>
      <c r="O53" s="78" t="str">
        <f>IF(Master[[#This Row],[Quantity On Hand Units -''count'' or ''packet'']]="","",Master[[#This Row],[Quantity On Hand Units -''count'' or ''packet'']])</f>
        <v/>
      </c>
      <c r="P53" s="80" t="str">
        <f>IF(Master[[#This Row],[Inventory Type - Lookup Picker]]="","",Master[[#This Row],[Inventory Type - Lookup Picker]])</f>
        <v>SD</v>
      </c>
      <c r="Q53" s="45" t="str">
        <f t="shared" si="8"/>
        <v>Mike has</v>
      </c>
      <c r="R53" s="56">
        <f>IF(Master[[#This Row],[Latitude -decimal degrees]]="","",Master[[#This Row],[Latitude -decimal degrees]])</f>
        <v>38.776940000000003</v>
      </c>
      <c r="S53" s="56">
        <f>IF(Master[[#This Row],[Longitude -decimal degrees]]="","",Master[[#This Row],[Longitude -decimal degrees]])</f>
        <v>-119.02916</v>
      </c>
      <c r="T53" s="30" t="str">
        <f>IF(Master[[#This Row],[Parent Inventory]]="","",Master[[#This Row],[Parent Inventory]])</f>
        <v/>
      </c>
      <c r="U53" s="30">
        <f>IF(Master[[#This Row],[Hundred Seed Weight -gram]]="","",Master[[#This Row],[Hundred Seed Weight -gram]])</f>
        <v>7.4999999999999997E-3</v>
      </c>
      <c r="V53" s="30" t="str">
        <f>IF(Master[[#This Row],[Note (Inventory)]]="","",Master[[#This Row],[Note (Inventory)]])</f>
        <v/>
      </c>
    </row>
    <row r="54" spans="1:22" x14ac:dyDescent="0.25">
      <c r="A54" s="30"/>
      <c r="B54" s="151" t="str">
        <f>IF(Master[[#This Row],[Inventory Prefix]]="","",Master[[#This Row],[Inventory Prefix]])</f>
        <v>W6</v>
      </c>
      <c r="C54" s="151" t="str">
        <f>IF(Master[[#This Row],[Inventory Number]]="","",Master[[#This Row],[Inventory Number]])</f>
        <v/>
      </c>
      <c r="D54" s="78" t="str">
        <f>IF(Master[[#This Row],[Inventory Suffix]]="","",Master[[#This Row],[Inventory Suffix]])</f>
        <v/>
      </c>
      <c r="E54" s="30" t="str">
        <f>IF(Master[[#This Row],[Inventory Type - Lookup Picker]]="","",Master[[#This Row],[Inventory Type - Lookup Picker]])</f>
        <v>SD</v>
      </c>
      <c r="F54" s="151" t="str">
        <f>Master[[#This Row],[Accession Prefix (NPGS)]]&amp;" "&amp;Master[[#This Row],[Accession Number -Assigned]]</f>
        <v>W6 59640</v>
      </c>
      <c r="G54" s="78" t="str">
        <f>IF(Master[[#This Row],[Inventory Maintenance Policy]]="","",Master[[#This Row],[Inventory Maintenance Policy]])</f>
        <v>w6_native</v>
      </c>
      <c r="H54" s="30" t="str">
        <f>IF(Master[[#This Row],[Inventory Maintenance Site -W6]]="","",Master[[#This Row],[Inventory Maintenance Site -W6]])</f>
        <v>W6</v>
      </c>
      <c r="I54" s="30" t="str">
        <f>IF(RIGHT(TEXT(Inventory[[#This Row],[Inventory Suffix]],"00"),2)="01","Y",IF(RIGHT(TEXT(Inventory[[#This Row],[Inventory Suffix]],"00"),2)="c1","Y",IF(RIGHT(TEXT(Inventory[[#This Row],[Inventory Suffix]],"00"),2)="m1","Y","N")))</f>
        <v>N</v>
      </c>
      <c r="J54" s="30" t="str">
        <f>IF(Inventory[[#This Row],[Inventory Type]]="SD","Y",IF(Inventory[[#This Row],[Inventory Type]]="LV","Y","N"))</f>
        <v>Y</v>
      </c>
      <c r="K54" s="30" t="str">
        <f t="shared" ref="K54:K85" si="9">"N"</f>
        <v>N</v>
      </c>
      <c r="L54" s="30" t="str">
        <f t="shared" si="6"/>
        <v>Original lot received</v>
      </c>
      <c r="M54" s="30" t="str">
        <f t="shared" si="7"/>
        <v>ORIG from SOS Project</v>
      </c>
      <c r="N54" s="80">
        <f>ROUNDDOWN(Master[[#This Row],[Quantity On Hand]],0)</f>
        <v>0</v>
      </c>
      <c r="O54" s="78" t="str">
        <f>IF(Master[[#This Row],[Quantity On Hand Units -''count'' or ''packet'']]="","",Master[[#This Row],[Quantity On Hand Units -''count'' or ''packet'']])</f>
        <v/>
      </c>
      <c r="P54" s="80" t="str">
        <f>IF(Master[[#This Row],[Inventory Type - Lookup Picker]]="","",Master[[#This Row],[Inventory Type - Lookup Picker]])</f>
        <v>SD</v>
      </c>
      <c r="Q54" s="45" t="str">
        <f t="shared" si="8"/>
        <v>Mike has</v>
      </c>
      <c r="R54" s="56">
        <f>IF(Master[[#This Row],[Latitude -decimal degrees]]="","",Master[[#This Row],[Latitude -decimal degrees]])</f>
        <v>39.239249999999998</v>
      </c>
      <c r="S54" s="56">
        <f>IF(Master[[#This Row],[Longitude -decimal degrees]]="","",Master[[#This Row],[Longitude -decimal degrees]])</f>
        <v>-119.76730000000001</v>
      </c>
      <c r="T54" s="30" t="str">
        <f>IF(Master[[#This Row],[Parent Inventory]]="","",Master[[#This Row],[Parent Inventory]])</f>
        <v/>
      </c>
      <c r="U54" s="30">
        <f>IF(Master[[#This Row],[Hundred Seed Weight -gram]]="","",Master[[#This Row],[Hundred Seed Weight -gram]])</f>
        <v>2.23E-2</v>
      </c>
      <c r="V54" s="30" t="str">
        <f>IF(Master[[#This Row],[Note (Inventory)]]="","",Master[[#This Row],[Note (Inventory)]])</f>
        <v/>
      </c>
    </row>
    <row r="55" spans="1:22" x14ac:dyDescent="0.25">
      <c r="A55" s="30"/>
      <c r="B55" s="151" t="str">
        <f>IF(Master[[#This Row],[Inventory Prefix]]="","",Master[[#This Row],[Inventory Prefix]])</f>
        <v>W6</v>
      </c>
      <c r="C55" s="151" t="str">
        <f>IF(Master[[#This Row],[Inventory Number]]="","",Master[[#This Row],[Inventory Number]])</f>
        <v/>
      </c>
      <c r="D55" s="78" t="str">
        <f>IF(Master[[#This Row],[Inventory Suffix]]="","",Master[[#This Row],[Inventory Suffix]])</f>
        <v/>
      </c>
      <c r="E55" s="30" t="str">
        <f>IF(Master[[#This Row],[Inventory Type - Lookup Picker]]="","",Master[[#This Row],[Inventory Type - Lookup Picker]])</f>
        <v>SD</v>
      </c>
      <c r="F55" s="151" t="str">
        <f>Master[[#This Row],[Accession Prefix (NPGS)]]&amp;" "&amp;Master[[#This Row],[Accession Number -Assigned]]</f>
        <v>W6 59641</v>
      </c>
      <c r="G55" s="78" t="str">
        <f>IF(Master[[#This Row],[Inventory Maintenance Policy]]="","",Master[[#This Row],[Inventory Maintenance Policy]])</f>
        <v>w6_native</v>
      </c>
      <c r="H55" s="30" t="str">
        <f>IF(Master[[#This Row],[Inventory Maintenance Site -W6]]="","",Master[[#This Row],[Inventory Maintenance Site -W6]])</f>
        <v>W6</v>
      </c>
      <c r="I55" s="30" t="str">
        <f>IF(RIGHT(TEXT(Inventory[[#This Row],[Inventory Suffix]],"00"),2)="01","Y",IF(RIGHT(TEXT(Inventory[[#This Row],[Inventory Suffix]],"00"),2)="c1","Y",IF(RIGHT(TEXT(Inventory[[#This Row],[Inventory Suffix]],"00"),2)="m1","Y","N")))</f>
        <v>N</v>
      </c>
      <c r="J55" s="30" t="str">
        <f>IF(Inventory[[#This Row],[Inventory Type]]="SD","Y",IF(Inventory[[#This Row],[Inventory Type]]="LV","Y","N"))</f>
        <v>Y</v>
      </c>
      <c r="K55" s="30" t="str">
        <f t="shared" si="9"/>
        <v>N</v>
      </c>
      <c r="L55" s="30" t="str">
        <f t="shared" si="6"/>
        <v>Original lot received</v>
      </c>
      <c r="M55" s="30" t="str">
        <f t="shared" si="7"/>
        <v>ORIG from SOS Project</v>
      </c>
      <c r="N55" s="80">
        <f>ROUNDDOWN(Master[[#This Row],[Quantity On Hand]],0)</f>
        <v>0</v>
      </c>
      <c r="O55" s="78" t="str">
        <f>IF(Master[[#This Row],[Quantity On Hand Units -''count'' or ''packet'']]="","",Master[[#This Row],[Quantity On Hand Units -''count'' or ''packet'']])</f>
        <v/>
      </c>
      <c r="P55" s="80" t="str">
        <f>IF(Master[[#This Row],[Inventory Type - Lookup Picker]]="","",Master[[#This Row],[Inventory Type - Lookup Picker]])</f>
        <v>SD</v>
      </c>
      <c r="Q55" s="45" t="str">
        <f t="shared" si="8"/>
        <v>Mike has</v>
      </c>
      <c r="R55" s="56">
        <f>IF(Master[[#This Row],[Latitude -decimal degrees]]="","",Master[[#This Row],[Latitude -decimal degrees]])</f>
        <v>38.053719999999998</v>
      </c>
      <c r="S55" s="56">
        <f>IF(Master[[#This Row],[Longitude -decimal degrees]]="","",Master[[#This Row],[Longitude -decimal degrees]])</f>
        <v>-119.07568999999999</v>
      </c>
      <c r="T55" s="30" t="str">
        <f>IF(Master[[#This Row],[Parent Inventory]]="","",Master[[#This Row],[Parent Inventory]])</f>
        <v/>
      </c>
      <c r="U55" s="30">
        <f>IF(Master[[#This Row],[Hundred Seed Weight -gram]]="","",Master[[#This Row],[Hundred Seed Weight -gram]])</f>
        <v>1.4500000000000001E-2</v>
      </c>
      <c r="V55" s="30" t="str">
        <f>IF(Master[[#This Row],[Note (Inventory)]]="","",Master[[#This Row],[Note (Inventory)]])</f>
        <v/>
      </c>
    </row>
    <row r="56" spans="1:22" x14ac:dyDescent="0.25">
      <c r="A56" s="30"/>
      <c r="B56" s="151" t="str">
        <f>IF(Master[[#This Row],[Inventory Prefix]]="","",Master[[#This Row],[Inventory Prefix]])</f>
        <v>W6</v>
      </c>
      <c r="C56" s="151" t="str">
        <f>IF(Master[[#This Row],[Inventory Number]]="","",Master[[#This Row],[Inventory Number]])</f>
        <v/>
      </c>
      <c r="D56" s="78" t="str">
        <f>IF(Master[[#This Row],[Inventory Suffix]]="","",Master[[#This Row],[Inventory Suffix]])</f>
        <v/>
      </c>
      <c r="E56" s="30" t="str">
        <f>IF(Master[[#This Row],[Inventory Type - Lookup Picker]]="","",Master[[#This Row],[Inventory Type - Lookup Picker]])</f>
        <v>SD</v>
      </c>
      <c r="F56" s="151" t="str">
        <f>Master[[#This Row],[Accession Prefix (NPGS)]]&amp;" "&amp;Master[[#This Row],[Accession Number -Assigned]]</f>
        <v>W6 59642</v>
      </c>
      <c r="G56" s="78" t="str">
        <f>IF(Master[[#This Row],[Inventory Maintenance Policy]]="","",Master[[#This Row],[Inventory Maintenance Policy]])</f>
        <v>w6_native</v>
      </c>
      <c r="H56" s="30" t="str">
        <f>IF(Master[[#This Row],[Inventory Maintenance Site -W6]]="","",Master[[#This Row],[Inventory Maintenance Site -W6]])</f>
        <v>W6</v>
      </c>
      <c r="I56" s="30" t="str">
        <f>IF(RIGHT(TEXT(Inventory[[#This Row],[Inventory Suffix]],"00"),2)="01","Y",IF(RIGHT(TEXT(Inventory[[#This Row],[Inventory Suffix]],"00"),2)="c1","Y",IF(RIGHT(TEXT(Inventory[[#This Row],[Inventory Suffix]],"00"),2)="m1","Y","N")))</f>
        <v>N</v>
      </c>
      <c r="J56" s="30" t="str">
        <f>IF(Inventory[[#This Row],[Inventory Type]]="SD","Y",IF(Inventory[[#This Row],[Inventory Type]]="LV","Y","N"))</f>
        <v>Y</v>
      </c>
      <c r="K56" s="30" t="str">
        <f t="shared" si="9"/>
        <v>N</v>
      </c>
      <c r="L56" s="30" t="str">
        <f t="shared" si="6"/>
        <v>Original lot received</v>
      </c>
      <c r="M56" s="30" t="str">
        <f t="shared" si="7"/>
        <v>ORIG from SOS Project</v>
      </c>
      <c r="N56" s="80">
        <f>ROUNDDOWN(Master[[#This Row],[Quantity On Hand]],0)</f>
        <v>0</v>
      </c>
      <c r="O56" s="78" t="str">
        <f>IF(Master[[#This Row],[Quantity On Hand Units -''count'' or ''packet'']]="","",Master[[#This Row],[Quantity On Hand Units -''count'' or ''packet'']])</f>
        <v/>
      </c>
      <c r="P56" s="80" t="str">
        <f>IF(Master[[#This Row],[Inventory Type - Lookup Picker]]="","",Master[[#This Row],[Inventory Type - Lookup Picker]])</f>
        <v>SD</v>
      </c>
      <c r="Q56" s="45" t="str">
        <f t="shared" si="8"/>
        <v>Mike has</v>
      </c>
      <c r="R56" s="56">
        <f>IF(Master[[#This Row],[Latitude -decimal degrees]]="","",Master[[#This Row],[Latitude -decimal degrees]])</f>
        <v>38.055250000000001</v>
      </c>
      <c r="S56" s="56">
        <f>IF(Master[[#This Row],[Longitude -decimal degrees]]="","",Master[[#This Row],[Longitude -decimal degrees]])</f>
        <v>-119.06601999999999</v>
      </c>
      <c r="T56" s="30" t="str">
        <f>IF(Master[[#This Row],[Parent Inventory]]="","",Master[[#This Row],[Parent Inventory]])</f>
        <v/>
      </c>
      <c r="U56" s="30">
        <f>IF(Master[[#This Row],[Hundred Seed Weight -gram]]="","",Master[[#This Row],[Hundred Seed Weight -gram]])</f>
        <v>5.1700000000000003E-2</v>
      </c>
      <c r="V56" s="30" t="str">
        <f>IF(Master[[#This Row],[Note (Inventory)]]="","",Master[[#This Row],[Note (Inventory)]])</f>
        <v/>
      </c>
    </row>
    <row r="57" spans="1:22" x14ac:dyDescent="0.25">
      <c r="A57" s="30"/>
      <c r="B57" s="151" t="str">
        <f>IF(Master[[#This Row],[Inventory Prefix]]="","",Master[[#This Row],[Inventory Prefix]])</f>
        <v>W6</v>
      </c>
      <c r="C57" s="151" t="str">
        <f>IF(Master[[#This Row],[Inventory Number]]="","",Master[[#This Row],[Inventory Number]])</f>
        <v/>
      </c>
      <c r="D57" s="78" t="str">
        <f>IF(Master[[#This Row],[Inventory Suffix]]="","",Master[[#This Row],[Inventory Suffix]])</f>
        <v/>
      </c>
      <c r="E57" s="30" t="str">
        <f>IF(Master[[#This Row],[Inventory Type - Lookup Picker]]="","",Master[[#This Row],[Inventory Type - Lookup Picker]])</f>
        <v>SD</v>
      </c>
      <c r="F57" s="151" t="str">
        <f>Master[[#This Row],[Accession Prefix (NPGS)]]&amp;" "&amp;Master[[#This Row],[Accession Number -Assigned]]</f>
        <v>W6 59643</v>
      </c>
      <c r="G57" s="78" t="str">
        <f>IF(Master[[#This Row],[Inventory Maintenance Policy]]="","",Master[[#This Row],[Inventory Maintenance Policy]])</f>
        <v>w6_native</v>
      </c>
      <c r="H57" s="30" t="str">
        <f>IF(Master[[#This Row],[Inventory Maintenance Site -W6]]="","",Master[[#This Row],[Inventory Maintenance Site -W6]])</f>
        <v>W6</v>
      </c>
      <c r="I57" s="30" t="str">
        <f>IF(RIGHT(TEXT(Inventory[[#This Row],[Inventory Suffix]],"00"),2)="01","Y",IF(RIGHT(TEXT(Inventory[[#This Row],[Inventory Suffix]],"00"),2)="c1","Y",IF(RIGHT(TEXT(Inventory[[#This Row],[Inventory Suffix]],"00"),2)="m1","Y","N")))</f>
        <v>N</v>
      </c>
      <c r="J57" s="30" t="str">
        <f>IF(Inventory[[#This Row],[Inventory Type]]="SD","Y",IF(Inventory[[#This Row],[Inventory Type]]="LV","Y","N"))</f>
        <v>Y</v>
      </c>
      <c r="K57" s="30" t="str">
        <f t="shared" si="9"/>
        <v>N</v>
      </c>
      <c r="L57" s="30" t="str">
        <f t="shared" si="6"/>
        <v>Original lot received</v>
      </c>
      <c r="M57" s="30" t="str">
        <f t="shared" si="7"/>
        <v>ORIG from SOS Project</v>
      </c>
      <c r="N57" s="80">
        <f>ROUNDDOWN(Master[[#This Row],[Quantity On Hand]],0)</f>
        <v>0</v>
      </c>
      <c r="O57" s="78" t="str">
        <f>IF(Master[[#This Row],[Quantity On Hand Units -''count'' or ''packet'']]="","",Master[[#This Row],[Quantity On Hand Units -''count'' or ''packet'']])</f>
        <v/>
      </c>
      <c r="P57" s="80" t="str">
        <f>IF(Master[[#This Row],[Inventory Type - Lookup Picker]]="","",Master[[#This Row],[Inventory Type - Lookup Picker]])</f>
        <v>SD</v>
      </c>
      <c r="Q57" s="45" t="str">
        <f t="shared" si="8"/>
        <v>Mike has</v>
      </c>
      <c r="R57" s="56">
        <f>IF(Master[[#This Row],[Latitude -decimal degrees]]="","",Master[[#This Row],[Latitude -decimal degrees]])</f>
        <v>39.773299999999999</v>
      </c>
      <c r="S57" s="56">
        <f>IF(Master[[#This Row],[Longitude -decimal degrees]]="","",Master[[#This Row],[Longitude -decimal degrees]])</f>
        <v>-113.10666000000001</v>
      </c>
      <c r="T57" s="30" t="str">
        <f>IF(Master[[#This Row],[Parent Inventory]]="","",Master[[#This Row],[Parent Inventory]])</f>
        <v/>
      </c>
      <c r="U57" s="30">
        <f>IF(Master[[#This Row],[Hundred Seed Weight -gram]]="","",Master[[#This Row],[Hundred Seed Weight -gram]])</f>
        <v>4.0099999999999997E-2</v>
      </c>
      <c r="V57" s="30" t="str">
        <f>IF(Master[[#This Row],[Note (Inventory)]]="","",Master[[#This Row],[Note (Inventory)]])</f>
        <v/>
      </c>
    </row>
    <row r="58" spans="1:22" x14ac:dyDescent="0.25">
      <c r="A58" s="30"/>
      <c r="B58" s="151" t="str">
        <f>IF(Master[[#This Row],[Inventory Prefix]]="","",Master[[#This Row],[Inventory Prefix]])</f>
        <v>W6</v>
      </c>
      <c r="C58" s="151" t="str">
        <f>IF(Master[[#This Row],[Inventory Number]]="","",Master[[#This Row],[Inventory Number]])</f>
        <v/>
      </c>
      <c r="D58" s="78" t="str">
        <f>IF(Master[[#This Row],[Inventory Suffix]]="","",Master[[#This Row],[Inventory Suffix]])</f>
        <v/>
      </c>
      <c r="E58" s="30" t="str">
        <f>IF(Master[[#This Row],[Inventory Type - Lookup Picker]]="","",Master[[#This Row],[Inventory Type - Lookup Picker]])</f>
        <v>SD</v>
      </c>
      <c r="F58" s="151" t="str">
        <f>Master[[#This Row],[Accession Prefix (NPGS)]]&amp;" "&amp;Master[[#This Row],[Accession Number -Assigned]]</f>
        <v>W6 59644</v>
      </c>
      <c r="G58" s="78" t="str">
        <f>IF(Master[[#This Row],[Inventory Maintenance Policy]]="","",Master[[#This Row],[Inventory Maintenance Policy]])</f>
        <v>w6_native</v>
      </c>
      <c r="H58" s="30" t="str">
        <f>IF(Master[[#This Row],[Inventory Maintenance Site -W6]]="","",Master[[#This Row],[Inventory Maintenance Site -W6]])</f>
        <v>W6</v>
      </c>
      <c r="I58" s="30" t="str">
        <f>IF(RIGHT(TEXT(Inventory[[#This Row],[Inventory Suffix]],"00"),2)="01","Y",IF(RIGHT(TEXT(Inventory[[#This Row],[Inventory Suffix]],"00"),2)="c1","Y",IF(RIGHT(TEXT(Inventory[[#This Row],[Inventory Suffix]],"00"),2)="m1","Y","N")))</f>
        <v>N</v>
      </c>
      <c r="J58" s="30" t="str">
        <f>IF(Inventory[[#This Row],[Inventory Type]]="SD","Y",IF(Inventory[[#This Row],[Inventory Type]]="LV","Y","N"))</f>
        <v>Y</v>
      </c>
      <c r="K58" s="30" t="str">
        <f t="shared" si="9"/>
        <v>N</v>
      </c>
      <c r="L58" s="30" t="str">
        <f t="shared" si="6"/>
        <v>Original lot received</v>
      </c>
      <c r="M58" s="30" t="str">
        <f t="shared" si="7"/>
        <v>ORIG from SOS Project</v>
      </c>
      <c r="N58" s="80">
        <f>ROUNDDOWN(Master[[#This Row],[Quantity On Hand]],0)</f>
        <v>0</v>
      </c>
      <c r="O58" s="78" t="str">
        <f>IF(Master[[#This Row],[Quantity On Hand Units -''count'' or ''packet'']]="","",Master[[#This Row],[Quantity On Hand Units -''count'' or ''packet'']])</f>
        <v/>
      </c>
      <c r="P58" s="80" t="str">
        <f>IF(Master[[#This Row],[Inventory Type - Lookup Picker]]="","",Master[[#This Row],[Inventory Type - Lookup Picker]])</f>
        <v>SD</v>
      </c>
      <c r="Q58" s="45" t="str">
        <f t="shared" si="8"/>
        <v>Mike has</v>
      </c>
      <c r="R58" s="56">
        <f>IF(Master[[#This Row],[Latitude -decimal degrees]]="","",Master[[#This Row],[Latitude -decimal degrees]])</f>
        <v>39.778440000000003</v>
      </c>
      <c r="S58" s="56">
        <f>IF(Master[[#This Row],[Longitude -decimal degrees]]="","",Master[[#This Row],[Longitude -decimal degrees]])</f>
        <v>-113.86372</v>
      </c>
      <c r="T58" s="30" t="str">
        <f>IF(Master[[#This Row],[Parent Inventory]]="","",Master[[#This Row],[Parent Inventory]])</f>
        <v/>
      </c>
      <c r="U58" s="30">
        <f>IF(Master[[#This Row],[Hundred Seed Weight -gram]]="","",Master[[#This Row],[Hundred Seed Weight -gram]])</f>
        <v>5.4199999999999998E-2</v>
      </c>
      <c r="V58" s="30" t="str">
        <f>IF(Master[[#This Row],[Note (Inventory)]]="","",Master[[#This Row],[Note (Inventory)]])</f>
        <v/>
      </c>
    </row>
    <row r="59" spans="1:22" x14ac:dyDescent="0.25">
      <c r="A59" s="30"/>
      <c r="B59" s="151" t="str">
        <f>IF(Master[[#This Row],[Inventory Prefix]]="","",Master[[#This Row],[Inventory Prefix]])</f>
        <v>W6</v>
      </c>
      <c r="C59" s="151" t="str">
        <f>IF(Master[[#This Row],[Inventory Number]]="","",Master[[#This Row],[Inventory Number]])</f>
        <v/>
      </c>
      <c r="D59" s="78" t="str">
        <f>IF(Master[[#This Row],[Inventory Suffix]]="","",Master[[#This Row],[Inventory Suffix]])</f>
        <v/>
      </c>
      <c r="E59" s="30" t="str">
        <f>IF(Master[[#This Row],[Inventory Type - Lookup Picker]]="","",Master[[#This Row],[Inventory Type - Lookup Picker]])</f>
        <v>SD</v>
      </c>
      <c r="F59" s="151" t="str">
        <f>Master[[#This Row],[Accession Prefix (NPGS)]]&amp;" "&amp;Master[[#This Row],[Accession Number -Assigned]]</f>
        <v>W6 59645</v>
      </c>
      <c r="G59" s="78" t="str">
        <f>IF(Master[[#This Row],[Inventory Maintenance Policy]]="","",Master[[#This Row],[Inventory Maintenance Policy]])</f>
        <v>w6_native</v>
      </c>
      <c r="H59" s="30" t="str">
        <f>IF(Master[[#This Row],[Inventory Maintenance Site -W6]]="","",Master[[#This Row],[Inventory Maintenance Site -W6]])</f>
        <v>W6</v>
      </c>
      <c r="I59" s="30" t="str">
        <f>IF(RIGHT(TEXT(Inventory[[#This Row],[Inventory Suffix]],"00"),2)="01","Y",IF(RIGHT(TEXT(Inventory[[#This Row],[Inventory Suffix]],"00"),2)="c1","Y",IF(RIGHT(TEXT(Inventory[[#This Row],[Inventory Suffix]],"00"),2)="m1","Y","N")))</f>
        <v>N</v>
      </c>
      <c r="J59" s="30" t="str">
        <f>IF(Inventory[[#This Row],[Inventory Type]]="SD","Y",IF(Inventory[[#This Row],[Inventory Type]]="LV","Y","N"))</f>
        <v>Y</v>
      </c>
      <c r="K59" s="30" t="str">
        <f t="shared" si="9"/>
        <v>N</v>
      </c>
      <c r="L59" s="30" t="str">
        <f t="shared" si="6"/>
        <v>Original lot received</v>
      </c>
      <c r="M59" s="30" t="str">
        <f t="shared" si="7"/>
        <v>ORIG from SOS Project</v>
      </c>
      <c r="N59" s="80">
        <f>ROUNDDOWN(Master[[#This Row],[Quantity On Hand]],0)</f>
        <v>0</v>
      </c>
      <c r="O59" s="78" t="str">
        <f>IF(Master[[#This Row],[Quantity On Hand Units -''count'' or ''packet'']]="","",Master[[#This Row],[Quantity On Hand Units -''count'' or ''packet'']])</f>
        <v/>
      </c>
      <c r="P59" s="80" t="str">
        <f>IF(Master[[#This Row],[Inventory Type - Lookup Picker]]="","",Master[[#This Row],[Inventory Type - Lookup Picker]])</f>
        <v>SD</v>
      </c>
      <c r="Q59" s="45" t="str">
        <f t="shared" si="8"/>
        <v>Mike has</v>
      </c>
      <c r="R59" s="56">
        <f>IF(Master[[#This Row],[Latitude -decimal degrees]]="","",Master[[#This Row],[Latitude -decimal degrees]])</f>
        <v>40.434629999999999</v>
      </c>
      <c r="S59" s="56">
        <f>IF(Master[[#This Row],[Longitude -decimal degrees]]="","",Master[[#This Row],[Longitude -decimal degrees]])</f>
        <v>-112.96294</v>
      </c>
      <c r="T59" s="30" t="str">
        <f>IF(Master[[#This Row],[Parent Inventory]]="","",Master[[#This Row],[Parent Inventory]])</f>
        <v/>
      </c>
      <c r="U59" s="30">
        <f>IF(Master[[#This Row],[Hundred Seed Weight -gram]]="","",Master[[#This Row],[Hundred Seed Weight -gram]])</f>
        <v>4.3900000000000002E-2</v>
      </c>
      <c r="V59" s="30" t="str">
        <f>IF(Master[[#This Row],[Note (Inventory)]]="","",Master[[#This Row],[Note (Inventory)]])</f>
        <v/>
      </c>
    </row>
    <row r="60" spans="1:22" x14ac:dyDescent="0.25">
      <c r="A60" s="30"/>
      <c r="B60" s="151" t="str">
        <f>IF(Master[[#This Row],[Inventory Prefix]]="","",Master[[#This Row],[Inventory Prefix]])</f>
        <v>W6</v>
      </c>
      <c r="C60" s="151" t="str">
        <f>IF(Master[[#This Row],[Inventory Number]]="","",Master[[#This Row],[Inventory Number]])</f>
        <v/>
      </c>
      <c r="D60" s="78" t="str">
        <f>IF(Master[[#This Row],[Inventory Suffix]]="","",Master[[#This Row],[Inventory Suffix]])</f>
        <v/>
      </c>
      <c r="E60" s="30" t="str">
        <f>IF(Master[[#This Row],[Inventory Type - Lookup Picker]]="","",Master[[#This Row],[Inventory Type - Lookup Picker]])</f>
        <v>SD</v>
      </c>
      <c r="F60" s="151" t="str">
        <f>Master[[#This Row],[Accession Prefix (NPGS)]]&amp;" "&amp;Master[[#This Row],[Accession Number -Assigned]]</f>
        <v>W6 59646</v>
      </c>
      <c r="G60" s="78" t="str">
        <f>IF(Master[[#This Row],[Inventory Maintenance Policy]]="","",Master[[#This Row],[Inventory Maintenance Policy]])</f>
        <v>w6_native</v>
      </c>
      <c r="H60" s="30" t="str">
        <f>IF(Master[[#This Row],[Inventory Maintenance Site -W6]]="","",Master[[#This Row],[Inventory Maintenance Site -W6]])</f>
        <v>W6</v>
      </c>
      <c r="I60" s="30" t="str">
        <f>IF(RIGHT(TEXT(Inventory[[#This Row],[Inventory Suffix]],"00"),2)="01","Y",IF(RIGHT(TEXT(Inventory[[#This Row],[Inventory Suffix]],"00"),2)="c1","Y",IF(RIGHT(TEXT(Inventory[[#This Row],[Inventory Suffix]],"00"),2)="m1","Y","N")))</f>
        <v>N</v>
      </c>
      <c r="J60" s="30" t="str">
        <f>IF(Inventory[[#This Row],[Inventory Type]]="SD","Y",IF(Inventory[[#This Row],[Inventory Type]]="LV","Y","N"))</f>
        <v>Y</v>
      </c>
      <c r="K60" s="30" t="str">
        <f t="shared" si="9"/>
        <v>N</v>
      </c>
      <c r="L60" s="30" t="str">
        <f t="shared" si="6"/>
        <v>Original lot received</v>
      </c>
      <c r="M60" s="30" t="str">
        <f t="shared" si="7"/>
        <v>ORIG from SOS Project</v>
      </c>
      <c r="N60" s="80">
        <f>ROUNDDOWN(Master[[#This Row],[Quantity On Hand]],0)</f>
        <v>0</v>
      </c>
      <c r="O60" s="78" t="str">
        <f>IF(Master[[#This Row],[Quantity On Hand Units -''count'' or ''packet'']]="","",Master[[#This Row],[Quantity On Hand Units -''count'' or ''packet'']])</f>
        <v/>
      </c>
      <c r="P60" s="80" t="str">
        <f>IF(Master[[#This Row],[Inventory Type - Lookup Picker]]="","",Master[[#This Row],[Inventory Type - Lookup Picker]])</f>
        <v>SD</v>
      </c>
      <c r="Q60" s="45" t="str">
        <f t="shared" si="8"/>
        <v>Mike has</v>
      </c>
      <c r="R60" s="56">
        <f>IF(Master[[#This Row],[Latitude -decimal degrees]]="","",Master[[#This Row],[Latitude -decimal degrees]])</f>
        <v>39.782470000000004</v>
      </c>
      <c r="S60" s="56">
        <f>IF(Master[[#This Row],[Longitude -decimal degrees]]="","",Master[[#This Row],[Longitude -decimal degrees]])</f>
        <v>-113.11436</v>
      </c>
      <c r="T60" s="30" t="str">
        <f>IF(Master[[#This Row],[Parent Inventory]]="","",Master[[#This Row],[Parent Inventory]])</f>
        <v/>
      </c>
      <c r="U60" s="30">
        <f>IF(Master[[#This Row],[Hundred Seed Weight -gram]]="","",Master[[#This Row],[Hundred Seed Weight -gram]])</f>
        <v>0.32840000000000003</v>
      </c>
      <c r="V60" s="30" t="str">
        <f>IF(Master[[#This Row],[Note (Inventory)]]="","",Master[[#This Row],[Note (Inventory)]])</f>
        <v/>
      </c>
    </row>
    <row r="61" spans="1:22" x14ac:dyDescent="0.25">
      <c r="A61" s="30"/>
      <c r="B61" s="151" t="str">
        <f>IF(Master[[#This Row],[Inventory Prefix]]="","",Master[[#This Row],[Inventory Prefix]])</f>
        <v>W6</v>
      </c>
      <c r="C61" s="151" t="str">
        <f>IF(Master[[#This Row],[Inventory Number]]="","",Master[[#This Row],[Inventory Number]])</f>
        <v/>
      </c>
      <c r="D61" s="78" t="str">
        <f>IF(Master[[#This Row],[Inventory Suffix]]="","",Master[[#This Row],[Inventory Suffix]])</f>
        <v/>
      </c>
      <c r="E61" s="30" t="str">
        <f>IF(Master[[#This Row],[Inventory Type - Lookup Picker]]="","",Master[[#This Row],[Inventory Type - Lookup Picker]])</f>
        <v>SD</v>
      </c>
      <c r="F61" s="151" t="str">
        <f>Master[[#This Row],[Accession Prefix (NPGS)]]&amp;" "&amp;Master[[#This Row],[Accession Number -Assigned]]</f>
        <v>W6 59647</v>
      </c>
      <c r="G61" s="78" t="str">
        <f>IF(Master[[#This Row],[Inventory Maintenance Policy]]="","",Master[[#This Row],[Inventory Maintenance Policy]])</f>
        <v>w6_native</v>
      </c>
      <c r="H61" s="30" t="str">
        <f>IF(Master[[#This Row],[Inventory Maintenance Site -W6]]="","",Master[[#This Row],[Inventory Maintenance Site -W6]])</f>
        <v>W6</v>
      </c>
      <c r="I61" s="30" t="str">
        <f>IF(RIGHT(TEXT(Inventory[[#This Row],[Inventory Suffix]],"00"),2)="01","Y",IF(RIGHT(TEXT(Inventory[[#This Row],[Inventory Suffix]],"00"),2)="c1","Y",IF(RIGHT(TEXT(Inventory[[#This Row],[Inventory Suffix]],"00"),2)="m1","Y","N")))</f>
        <v>N</v>
      </c>
      <c r="J61" s="30" t="str">
        <f>IF(Inventory[[#This Row],[Inventory Type]]="SD","Y",IF(Inventory[[#This Row],[Inventory Type]]="LV","Y","N"))</f>
        <v>Y</v>
      </c>
      <c r="K61" s="30" t="str">
        <f t="shared" si="9"/>
        <v>N</v>
      </c>
      <c r="L61" s="30" t="str">
        <f t="shared" si="6"/>
        <v>Original lot received</v>
      </c>
      <c r="M61" s="30" t="str">
        <f t="shared" si="7"/>
        <v>ORIG from SOS Project</v>
      </c>
      <c r="N61" s="80">
        <f>ROUNDDOWN(Master[[#This Row],[Quantity On Hand]],0)</f>
        <v>0</v>
      </c>
      <c r="O61" s="78" t="str">
        <f>IF(Master[[#This Row],[Quantity On Hand Units -''count'' or ''packet'']]="","",Master[[#This Row],[Quantity On Hand Units -''count'' or ''packet'']])</f>
        <v/>
      </c>
      <c r="P61" s="80" t="str">
        <f>IF(Master[[#This Row],[Inventory Type - Lookup Picker]]="","",Master[[#This Row],[Inventory Type - Lookup Picker]])</f>
        <v>SD</v>
      </c>
      <c r="Q61" s="45" t="str">
        <f t="shared" si="8"/>
        <v>Mike has</v>
      </c>
      <c r="R61" s="56">
        <f>IF(Master[[#This Row],[Latitude -decimal degrees]]="","",Master[[#This Row],[Latitude -decimal degrees]])</f>
        <v>41.877189999999999</v>
      </c>
      <c r="S61" s="56">
        <f>IF(Master[[#This Row],[Longitude -decimal degrees]]="","",Master[[#This Row],[Longitude -decimal degrees]])</f>
        <v>-113.56426999999999</v>
      </c>
      <c r="T61" s="30" t="str">
        <f>IF(Master[[#This Row],[Parent Inventory]]="","",Master[[#This Row],[Parent Inventory]])</f>
        <v/>
      </c>
      <c r="U61" s="30">
        <f>IF(Master[[#This Row],[Hundred Seed Weight -gram]]="","",Master[[#This Row],[Hundred Seed Weight -gram]])</f>
        <v>6.3100000000000003E-2</v>
      </c>
      <c r="V61" s="30" t="str">
        <f>IF(Master[[#This Row],[Note (Inventory)]]="","",Master[[#This Row],[Note (Inventory)]])</f>
        <v/>
      </c>
    </row>
    <row r="62" spans="1:22" x14ac:dyDescent="0.25">
      <c r="A62" s="30"/>
      <c r="B62" s="151" t="str">
        <f>IF(Master[[#This Row],[Inventory Prefix]]="","",Master[[#This Row],[Inventory Prefix]])</f>
        <v>W6</v>
      </c>
      <c r="C62" s="151" t="str">
        <f>IF(Master[[#This Row],[Inventory Number]]="","",Master[[#This Row],[Inventory Number]])</f>
        <v/>
      </c>
      <c r="D62" s="78" t="str">
        <f>IF(Master[[#This Row],[Inventory Suffix]]="","",Master[[#This Row],[Inventory Suffix]])</f>
        <v/>
      </c>
      <c r="E62" s="30" t="str">
        <f>IF(Master[[#This Row],[Inventory Type - Lookup Picker]]="","",Master[[#This Row],[Inventory Type - Lookup Picker]])</f>
        <v>SD</v>
      </c>
      <c r="F62" s="151" t="str">
        <f>Master[[#This Row],[Accession Prefix (NPGS)]]&amp;" "&amp;Master[[#This Row],[Accession Number -Assigned]]</f>
        <v>W6 59648</v>
      </c>
      <c r="G62" s="78" t="str">
        <f>IF(Master[[#This Row],[Inventory Maintenance Policy]]="","",Master[[#This Row],[Inventory Maintenance Policy]])</f>
        <v>w6_native</v>
      </c>
      <c r="H62" s="30" t="str">
        <f>IF(Master[[#This Row],[Inventory Maintenance Site -W6]]="","",Master[[#This Row],[Inventory Maintenance Site -W6]])</f>
        <v>W6</v>
      </c>
      <c r="I62" s="30" t="str">
        <f>IF(RIGHT(TEXT(Inventory[[#This Row],[Inventory Suffix]],"00"),2)="01","Y",IF(RIGHT(TEXT(Inventory[[#This Row],[Inventory Suffix]],"00"),2)="c1","Y",IF(RIGHT(TEXT(Inventory[[#This Row],[Inventory Suffix]],"00"),2)="m1","Y","N")))</f>
        <v>N</v>
      </c>
      <c r="J62" s="30" t="str">
        <f>IF(Inventory[[#This Row],[Inventory Type]]="SD","Y",IF(Inventory[[#This Row],[Inventory Type]]="LV","Y","N"))</f>
        <v>Y</v>
      </c>
      <c r="K62" s="30" t="str">
        <f t="shared" si="9"/>
        <v>N</v>
      </c>
      <c r="L62" s="30" t="str">
        <f t="shared" si="6"/>
        <v>Original lot received</v>
      </c>
      <c r="M62" s="30" t="str">
        <f t="shared" si="7"/>
        <v>ORIG from SOS Project</v>
      </c>
      <c r="N62" s="80">
        <f>ROUNDDOWN(Master[[#This Row],[Quantity On Hand]],0)</f>
        <v>0</v>
      </c>
      <c r="O62" s="78" t="str">
        <f>IF(Master[[#This Row],[Quantity On Hand Units -''count'' or ''packet'']]="","",Master[[#This Row],[Quantity On Hand Units -''count'' or ''packet'']])</f>
        <v/>
      </c>
      <c r="P62" s="80" t="str">
        <f>IF(Master[[#This Row],[Inventory Type - Lookup Picker]]="","",Master[[#This Row],[Inventory Type - Lookup Picker]])</f>
        <v>SD</v>
      </c>
      <c r="Q62" s="45" t="str">
        <f t="shared" si="8"/>
        <v>Mike has</v>
      </c>
      <c r="R62" s="56">
        <f>IF(Master[[#This Row],[Latitude -decimal degrees]]="","",Master[[#This Row],[Latitude -decimal degrees]])</f>
        <v>40.710189999999997</v>
      </c>
      <c r="S62" s="56">
        <f>IF(Master[[#This Row],[Longitude -decimal degrees]]="","",Master[[#This Row],[Longitude -decimal degrees]])</f>
        <v>-112.928</v>
      </c>
      <c r="T62" s="30" t="str">
        <f>IF(Master[[#This Row],[Parent Inventory]]="","",Master[[#This Row],[Parent Inventory]])</f>
        <v/>
      </c>
      <c r="U62" s="30">
        <f>IF(Master[[#This Row],[Hundred Seed Weight -gram]]="","",Master[[#This Row],[Hundred Seed Weight -gram]])</f>
        <v>0.3674</v>
      </c>
      <c r="V62" s="30" t="str">
        <f>IF(Master[[#This Row],[Note (Inventory)]]="","",Master[[#This Row],[Note (Inventory)]])</f>
        <v/>
      </c>
    </row>
    <row r="63" spans="1:22" x14ac:dyDescent="0.25">
      <c r="A63" s="30"/>
      <c r="B63" s="151" t="str">
        <f>IF(Master[[#This Row],[Inventory Prefix]]="","",Master[[#This Row],[Inventory Prefix]])</f>
        <v>W6</v>
      </c>
      <c r="C63" s="151" t="str">
        <f>IF(Master[[#This Row],[Inventory Number]]="","",Master[[#This Row],[Inventory Number]])</f>
        <v/>
      </c>
      <c r="D63" s="78" t="str">
        <f>IF(Master[[#This Row],[Inventory Suffix]]="","",Master[[#This Row],[Inventory Suffix]])</f>
        <v/>
      </c>
      <c r="E63" s="30" t="str">
        <f>IF(Master[[#This Row],[Inventory Type - Lookup Picker]]="","",Master[[#This Row],[Inventory Type - Lookup Picker]])</f>
        <v>SD</v>
      </c>
      <c r="F63" s="151" t="str">
        <f>Master[[#This Row],[Accession Prefix (NPGS)]]&amp;" "&amp;Master[[#This Row],[Accession Number -Assigned]]</f>
        <v>W6 59649</v>
      </c>
      <c r="G63" s="78" t="str">
        <f>IF(Master[[#This Row],[Inventory Maintenance Policy]]="","",Master[[#This Row],[Inventory Maintenance Policy]])</f>
        <v>w6_native</v>
      </c>
      <c r="H63" s="30" t="str">
        <f>IF(Master[[#This Row],[Inventory Maintenance Site -W6]]="","",Master[[#This Row],[Inventory Maintenance Site -W6]])</f>
        <v>W6</v>
      </c>
      <c r="I63" s="30" t="str">
        <f>IF(RIGHT(TEXT(Inventory[[#This Row],[Inventory Suffix]],"00"),2)="01","Y",IF(RIGHT(TEXT(Inventory[[#This Row],[Inventory Suffix]],"00"),2)="c1","Y",IF(RIGHT(TEXT(Inventory[[#This Row],[Inventory Suffix]],"00"),2)="m1","Y","N")))</f>
        <v>N</v>
      </c>
      <c r="J63" s="30" t="str">
        <f>IF(Inventory[[#This Row],[Inventory Type]]="SD","Y",IF(Inventory[[#This Row],[Inventory Type]]="LV","Y","N"))</f>
        <v>Y</v>
      </c>
      <c r="K63" s="30" t="str">
        <f t="shared" si="9"/>
        <v>N</v>
      </c>
      <c r="L63" s="30" t="str">
        <f t="shared" si="6"/>
        <v>Original lot received</v>
      </c>
      <c r="M63" s="30" t="str">
        <f t="shared" si="7"/>
        <v>ORIG from SOS Project</v>
      </c>
      <c r="N63" s="80">
        <f>ROUNDDOWN(Master[[#This Row],[Quantity On Hand]],0)</f>
        <v>0</v>
      </c>
      <c r="O63" s="78" t="str">
        <f>IF(Master[[#This Row],[Quantity On Hand Units -''count'' or ''packet'']]="","",Master[[#This Row],[Quantity On Hand Units -''count'' or ''packet'']])</f>
        <v/>
      </c>
      <c r="P63" s="80" t="str">
        <f>IF(Master[[#This Row],[Inventory Type - Lookup Picker]]="","",Master[[#This Row],[Inventory Type - Lookup Picker]])</f>
        <v>SD</v>
      </c>
      <c r="Q63" s="45" t="str">
        <f t="shared" si="8"/>
        <v>Mike has</v>
      </c>
      <c r="R63" s="56">
        <f>IF(Master[[#This Row],[Latitude -decimal degrees]]="","",Master[[#This Row],[Latitude -decimal degrees]])</f>
        <v>41.662080000000003</v>
      </c>
      <c r="S63" s="56">
        <f>IF(Master[[#This Row],[Longitude -decimal degrees]]="","",Master[[#This Row],[Longitude -decimal degrees]])</f>
        <v>-113.74299999999999</v>
      </c>
      <c r="T63" s="30" t="str">
        <f>IF(Master[[#This Row],[Parent Inventory]]="","",Master[[#This Row],[Parent Inventory]])</f>
        <v/>
      </c>
      <c r="U63" s="30">
        <f>IF(Master[[#This Row],[Hundred Seed Weight -gram]]="","",Master[[#This Row],[Hundred Seed Weight -gram]])</f>
        <v>4.7699999999999999E-2</v>
      </c>
      <c r="V63" s="30" t="str">
        <f>IF(Master[[#This Row],[Note (Inventory)]]="","",Master[[#This Row],[Note (Inventory)]])</f>
        <v/>
      </c>
    </row>
    <row r="64" spans="1:22" x14ac:dyDescent="0.25">
      <c r="A64" s="30"/>
      <c r="B64" s="151" t="str">
        <f>IF(Master[[#This Row],[Inventory Prefix]]="","",Master[[#This Row],[Inventory Prefix]])</f>
        <v>W6</v>
      </c>
      <c r="C64" s="151" t="str">
        <f>IF(Master[[#This Row],[Inventory Number]]="","",Master[[#This Row],[Inventory Number]])</f>
        <v/>
      </c>
      <c r="D64" s="78" t="str">
        <f>IF(Master[[#This Row],[Inventory Suffix]]="","",Master[[#This Row],[Inventory Suffix]])</f>
        <v/>
      </c>
      <c r="E64" s="30" t="str">
        <f>IF(Master[[#This Row],[Inventory Type - Lookup Picker]]="","",Master[[#This Row],[Inventory Type - Lookup Picker]])</f>
        <v>SD</v>
      </c>
      <c r="F64" s="151" t="str">
        <f>Master[[#This Row],[Accession Prefix (NPGS)]]&amp;" "&amp;Master[[#This Row],[Accession Number -Assigned]]</f>
        <v>W6 59650</v>
      </c>
      <c r="G64" s="78" t="str">
        <f>IF(Master[[#This Row],[Inventory Maintenance Policy]]="","",Master[[#This Row],[Inventory Maintenance Policy]])</f>
        <v>w6_native</v>
      </c>
      <c r="H64" s="30" t="str">
        <f>IF(Master[[#This Row],[Inventory Maintenance Site -W6]]="","",Master[[#This Row],[Inventory Maintenance Site -W6]])</f>
        <v>W6</v>
      </c>
      <c r="I64" s="30" t="str">
        <f>IF(RIGHT(TEXT(Inventory[[#This Row],[Inventory Suffix]],"00"),2)="01","Y",IF(RIGHT(TEXT(Inventory[[#This Row],[Inventory Suffix]],"00"),2)="c1","Y",IF(RIGHT(TEXT(Inventory[[#This Row],[Inventory Suffix]],"00"),2)="m1","Y","N")))</f>
        <v>N</v>
      </c>
      <c r="J64" s="30" t="str">
        <f>IF(Inventory[[#This Row],[Inventory Type]]="SD","Y",IF(Inventory[[#This Row],[Inventory Type]]="LV","Y","N"))</f>
        <v>Y</v>
      </c>
      <c r="K64" s="30" t="str">
        <f t="shared" si="9"/>
        <v>N</v>
      </c>
      <c r="L64" s="30" t="str">
        <f t="shared" si="6"/>
        <v>Original lot received</v>
      </c>
      <c r="M64" s="30" t="str">
        <f t="shared" si="7"/>
        <v>ORIG from SOS Project</v>
      </c>
      <c r="N64" s="80">
        <f>ROUNDDOWN(Master[[#This Row],[Quantity On Hand]],0)</f>
        <v>0</v>
      </c>
      <c r="O64" s="78" t="str">
        <f>IF(Master[[#This Row],[Quantity On Hand Units -''count'' or ''packet'']]="","",Master[[#This Row],[Quantity On Hand Units -''count'' or ''packet'']])</f>
        <v/>
      </c>
      <c r="P64" s="80" t="str">
        <f>IF(Master[[#This Row],[Inventory Type - Lookup Picker]]="","",Master[[#This Row],[Inventory Type - Lookup Picker]])</f>
        <v>SD</v>
      </c>
      <c r="Q64" s="45" t="str">
        <f t="shared" si="8"/>
        <v>Mike has</v>
      </c>
      <c r="R64" s="56">
        <f>IF(Master[[#This Row],[Latitude -decimal degrees]]="","",Master[[#This Row],[Latitude -decimal degrees]])</f>
        <v>41.856610000000003</v>
      </c>
      <c r="S64" s="56">
        <f>IF(Master[[#This Row],[Longitude -decimal degrees]]="","",Master[[#This Row],[Longitude -decimal degrees]])</f>
        <v>-113.79313</v>
      </c>
      <c r="T64" s="30" t="str">
        <f>IF(Master[[#This Row],[Parent Inventory]]="","",Master[[#This Row],[Parent Inventory]])</f>
        <v/>
      </c>
      <c r="U64" s="30">
        <f>IF(Master[[#This Row],[Hundred Seed Weight -gram]]="","",Master[[#This Row],[Hundred Seed Weight -gram]])</f>
        <v>0.32500000000000001</v>
      </c>
      <c r="V64" s="30" t="str">
        <f>IF(Master[[#This Row],[Note (Inventory)]]="","",Master[[#This Row],[Note (Inventory)]])</f>
        <v/>
      </c>
    </row>
    <row r="65" spans="1:22" x14ac:dyDescent="0.25">
      <c r="A65" s="30"/>
      <c r="B65" s="151" t="str">
        <f>IF(Master[[#This Row],[Inventory Prefix]]="","",Master[[#This Row],[Inventory Prefix]])</f>
        <v>W6</v>
      </c>
      <c r="C65" s="151" t="str">
        <f>IF(Master[[#This Row],[Inventory Number]]="","",Master[[#This Row],[Inventory Number]])</f>
        <v/>
      </c>
      <c r="D65" s="78" t="str">
        <f>IF(Master[[#This Row],[Inventory Suffix]]="","",Master[[#This Row],[Inventory Suffix]])</f>
        <v/>
      </c>
      <c r="E65" s="30" t="str">
        <f>IF(Master[[#This Row],[Inventory Type - Lookup Picker]]="","",Master[[#This Row],[Inventory Type - Lookup Picker]])</f>
        <v>SD</v>
      </c>
      <c r="F65" s="151" t="str">
        <f>Master[[#This Row],[Accession Prefix (NPGS)]]&amp;" "&amp;Master[[#This Row],[Accession Number -Assigned]]</f>
        <v>W6 59651</v>
      </c>
      <c r="G65" s="78" t="str">
        <f>IF(Master[[#This Row],[Inventory Maintenance Policy]]="","",Master[[#This Row],[Inventory Maintenance Policy]])</f>
        <v>w6_native</v>
      </c>
      <c r="H65" s="30" t="str">
        <f>IF(Master[[#This Row],[Inventory Maintenance Site -W6]]="","",Master[[#This Row],[Inventory Maintenance Site -W6]])</f>
        <v>W6</v>
      </c>
      <c r="I65" s="30" t="str">
        <f>IF(RIGHT(TEXT(Inventory[[#This Row],[Inventory Suffix]],"00"),2)="01","Y",IF(RIGHT(TEXT(Inventory[[#This Row],[Inventory Suffix]],"00"),2)="c1","Y",IF(RIGHT(TEXT(Inventory[[#This Row],[Inventory Suffix]],"00"),2)="m1","Y","N")))</f>
        <v>N</v>
      </c>
      <c r="J65" s="30" t="str">
        <f>IF(Inventory[[#This Row],[Inventory Type]]="SD","Y",IF(Inventory[[#This Row],[Inventory Type]]="LV","Y","N"))</f>
        <v>Y</v>
      </c>
      <c r="K65" s="30" t="str">
        <f t="shared" si="9"/>
        <v>N</v>
      </c>
      <c r="L65" s="30" t="str">
        <f t="shared" si="6"/>
        <v>Original lot received</v>
      </c>
      <c r="M65" s="30" t="str">
        <f t="shared" si="7"/>
        <v>ORIG from SOS Project</v>
      </c>
      <c r="N65" s="80">
        <f>ROUNDDOWN(Master[[#This Row],[Quantity On Hand]],0)</f>
        <v>0</v>
      </c>
      <c r="O65" s="78" t="str">
        <f>IF(Master[[#This Row],[Quantity On Hand Units -''count'' or ''packet'']]="","",Master[[#This Row],[Quantity On Hand Units -''count'' or ''packet'']])</f>
        <v/>
      </c>
      <c r="P65" s="80" t="str">
        <f>IF(Master[[#This Row],[Inventory Type - Lookup Picker]]="","",Master[[#This Row],[Inventory Type - Lookup Picker]])</f>
        <v>SD</v>
      </c>
      <c r="Q65" s="45" t="str">
        <f t="shared" si="8"/>
        <v>Mike has</v>
      </c>
      <c r="R65" s="56">
        <f>IF(Master[[#This Row],[Latitude -decimal degrees]]="","",Master[[#This Row],[Latitude -decimal degrees]])</f>
        <v>41.975360000000002</v>
      </c>
      <c r="S65" s="56">
        <f>IF(Master[[#This Row],[Longitude -decimal degrees]]="","",Master[[#This Row],[Longitude -decimal degrees]])</f>
        <v>-113.88094</v>
      </c>
      <c r="T65" s="30" t="str">
        <f>IF(Master[[#This Row],[Parent Inventory]]="","",Master[[#This Row],[Parent Inventory]])</f>
        <v/>
      </c>
      <c r="U65" s="30">
        <f>IF(Master[[#This Row],[Hundred Seed Weight -gram]]="","",Master[[#This Row],[Hundred Seed Weight -gram]])</f>
        <v>0.33750000000000002</v>
      </c>
      <c r="V65" s="30" t="str">
        <f>IF(Master[[#This Row],[Note (Inventory)]]="","",Master[[#This Row],[Note (Inventory)]])</f>
        <v/>
      </c>
    </row>
    <row r="66" spans="1:22" x14ac:dyDescent="0.25">
      <c r="A66" s="30"/>
      <c r="B66" s="151" t="str">
        <f>IF(Master[[#This Row],[Inventory Prefix]]="","",Master[[#This Row],[Inventory Prefix]])</f>
        <v>W6</v>
      </c>
      <c r="C66" s="151" t="str">
        <f>IF(Master[[#This Row],[Inventory Number]]="","",Master[[#This Row],[Inventory Number]])</f>
        <v/>
      </c>
      <c r="D66" s="78" t="str">
        <f>IF(Master[[#This Row],[Inventory Suffix]]="","",Master[[#This Row],[Inventory Suffix]])</f>
        <v/>
      </c>
      <c r="E66" s="30" t="str">
        <f>IF(Master[[#This Row],[Inventory Type - Lookup Picker]]="","",Master[[#This Row],[Inventory Type - Lookup Picker]])</f>
        <v>SD</v>
      </c>
      <c r="F66" s="151" t="str">
        <f>Master[[#This Row],[Accession Prefix (NPGS)]]&amp;" "&amp;Master[[#This Row],[Accession Number -Assigned]]</f>
        <v>W6 59652</v>
      </c>
      <c r="G66" s="78" t="str">
        <f>IF(Master[[#This Row],[Inventory Maintenance Policy]]="","",Master[[#This Row],[Inventory Maintenance Policy]])</f>
        <v>w6_native</v>
      </c>
      <c r="H66" s="30" t="str">
        <f>IF(Master[[#This Row],[Inventory Maintenance Site -W6]]="","",Master[[#This Row],[Inventory Maintenance Site -W6]])</f>
        <v>W6</v>
      </c>
      <c r="I66" s="30" t="str">
        <f>IF(RIGHT(TEXT(Inventory[[#This Row],[Inventory Suffix]],"00"),2)="01","Y",IF(RIGHT(TEXT(Inventory[[#This Row],[Inventory Suffix]],"00"),2)="c1","Y",IF(RIGHT(TEXT(Inventory[[#This Row],[Inventory Suffix]],"00"),2)="m1","Y","N")))</f>
        <v>N</v>
      </c>
      <c r="J66" s="30" t="str">
        <f>IF(Inventory[[#This Row],[Inventory Type]]="SD","Y",IF(Inventory[[#This Row],[Inventory Type]]="LV","Y","N"))</f>
        <v>Y</v>
      </c>
      <c r="K66" s="30" t="str">
        <f t="shared" si="9"/>
        <v>N</v>
      </c>
      <c r="L66" s="30" t="str">
        <f t="shared" ref="L66:L97" si="10">"Original lot received"</f>
        <v>Original lot received</v>
      </c>
      <c r="M66" s="30" t="str">
        <f t="shared" ref="M66:M97" si="11">"ORIG from SOS Project"</f>
        <v>ORIG from SOS Project</v>
      </c>
      <c r="N66" s="80">
        <f>ROUNDDOWN(Master[[#This Row],[Quantity On Hand]],0)</f>
        <v>0</v>
      </c>
      <c r="O66" s="78" t="str">
        <f>IF(Master[[#This Row],[Quantity On Hand Units -''count'' or ''packet'']]="","",Master[[#This Row],[Quantity On Hand Units -''count'' or ''packet'']])</f>
        <v/>
      </c>
      <c r="P66" s="80" t="str">
        <f>IF(Master[[#This Row],[Inventory Type - Lookup Picker]]="","",Master[[#This Row],[Inventory Type - Lookup Picker]])</f>
        <v>SD</v>
      </c>
      <c r="Q66" s="45" t="str">
        <f t="shared" ref="Q66:Q97" si="12">"Mike has"</f>
        <v>Mike has</v>
      </c>
      <c r="R66" s="56">
        <f>IF(Master[[#This Row],[Latitude -decimal degrees]]="","",Master[[#This Row],[Latitude -decimal degrees]])</f>
        <v>41.909500000000001</v>
      </c>
      <c r="S66" s="56">
        <f>IF(Master[[#This Row],[Longitude -decimal degrees]]="","",Master[[#This Row],[Longitude -decimal degrees]])</f>
        <v>-113.60927</v>
      </c>
      <c r="T66" s="30" t="str">
        <f>IF(Master[[#This Row],[Parent Inventory]]="","",Master[[#This Row],[Parent Inventory]])</f>
        <v/>
      </c>
      <c r="U66" s="30">
        <f>IF(Master[[#This Row],[Hundred Seed Weight -gram]]="","",Master[[#This Row],[Hundred Seed Weight -gram]])</f>
        <v>0.32119999999999999</v>
      </c>
      <c r="V66" s="30" t="str">
        <f>IF(Master[[#This Row],[Note (Inventory)]]="","",Master[[#This Row],[Note (Inventory)]])</f>
        <v/>
      </c>
    </row>
    <row r="67" spans="1:22" x14ac:dyDescent="0.25">
      <c r="A67" s="30"/>
      <c r="B67" s="151" t="str">
        <f>IF(Master[[#This Row],[Inventory Prefix]]="","",Master[[#This Row],[Inventory Prefix]])</f>
        <v>W6</v>
      </c>
      <c r="C67" s="151" t="str">
        <f>IF(Master[[#This Row],[Inventory Number]]="","",Master[[#This Row],[Inventory Number]])</f>
        <v/>
      </c>
      <c r="D67" s="78" t="str">
        <f>IF(Master[[#This Row],[Inventory Suffix]]="","",Master[[#This Row],[Inventory Suffix]])</f>
        <v/>
      </c>
      <c r="E67" s="30" t="str">
        <f>IF(Master[[#This Row],[Inventory Type - Lookup Picker]]="","",Master[[#This Row],[Inventory Type - Lookup Picker]])</f>
        <v>SD</v>
      </c>
      <c r="F67" s="151" t="str">
        <f>Master[[#This Row],[Accession Prefix (NPGS)]]&amp;" "&amp;Master[[#This Row],[Accession Number -Assigned]]</f>
        <v>W6 59653</v>
      </c>
      <c r="G67" s="78" t="str">
        <f>IF(Master[[#This Row],[Inventory Maintenance Policy]]="","",Master[[#This Row],[Inventory Maintenance Policy]])</f>
        <v>w6_native</v>
      </c>
      <c r="H67" s="30" t="str">
        <f>IF(Master[[#This Row],[Inventory Maintenance Site -W6]]="","",Master[[#This Row],[Inventory Maintenance Site -W6]])</f>
        <v>W6</v>
      </c>
      <c r="I67" s="30" t="str">
        <f>IF(RIGHT(TEXT(Inventory[[#This Row],[Inventory Suffix]],"00"),2)="01","Y",IF(RIGHT(TEXT(Inventory[[#This Row],[Inventory Suffix]],"00"),2)="c1","Y",IF(RIGHT(TEXT(Inventory[[#This Row],[Inventory Suffix]],"00"),2)="m1","Y","N")))</f>
        <v>N</v>
      </c>
      <c r="J67" s="30" t="str">
        <f>IF(Inventory[[#This Row],[Inventory Type]]="SD","Y",IF(Inventory[[#This Row],[Inventory Type]]="LV","Y","N"))</f>
        <v>Y</v>
      </c>
      <c r="K67" s="30" t="str">
        <f t="shared" si="9"/>
        <v>N</v>
      </c>
      <c r="L67" s="30" t="str">
        <f t="shared" si="10"/>
        <v>Original lot received</v>
      </c>
      <c r="M67" s="30" t="str">
        <f t="shared" si="11"/>
        <v>ORIG from SOS Project</v>
      </c>
      <c r="N67" s="80">
        <f>ROUNDDOWN(Master[[#This Row],[Quantity On Hand]],0)</f>
        <v>0</v>
      </c>
      <c r="O67" s="78" t="str">
        <f>IF(Master[[#This Row],[Quantity On Hand Units -''count'' or ''packet'']]="","",Master[[#This Row],[Quantity On Hand Units -''count'' or ''packet'']])</f>
        <v/>
      </c>
      <c r="P67" s="80" t="str">
        <f>IF(Master[[#This Row],[Inventory Type - Lookup Picker]]="","",Master[[#This Row],[Inventory Type - Lookup Picker]])</f>
        <v>SD</v>
      </c>
      <c r="Q67" s="45" t="str">
        <f t="shared" si="12"/>
        <v>Mike has</v>
      </c>
      <c r="R67" s="56">
        <f>IF(Master[[#This Row],[Latitude -decimal degrees]]="","",Master[[#This Row],[Latitude -decimal degrees]])</f>
        <v>41.953800000000001</v>
      </c>
      <c r="S67" s="56">
        <f>IF(Master[[#This Row],[Longitude -decimal degrees]]="","",Master[[#This Row],[Longitude -decimal degrees]])</f>
        <v>-113.45738</v>
      </c>
      <c r="T67" s="30" t="str">
        <f>IF(Master[[#This Row],[Parent Inventory]]="","",Master[[#This Row],[Parent Inventory]])</f>
        <v/>
      </c>
      <c r="U67" s="30">
        <f>IF(Master[[#This Row],[Hundred Seed Weight -gram]]="","",Master[[#This Row],[Hundred Seed Weight -gram]])</f>
        <v>0.31830000000000003</v>
      </c>
      <c r="V67" s="30" t="str">
        <f>IF(Master[[#This Row],[Note (Inventory)]]="","",Master[[#This Row],[Note (Inventory)]])</f>
        <v/>
      </c>
    </row>
    <row r="68" spans="1:22" x14ac:dyDescent="0.25">
      <c r="A68" s="30"/>
      <c r="B68" s="151" t="str">
        <f>IF(Master[[#This Row],[Inventory Prefix]]="","",Master[[#This Row],[Inventory Prefix]])</f>
        <v>W6</v>
      </c>
      <c r="C68" s="151" t="str">
        <f>IF(Master[[#This Row],[Inventory Number]]="","",Master[[#This Row],[Inventory Number]])</f>
        <v/>
      </c>
      <c r="D68" s="78" t="str">
        <f>IF(Master[[#This Row],[Inventory Suffix]]="","",Master[[#This Row],[Inventory Suffix]])</f>
        <v/>
      </c>
      <c r="E68" s="30" t="str">
        <f>IF(Master[[#This Row],[Inventory Type - Lookup Picker]]="","",Master[[#This Row],[Inventory Type - Lookup Picker]])</f>
        <v>SD</v>
      </c>
      <c r="F68" s="151" t="str">
        <f>Master[[#This Row],[Accession Prefix (NPGS)]]&amp;" "&amp;Master[[#This Row],[Accession Number -Assigned]]</f>
        <v>W6 59654</v>
      </c>
      <c r="G68" s="78" t="str">
        <f>IF(Master[[#This Row],[Inventory Maintenance Policy]]="","",Master[[#This Row],[Inventory Maintenance Policy]])</f>
        <v>w6_native</v>
      </c>
      <c r="H68" s="30" t="str">
        <f>IF(Master[[#This Row],[Inventory Maintenance Site -W6]]="","",Master[[#This Row],[Inventory Maintenance Site -W6]])</f>
        <v>W6</v>
      </c>
      <c r="I68" s="30" t="str">
        <f>IF(RIGHT(TEXT(Inventory[[#This Row],[Inventory Suffix]],"00"),2)="01","Y",IF(RIGHT(TEXT(Inventory[[#This Row],[Inventory Suffix]],"00"),2)="c1","Y",IF(RIGHT(TEXT(Inventory[[#This Row],[Inventory Suffix]],"00"),2)="m1","Y","N")))</f>
        <v>N</v>
      </c>
      <c r="J68" s="30" t="str">
        <f>IF(Inventory[[#This Row],[Inventory Type]]="SD","Y",IF(Inventory[[#This Row],[Inventory Type]]="LV","Y","N"))</f>
        <v>Y</v>
      </c>
      <c r="K68" s="30" t="str">
        <f t="shared" si="9"/>
        <v>N</v>
      </c>
      <c r="L68" s="30" t="str">
        <f t="shared" si="10"/>
        <v>Original lot received</v>
      </c>
      <c r="M68" s="30" t="str">
        <f t="shared" si="11"/>
        <v>ORIG from SOS Project</v>
      </c>
      <c r="N68" s="80">
        <f>ROUNDDOWN(Master[[#This Row],[Quantity On Hand]],0)</f>
        <v>0</v>
      </c>
      <c r="O68" s="78" t="str">
        <f>IF(Master[[#This Row],[Quantity On Hand Units -''count'' or ''packet'']]="","",Master[[#This Row],[Quantity On Hand Units -''count'' or ''packet'']])</f>
        <v/>
      </c>
      <c r="P68" s="80" t="str">
        <f>IF(Master[[#This Row],[Inventory Type - Lookup Picker]]="","",Master[[#This Row],[Inventory Type - Lookup Picker]])</f>
        <v>SD</v>
      </c>
      <c r="Q68" s="45" t="str">
        <f t="shared" si="12"/>
        <v>Mike has</v>
      </c>
      <c r="R68" s="56">
        <f>IF(Master[[#This Row],[Latitude -decimal degrees]]="","",Master[[#This Row],[Latitude -decimal degrees]])</f>
        <v>41.951000000000001</v>
      </c>
      <c r="S68" s="56">
        <f>IF(Master[[#This Row],[Longitude -decimal degrees]]="","",Master[[#This Row],[Longitude -decimal degrees]])</f>
        <v>-113.33958</v>
      </c>
      <c r="T68" s="30" t="str">
        <f>IF(Master[[#This Row],[Parent Inventory]]="","",Master[[#This Row],[Parent Inventory]])</f>
        <v/>
      </c>
      <c r="U68" s="30">
        <f>IF(Master[[#This Row],[Hundred Seed Weight -gram]]="","",Master[[#This Row],[Hundred Seed Weight -gram]])</f>
        <v>0.3251</v>
      </c>
      <c r="V68" s="30" t="str">
        <f>IF(Master[[#This Row],[Note (Inventory)]]="","",Master[[#This Row],[Note (Inventory)]])</f>
        <v/>
      </c>
    </row>
    <row r="69" spans="1:22" x14ac:dyDescent="0.25">
      <c r="A69" s="30"/>
      <c r="B69" s="151" t="str">
        <f>IF(Master[[#This Row],[Inventory Prefix]]="","",Master[[#This Row],[Inventory Prefix]])</f>
        <v>W6</v>
      </c>
      <c r="C69" s="151" t="str">
        <f>IF(Master[[#This Row],[Inventory Number]]="","",Master[[#This Row],[Inventory Number]])</f>
        <v/>
      </c>
      <c r="D69" s="78" t="str">
        <f>IF(Master[[#This Row],[Inventory Suffix]]="","",Master[[#This Row],[Inventory Suffix]])</f>
        <v/>
      </c>
      <c r="E69" s="30" t="str">
        <f>IF(Master[[#This Row],[Inventory Type - Lookup Picker]]="","",Master[[#This Row],[Inventory Type - Lookup Picker]])</f>
        <v>SD</v>
      </c>
      <c r="F69" s="151" t="str">
        <f>Master[[#This Row],[Accession Prefix (NPGS)]]&amp;" "&amp;Master[[#This Row],[Accession Number -Assigned]]</f>
        <v>W6 59655</v>
      </c>
      <c r="G69" s="78" t="str">
        <f>IF(Master[[#This Row],[Inventory Maintenance Policy]]="","",Master[[#This Row],[Inventory Maintenance Policy]])</f>
        <v>w6_native</v>
      </c>
      <c r="H69" s="30" t="str">
        <f>IF(Master[[#This Row],[Inventory Maintenance Site -W6]]="","",Master[[#This Row],[Inventory Maintenance Site -W6]])</f>
        <v>W6</v>
      </c>
      <c r="I69" s="30" t="str">
        <f>IF(RIGHT(TEXT(Inventory[[#This Row],[Inventory Suffix]],"00"),2)="01","Y",IF(RIGHT(TEXT(Inventory[[#This Row],[Inventory Suffix]],"00"),2)="c1","Y",IF(RIGHT(TEXT(Inventory[[#This Row],[Inventory Suffix]],"00"),2)="m1","Y","N")))</f>
        <v>N</v>
      </c>
      <c r="J69" s="30" t="str">
        <f>IF(Inventory[[#This Row],[Inventory Type]]="SD","Y",IF(Inventory[[#This Row],[Inventory Type]]="LV","Y","N"))</f>
        <v>Y</v>
      </c>
      <c r="K69" s="30" t="str">
        <f t="shared" si="9"/>
        <v>N</v>
      </c>
      <c r="L69" s="30" t="str">
        <f t="shared" si="10"/>
        <v>Original lot received</v>
      </c>
      <c r="M69" s="30" t="str">
        <f t="shared" si="11"/>
        <v>ORIG from SOS Project</v>
      </c>
      <c r="N69" s="80">
        <f>ROUNDDOWN(Master[[#This Row],[Quantity On Hand]],0)</f>
        <v>0</v>
      </c>
      <c r="O69" s="78" t="str">
        <f>IF(Master[[#This Row],[Quantity On Hand Units -''count'' or ''packet'']]="","",Master[[#This Row],[Quantity On Hand Units -''count'' or ''packet'']])</f>
        <v/>
      </c>
      <c r="P69" s="80" t="str">
        <f>IF(Master[[#This Row],[Inventory Type - Lookup Picker]]="","",Master[[#This Row],[Inventory Type - Lookup Picker]])</f>
        <v>SD</v>
      </c>
      <c r="Q69" s="45" t="str">
        <f t="shared" si="12"/>
        <v>Mike has</v>
      </c>
      <c r="R69" s="56">
        <f>IF(Master[[#This Row],[Latitude -decimal degrees]]="","",Master[[#This Row],[Latitude -decimal degrees]])</f>
        <v>40.151020000000003</v>
      </c>
      <c r="S69" s="56">
        <f>IF(Master[[#This Row],[Longitude -decimal degrees]]="","",Master[[#This Row],[Longitude -decimal degrees]])</f>
        <v>-109.12966</v>
      </c>
      <c r="T69" s="30" t="str">
        <f>IF(Master[[#This Row],[Parent Inventory]]="","",Master[[#This Row],[Parent Inventory]])</f>
        <v/>
      </c>
      <c r="U69" s="30">
        <f>IF(Master[[#This Row],[Hundred Seed Weight -gram]]="","",Master[[#This Row],[Hundred Seed Weight -gram]])</f>
        <v>0.29139999999999999</v>
      </c>
      <c r="V69" s="30" t="str">
        <f>IF(Master[[#This Row],[Note (Inventory)]]="","",Master[[#This Row],[Note (Inventory)]])</f>
        <v/>
      </c>
    </row>
    <row r="70" spans="1:22" x14ac:dyDescent="0.25">
      <c r="A70" s="30"/>
      <c r="B70" s="151" t="str">
        <f>IF(Master[[#This Row],[Inventory Prefix]]="","",Master[[#This Row],[Inventory Prefix]])</f>
        <v>W6</v>
      </c>
      <c r="C70" s="151" t="str">
        <f>IF(Master[[#This Row],[Inventory Number]]="","",Master[[#This Row],[Inventory Number]])</f>
        <v/>
      </c>
      <c r="D70" s="78" t="str">
        <f>IF(Master[[#This Row],[Inventory Suffix]]="","",Master[[#This Row],[Inventory Suffix]])</f>
        <v/>
      </c>
      <c r="E70" s="30" t="str">
        <f>IF(Master[[#This Row],[Inventory Type - Lookup Picker]]="","",Master[[#This Row],[Inventory Type - Lookup Picker]])</f>
        <v>SD</v>
      </c>
      <c r="F70" s="151" t="str">
        <f>Master[[#This Row],[Accession Prefix (NPGS)]]&amp;" "&amp;Master[[#This Row],[Accession Number -Assigned]]</f>
        <v>W6 59656</v>
      </c>
      <c r="G70" s="78" t="str">
        <f>IF(Master[[#This Row],[Inventory Maintenance Policy]]="","",Master[[#This Row],[Inventory Maintenance Policy]])</f>
        <v>w6_native</v>
      </c>
      <c r="H70" s="30" t="str">
        <f>IF(Master[[#This Row],[Inventory Maintenance Site -W6]]="","",Master[[#This Row],[Inventory Maintenance Site -W6]])</f>
        <v>W6</v>
      </c>
      <c r="I70" s="30" t="str">
        <f>IF(RIGHT(TEXT(Inventory[[#This Row],[Inventory Suffix]],"00"),2)="01","Y",IF(RIGHT(TEXT(Inventory[[#This Row],[Inventory Suffix]],"00"),2)="c1","Y",IF(RIGHT(TEXT(Inventory[[#This Row],[Inventory Suffix]],"00"),2)="m1","Y","N")))</f>
        <v>N</v>
      </c>
      <c r="J70" s="30" t="str">
        <f>IF(Inventory[[#This Row],[Inventory Type]]="SD","Y",IF(Inventory[[#This Row],[Inventory Type]]="LV","Y","N"))</f>
        <v>Y</v>
      </c>
      <c r="K70" s="30" t="str">
        <f t="shared" si="9"/>
        <v>N</v>
      </c>
      <c r="L70" s="30" t="str">
        <f t="shared" si="10"/>
        <v>Original lot received</v>
      </c>
      <c r="M70" s="30" t="str">
        <f t="shared" si="11"/>
        <v>ORIG from SOS Project</v>
      </c>
      <c r="N70" s="80">
        <f>ROUNDDOWN(Master[[#This Row],[Quantity On Hand]],0)</f>
        <v>0</v>
      </c>
      <c r="O70" s="78" t="str">
        <f>IF(Master[[#This Row],[Quantity On Hand Units -''count'' or ''packet'']]="","",Master[[#This Row],[Quantity On Hand Units -''count'' or ''packet'']])</f>
        <v/>
      </c>
      <c r="P70" s="80" t="str">
        <f>IF(Master[[#This Row],[Inventory Type - Lookup Picker]]="","",Master[[#This Row],[Inventory Type - Lookup Picker]])</f>
        <v>SD</v>
      </c>
      <c r="Q70" s="45" t="str">
        <f t="shared" si="12"/>
        <v>Mike has</v>
      </c>
      <c r="R70" s="56">
        <f>IF(Master[[#This Row],[Latitude -decimal degrees]]="","",Master[[#This Row],[Latitude -decimal degrees]])</f>
        <v>40.151009999999999</v>
      </c>
      <c r="S70" s="56">
        <f>IF(Master[[#This Row],[Longitude -decimal degrees]]="","",Master[[#This Row],[Longitude -decimal degrees]])</f>
        <v>-109.12963000000001</v>
      </c>
      <c r="T70" s="30" t="str">
        <f>IF(Master[[#This Row],[Parent Inventory]]="","",Master[[#This Row],[Parent Inventory]])</f>
        <v/>
      </c>
      <c r="U70" s="30">
        <f>IF(Master[[#This Row],[Hundred Seed Weight -gram]]="","",Master[[#This Row],[Hundred Seed Weight -gram]])</f>
        <v>0.26029999999999998</v>
      </c>
      <c r="V70" s="30" t="str">
        <f>IF(Master[[#This Row],[Note (Inventory)]]="","",Master[[#This Row],[Note (Inventory)]])</f>
        <v/>
      </c>
    </row>
    <row r="71" spans="1:22" x14ac:dyDescent="0.25">
      <c r="A71" s="30"/>
      <c r="B71" s="151" t="str">
        <f>IF(Master[[#This Row],[Inventory Prefix]]="","",Master[[#This Row],[Inventory Prefix]])</f>
        <v>W6</v>
      </c>
      <c r="C71" s="151" t="str">
        <f>IF(Master[[#This Row],[Inventory Number]]="","",Master[[#This Row],[Inventory Number]])</f>
        <v/>
      </c>
      <c r="D71" s="78" t="str">
        <f>IF(Master[[#This Row],[Inventory Suffix]]="","",Master[[#This Row],[Inventory Suffix]])</f>
        <v/>
      </c>
      <c r="E71" s="30" t="str">
        <f>IF(Master[[#This Row],[Inventory Type - Lookup Picker]]="","",Master[[#This Row],[Inventory Type - Lookup Picker]])</f>
        <v>SD</v>
      </c>
      <c r="F71" s="151" t="str">
        <f>Master[[#This Row],[Accession Prefix (NPGS)]]&amp;" "&amp;Master[[#This Row],[Accession Number -Assigned]]</f>
        <v>W6 59657</v>
      </c>
      <c r="G71" s="78" t="str">
        <f>IF(Master[[#This Row],[Inventory Maintenance Policy]]="","",Master[[#This Row],[Inventory Maintenance Policy]])</f>
        <v>w6_native</v>
      </c>
      <c r="H71" s="30" t="str">
        <f>IF(Master[[#This Row],[Inventory Maintenance Site -W6]]="","",Master[[#This Row],[Inventory Maintenance Site -W6]])</f>
        <v>W6</v>
      </c>
      <c r="I71" s="30" t="str">
        <f>IF(RIGHT(TEXT(Inventory[[#This Row],[Inventory Suffix]],"00"),2)="01","Y",IF(RIGHT(TEXT(Inventory[[#This Row],[Inventory Suffix]],"00"),2)="c1","Y",IF(RIGHT(TEXT(Inventory[[#This Row],[Inventory Suffix]],"00"),2)="m1","Y","N")))</f>
        <v>N</v>
      </c>
      <c r="J71" s="30" t="str">
        <f>IF(Inventory[[#This Row],[Inventory Type]]="SD","Y",IF(Inventory[[#This Row],[Inventory Type]]="LV","Y","N"))</f>
        <v>Y</v>
      </c>
      <c r="K71" s="30" t="str">
        <f t="shared" si="9"/>
        <v>N</v>
      </c>
      <c r="L71" s="30" t="str">
        <f t="shared" si="10"/>
        <v>Original lot received</v>
      </c>
      <c r="M71" s="30" t="str">
        <f t="shared" si="11"/>
        <v>ORIG from SOS Project</v>
      </c>
      <c r="N71" s="80">
        <f>ROUNDDOWN(Master[[#This Row],[Quantity On Hand]],0)</f>
        <v>0</v>
      </c>
      <c r="O71" s="78" t="str">
        <f>IF(Master[[#This Row],[Quantity On Hand Units -''count'' or ''packet'']]="","",Master[[#This Row],[Quantity On Hand Units -''count'' or ''packet'']])</f>
        <v/>
      </c>
      <c r="P71" s="80" t="str">
        <f>IF(Master[[#This Row],[Inventory Type - Lookup Picker]]="","",Master[[#This Row],[Inventory Type - Lookup Picker]])</f>
        <v>SD</v>
      </c>
      <c r="Q71" s="45" t="str">
        <f t="shared" si="12"/>
        <v>Mike has</v>
      </c>
      <c r="R71" s="56">
        <f>IF(Master[[#This Row],[Latitude -decimal degrees]]="","",Master[[#This Row],[Latitude -decimal degrees]])</f>
        <v>40.247239999999998</v>
      </c>
      <c r="S71" s="56">
        <f>IF(Master[[#This Row],[Longitude -decimal degrees]]="","",Master[[#This Row],[Longitude -decimal degrees]])</f>
        <v>-109.43201000000001</v>
      </c>
      <c r="T71" s="30" t="str">
        <f>IF(Master[[#This Row],[Parent Inventory]]="","",Master[[#This Row],[Parent Inventory]])</f>
        <v/>
      </c>
      <c r="U71" s="30">
        <f>IF(Master[[#This Row],[Hundred Seed Weight -gram]]="","",Master[[#This Row],[Hundred Seed Weight -gram]])</f>
        <v>0.28160000000000002</v>
      </c>
      <c r="V71" s="30" t="str">
        <f>IF(Master[[#This Row],[Note (Inventory)]]="","",Master[[#This Row],[Note (Inventory)]])</f>
        <v/>
      </c>
    </row>
    <row r="72" spans="1:22" x14ac:dyDescent="0.25">
      <c r="A72" s="30"/>
      <c r="B72" s="151" t="str">
        <f>IF(Master[[#This Row],[Inventory Prefix]]="","",Master[[#This Row],[Inventory Prefix]])</f>
        <v>W6</v>
      </c>
      <c r="C72" s="151" t="str">
        <f>IF(Master[[#This Row],[Inventory Number]]="","",Master[[#This Row],[Inventory Number]])</f>
        <v/>
      </c>
      <c r="D72" s="78" t="str">
        <f>IF(Master[[#This Row],[Inventory Suffix]]="","",Master[[#This Row],[Inventory Suffix]])</f>
        <v/>
      </c>
      <c r="E72" s="30" t="str">
        <f>IF(Master[[#This Row],[Inventory Type - Lookup Picker]]="","",Master[[#This Row],[Inventory Type - Lookup Picker]])</f>
        <v>SD</v>
      </c>
      <c r="F72" s="151" t="str">
        <f>Master[[#This Row],[Accession Prefix (NPGS)]]&amp;" "&amp;Master[[#This Row],[Accession Number -Assigned]]</f>
        <v>W6 59658</v>
      </c>
      <c r="G72" s="78" t="str">
        <f>IF(Master[[#This Row],[Inventory Maintenance Policy]]="","",Master[[#This Row],[Inventory Maintenance Policy]])</f>
        <v>w6_native</v>
      </c>
      <c r="H72" s="30" t="str">
        <f>IF(Master[[#This Row],[Inventory Maintenance Site -W6]]="","",Master[[#This Row],[Inventory Maintenance Site -W6]])</f>
        <v>W6</v>
      </c>
      <c r="I72" s="30" t="str">
        <f>IF(RIGHT(TEXT(Inventory[[#This Row],[Inventory Suffix]],"00"),2)="01","Y",IF(RIGHT(TEXT(Inventory[[#This Row],[Inventory Suffix]],"00"),2)="c1","Y",IF(RIGHT(TEXT(Inventory[[#This Row],[Inventory Suffix]],"00"),2)="m1","Y","N")))</f>
        <v>N</v>
      </c>
      <c r="J72" s="30" t="str">
        <f>IF(Inventory[[#This Row],[Inventory Type]]="SD","Y",IF(Inventory[[#This Row],[Inventory Type]]="LV","Y","N"))</f>
        <v>Y</v>
      </c>
      <c r="K72" s="30" t="str">
        <f t="shared" si="9"/>
        <v>N</v>
      </c>
      <c r="L72" s="30" t="str">
        <f t="shared" si="10"/>
        <v>Original lot received</v>
      </c>
      <c r="M72" s="30" t="str">
        <f t="shared" si="11"/>
        <v>ORIG from SOS Project</v>
      </c>
      <c r="N72" s="80">
        <f>ROUNDDOWN(Master[[#This Row],[Quantity On Hand]],0)</f>
        <v>0</v>
      </c>
      <c r="O72" s="78" t="str">
        <f>IF(Master[[#This Row],[Quantity On Hand Units -''count'' or ''packet'']]="","",Master[[#This Row],[Quantity On Hand Units -''count'' or ''packet'']])</f>
        <v/>
      </c>
      <c r="P72" s="80" t="str">
        <f>IF(Master[[#This Row],[Inventory Type - Lookup Picker]]="","",Master[[#This Row],[Inventory Type - Lookup Picker]])</f>
        <v>SD</v>
      </c>
      <c r="Q72" s="45" t="str">
        <f t="shared" si="12"/>
        <v>Mike has</v>
      </c>
      <c r="R72" s="56">
        <f>IF(Master[[#This Row],[Latitude -decimal degrees]]="","",Master[[#This Row],[Latitude -decimal degrees]])</f>
        <v>40.148159999999997</v>
      </c>
      <c r="S72" s="56">
        <f>IF(Master[[#This Row],[Longitude -decimal degrees]]="","",Master[[#This Row],[Longitude -decimal degrees]])</f>
        <v>-109.12027</v>
      </c>
      <c r="T72" s="30" t="str">
        <f>IF(Master[[#This Row],[Parent Inventory]]="","",Master[[#This Row],[Parent Inventory]])</f>
        <v/>
      </c>
      <c r="U72" s="30">
        <f>IF(Master[[#This Row],[Hundred Seed Weight -gram]]="","",Master[[#This Row],[Hundred Seed Weight -gram]])</f>
        <v>0.29470000000000002</v>
      </c>
      <c r="V72" s="30" t="str">
        <f>IF(Master[[#This Row],[Note (Inventory)]]="","",Master[[#This Row],[Note (Inventory)]])</f>
        <v/>
      </c>
    </row>
    <row r="73" spans="1:22" x14ac:dyDescent="0.25">
      <c r="A73" s="30"/>
      <c r="B73" s="151" t="str">
        <f>IF(Master[[#This Row],[Inventory Prefix]]="","",Master[[#This Row],[Inventory Prefix]])</f>
        <v>W6</v>
      </c>
      <c r="C73" s="151" t="str">
        <f>IF(Master[[#This Row],[Inventory Number]]="","",Master[[#This Row],[Inventory Number]])</f>
        <v/>
      </c>
      <c r="D73" s="78" t="str">
        <f>IF(Master[[#This Row],[Inventory Suffix]]="","",Master[[#This Row],[Inventory Suffix]])</f>
        <v/>
      </c>
      <c r="E73" s="30" t="str">
        <f>IF(Master[[#This Row],[Inventory Type - Lookup Picker]]="","",Master[[#This Row],[Inventory Type - Lookup Picker]])</f>
        <v>SD</v>
      </c>
      <c r="F73" s="151" t="str">
        <f>Master[[#This Row],[Accession Prefix (NPGS)]]&amp;" "&amp;Master[[#This Row],[Accession Number -Assigned]]</f>
        <v>W6 59659</v>
      </c>
      <c r="G73" s="78" t="str">
        <f>IF(Master[[#This Row],[Inventory Maintenance Policy]]="","",Master[[#This Row],[Inventory Maintenance Policy]])</f>
        <v>w6_native</v>
      </c>
      <c r="H73" s="30" t="str">
        <f>IF(Master[[#This Row],[Inventory Maintenance Site -W6]]="","",Master[[#This Row],[Inventory Maintenance Site -W6]])</f>
        <v>W6</v>
      </c>
      <c r="I73" s="30" t="str">
        <f>IF(RIGHT(TEXT(Inventory[[#This Row],[Inventory Suffix]],"00"),2)="01","Y",IF(RIGHT(TEXT(Inventory[[#This Row],[Inventory Suffix]],"00"),2)="c1","Y",IF(RIGHT(TEXT(Inventory[[#This Row],[Inventory Suffix]],"00"),2)="m1","Y","N")))</f>
        <v>N</v>
      </c>
      <c r="J73" s="30" t="str">
        <f>IF(Inventory[[#This Row],[Inventory Type]]="SD","Y",IF(Inventory[[#This Row],[Inventory Type]]="LV","Y","N"))</f>
        <v>Y</v>
      </c>
      <c r="K73" s="30" t="str">
        <f t="shared" si="9"/>
        <v>N</v>
      </c>
      <c r="L73" s="30" t="str">
        <f t="shared" si="10"/>
        <v>Original lot received</v>
      </c>
      <c r="M73" s="30" t="str">
        <f t="shared" si="11"/>
        <v>ORIG from SOS Project</v>
      </c>
      <c r="N73" s="80">
        <f>ROUNDDOWN(Master[[#This Row],[Quantity On Hand]],0)</f>
        <v>0</v>
      </c>
      <c r="O73" s="78" t="str">
        <f>IF(Master[[#This Row],[Quantity On Hand Units -''count'' or ''packet'']]="","",Master[[#This Row],[Quantity On Hand Units -''count'' or ''packet'']])</f>
        <v/>
      </c>
      <c r="P73" s="80" t="str">
        <f>IF(Master[[#This Row],[Inventory Type - Lookup Picker]]="","",Master[[#This Row],[Inventory Type - Lookup Picker]])</f>
        <v>SD</v>
      </c>
      <c r="Q73" s="45" t="str">
        <f t="shared" si="12"/>
        <v>Mike has</v>
      </c>
      <c r="R73" s="56">
        <f>IF(Master[[#This Row],[Latitude -decimal degrees]]="","",Master[[#This Row],[Latitude -decimal degrees]])</f>
        <v>40.3033</v>
      </c>
      <c r="S73" s="56">
        <f>IF(Master[[#This Row],[Longitude -decimal degrees]]="","",Master[[#This Row],[Longitude -decimal degrees]])</f>
        <v>-109.20614</v>
      </c>
      <c r="T73" s="30" t="str">
        <f>IF(Master[[#This Row],[Parent Inventory]]="","",Master[[#This Row],[Parent Inventory]])</f>
        <v/>
      </c>
      <c r="U73" s="30">
        <f>IF(Master[[#This Row],[Hundred Seed Weight -gram]]="","",Master[[#This Row],[Hundred Seed Weight -gram]])</f>
        <v>0.21590000000000001</v>
      </c>
      <c r="V73" s="30" t="str">
        <f>IF(Master[[#This Row],[Note (Inventory)]]="","",Master[[#This Row],[Note (Inventory)]])</f>
        <v/>
      </c>
    </row>
    <row r="74" spans="1:22" x14ac:dyDescent="0.25">
      <c r="A74" s="30"/>
      <c r="B74" s="151" t="str">
        <f>IF(Master[[#This Row],[Inventory Prefix]]="","",Master[[#This Row],[Inventory Prefix]])</f>
        <v>W6</v>
      </c>
      <c r="C74" s="151" t="str">
        <f>IF(Master[[#This Row],[Inventory Number]]="","",Master[[#This Row],[Inventory Number]])</f>
        <v/>
      </c>
      <c r="D74" s="78" t="str">
        <f>IF(Master[[#This Row],[Inventory Suffix]]="","",Master[[#This Row],[Inventory Suffix]])</f>
        <v/>
      </c>
      <c r="E74" s="30" t="str">
        <f>IF(Master[[#This Row],[Inventory Type - Lookup Picker]]="","",Master[[#This Row],[Inventory Type - Lookup Picker]])</f>
        <v>SD</v>
      </c>
      <c r="F74" s="151" t="str">
        <f>Master[[#This Row],[Accession Prefix (NPGS)]]&amp;" "&amp;Master[[#This Row],[Accession Number -Assigned]]</f>
        <v>W6 59660</v>
      </c>
      <c r="G74" s="78" t="str">
        <f>IF(Master[[#This Row],[Inventory Maintenance Policy]]="","",Master[[#This Row],[Inventory Maintenance Policy]])</f>
        <v>w6_native</v>
      </c>
      <c r="H74" s="30" t="str">
        <f>IF(Master[[#This Row],[Inventory Maintenance Site -W6]]="","",Master[[#This Row],[Inventory Maintenance Site -W6]])</f>
        <v>W6</v>
      </c>
      <c r="I74" s="30" t="str">
        <f>IF(RIGHT(TEXT(Inventory[[#This Row],[Inventory Suffix]],"00"),2)="01","Y",IF(RIGHT(TEXT(Inventory[[#This Row],[Inventory Suffix]],"00"),2)="c1","Y",IF(RIGHT(TEXT(Inventory[[#This Row],[Inventory Suffix]],"00"),2)="m1","Y","N")))</f>
        <v>N</v>
      </c>
      <c r="J74" s="30" t="str">
        <f>IF(Inventory[[#This Row],[Inventory Type]]="SD","Y",IF(Inventory[[#This Row],[Inventory Type]]="LV","Y","N"))</f>
        <v>Y</v>
      </c>
      <c r="K74" s="30" t="str">
        <f t="shared" si="9"/>
        <v>N</v>
      </c>
      <c r="L74" s="30" t="str">
        <f t="shared" si="10"/>
        <v>Original lot received</v>
      </c>
      <c r="M74" s="30" t="str">
        <f t="shared" si="11"/>
        <v>ORIG from SOS Project</v>
      </c>
      <c r="N74" s="80">
        <f>ROUNDDOWN(Master[[#This Row],[Quantity On Hand]],0)</f>
        <v>0</v>
      </c>
      <c r="O74" s="78" t="str">
        <f>IF(Master[[#This Row],[Quantity On Hand Units -''count'' or ''packet'']]="","",Master[[#This Row],[Quantity On Hand Units -''count'' or ''packet'']])</f>
        <v/>
      </c>
      <c r="P74" s="80" t="str">
        <f>IF(Master[[#This Row],[Inventory Type - Lookup Picker]]="","",Master[[#This Row],[Inventory Type - Lookup Picker]])</f>
        <v>SD</v>
      </c>
      <c r="Q74" s="45" t="str">
        <f t="shared" si="12"/>
        <v>Mike has</v>
      </c>
      <c r="R74" s="56">
        <f>IF(Master[[#This Row],[Latitude -decimal degrees]]="","",Master[[#This Row],[Latitude -decimal degrees]])</f>
        <v>40.301259999999999</v>
      </c>
      <c r="S74" s="56">
        <f>IF(Master[[#This Row],[Longitude -decimal degrees]]="","",Master[[#This Row],[Longitude -decimal degrees]])</f>
        <v>-109.19764000000001</v>
      </c>
      <c r="T74" s="30" t="str">
        <f>IF(Master[[#This Row],[Parent Inventory]]="","",Master[[#This Row],[Parent Inventory]])</f>
        <v/>
      </c>
      <c r="U74" s="30">
        <f>IF(Master[[#This Row],[Hundred Seed Weight -gram]]="","",Master[[#This Row],[Hundred Seed Weight -gram]])</f>
        <v>0.24349999999999999</v>
      </c>
      <c r="V74" s="30" t="str">
        <f>IF(Master[[#This Row],[Note (Inventory)]]="","",Master[[#This Row],[Note (Inventory)]])</f>
        <v/>
      </c>
    </row>
    <row r="75" spans="1:22" x14ac:dyDescent="0.25">
      <c r="A75" s="30"/>
      <c r="B75" s="151" t="str">
        <f>IF(Master[[#This Row],[Inventory Prefix]]="","",Master[[#This Row],[Inventory Prefix]])</f>
        <v>W6</v>
      </c>
      <c r="C75" s="151" t="str">
        <f>IF(Master[[#This Row],[Inventory Number]]="","",Master[[#This Row],[Inventory Number]])</f>
        <v/>
      </c>
      <c r="D75" s="78" t="str">
        <f>IF(Master[[#This Row],[Inventory Suffix]]="","",Master[[#This Row],[Inventory Suffix]])</f>
        <v/>
      </c>
      <c r="E75" s="30" t="str">
        <f>IF(Master[[#This Row],[Inventory Type - Lookup Picker]]="","",Master[[#This Row],[Inventory Type - Lookup Picker]])</f>
        <v>SD</v>
      </c>
      <c r="F75" s="151" t="str">
        <f>Master[[#This Row],[Accession Prefix (NPGS)]]&amp;" "&amp;Master[[#This Row],[Accession Number -Assigned]]</f>
        <v>W6 59661</v>
      </c>
      <c r="G75" s="78" t="str">
        <f>IF(Master[[#This Row],[Inventory Maintenance Policy]]="","",Master[[#This Row],[Inventory Maintenance Policy]])</f>
        <v>w6_native</v>
      </c>
      <c r="H75" s="30" t="str">
        <f>IF(Master[[#This Row],[Inventory Maintenance Site -W6]]="","",Master[[#This Row],[Inventory Maintenance Site -W6]])</f>
        <v>W6</v>
      </c>
      <c r="I75" s="30" t="str">
        <f>IF(RIGHT(TEXT(Inventory[[#This Row],[Inventory Suffix]],"00"),2)="01","Y",IF(RIGHT(TEXT(Inventory[[#This Row],[Inventory Suffix]],"00"),2)="c1","Y",IF(RIGHT(TEXT(Inventory[[#This Row],[Inventory Suffix]],"00"),2)="m1","Y","N")))</f>
        <v>N</v>
      </c>
      <c r="J75" s="30" t="str">
        <f>IF(Inventory[[#This Row],[Inventory Type]]="SD","Y",IF(Inventory[[#This Row],[Inventory Type]]="LV","Y","N"))</f>
        <v>Y</v>
      </c>
      <c r="K75" s="30" t="str">
        <f t="shared" si="9"/>
        <v>N</v>
      </c>
      <c r="L75" s="30" t="str">
        <f t="shared" si="10"/>
        <v>Original lot received</v>
      </c>
      <c r="M75" s="30" t="str">
        <f t="shared" si="11"/>
        <v>ORIG from SOS Project</v>
      </c>
      <c r="N75" s="80">
        <f>ROUNDDOWN(Master[[#This Row],[Quantity On Hand]],0)</f>
        <v>0</v>
      </c>
      <c r="O75" s="78" t="str">
        <f>IF(Master[[#This Row],[Quantity On Hand Units -''count'' or ''packet'']]="","",Master[[#This Row],[Quantity On Hand Units -''count'' or ''packet'']])</f>
        <v/>
      </c>
      <c r="P75" s="80" t="str">
        <f>IF(Master[[#This Row],[Inventory Type - Lookup Picker]]="","",Master[[#This Row],[Inventory Type - Lookup Picker]])</f>
        <v>SD</v>
      </c>
      <c r="Q75" s="45" t="str">
        <f t="shared" si="12"/>
        <v>Mike has</v>
      </c>
      <c r="R75" s="56">
        <f>IF(Master[[#This Row],[Latitude -decimal degrees]]="","",Master[[#This Row],[Latitude -decimal degrees]])</f>
        <v>40.265549999999998</v>
      </c>
      <c r="S75" s="56">
        <f>IF(Master[[#This Row],[Longitude -decimal degrees]]="","",Master[[#This Row],[Longitude -decimal degrees]])</f>
        <v>-109.685</v>
      </c>
      <c r="T75" s="30" t="str">
        <f>IF(Master[[#This Row],[Parent Inventory]]="","",Master[[#This Row],[Parent Inventory]])</f>
        <v/>
      </c>
      <c r="U75" s="30">
        <f>IF(Master[[#This Row],[Hundred Seed Weight -gram]]="","",Master[[#This Row],[Hundred Seed Weight -gram]])</f>
        <v>0.115</v>
      </c>
      <c r="V75" s="30" t="str">
        <f>IF(Master[[#This Row],[Note (Inventory)]]="","",Master[[#This Row],[Note (Inventory)]])</f>
        <v/>
      </c>
    </row>
    <row r="76" spans="1:22" x14ac:dyDescent="0.25">
      <c r="A76" s="30"/>
      <c r="B76" s="151" t="str">
        <f>IF(Master[[#This Row],[Inventory Prefix]]="","",Master[[#This Row],[Inventory Prefix]])</f>
        <v>W6</v>
      </c>
      <c r="C76" s="151" t="str">
        <f>IF(Master[[#This Row],[Inventory Number]]="","",Master[[#This Row],[Inventory Number]])</f>
        <v/>
      </c>
      <c r="D76" s="78" t="str">
        <f>IF(Master[[#This Row],[Inventory Suffix]]="","",Master[[#This Row],[Inventory Suffix]])</f>
        <v/>
      </c>
      <c r="E76" s="30" t="str">
        <f>IF(Master[[#This Row],[Inventory Type - Lookup Picker]]="","",Master[[#This Row],[Inventory Type - Lookup Picker]])</f>
        <v>SD</v>
      </c>
      <c r="F76" s="151" t="str">
        <f>Master[[#This Row],[Accession Prefix (NPGS)]]&amp;" "&amp;Master[[#This Row],[Accession Number -Assigned]]</f>
        <v>W6 59662</v>
      </c>
      <c r="G76" s="78" t="str">
        <f>IF(Master[[#This Row],[Inventory Maintenance Policy]]="","",Master[[#This Row],[Inventory Maintenance Policy]])</f>
        <v>w6_native</v>
      </c>
      <c r="H76" s="30" t="str">
        <f>IF(Master[[#This Row],[Inventory Maintenance Site -W6]]="","",Master[[#This Row],[Inventory Maintenance Site -W6]])</f>
        <v>W6</v>
      </c>
      <c r="I76" s="30" t="str">
        <f>IF(RIGHT(TEXT(Inventory[[#This Row],[Inventory Suffix]],"00"),2)="01","Y",IF(RIGHT(TEXT(Inventory[[#This Row],[Inventory Suffix]],"00"),2)="c1","Y",IF(RIGHT(TEXT(Inventory[[#This Row],[Inventory Suffix]],"00"),2)="m1","Y","N")))</f>
        <v>N</v>
      </c>
      <c r="J76" s="30" t="str">
        <f>IF(Inventory[[#This Row],[Inventory Type]]="SD","Y",IF(Inventory[[#This Row],[Inventory Type]]="LV","Y","N"))</f>
        <v>Y</v>
      </c>
      <c r="K76" s="30" t="str">
        <f t="shared" si="9"/>
        <v>N</v>
      </c>
      <c r="L76" s="30" t="str">
        <f t="shared" si="10"/>
        <v>Original lot received</v>
      </c>
      <c r="M76" s="30" t="str">
        <f t="shared" si="11"/>
        <v>ORIG from SOS Project</v>
      </c>
      <c r="N76" s="80">
        <f>ROUNDDOWN(Master[[#This Row],[Quantity On Hand]],0)</f>
        <v>0</v>
      </c>
      <c r="O76" s="78" t="str">
        <f>IF(Master[[#This Row],[Quantity On Hand Units -''count'' or ''packet'']]="","",Master[[#This Row],[Quantity On Hand Units -''count'' or ''packet'']])</f>
        <v/>
      </c>
      <c r="P76" s="80" t="str">
        <f>IF(Master[[#This Row],[Inventory Type - Lookup Picker]]="","",Master[[#This Row],[Inventory Type - Lookup Picker]])</f>
        <v>SD</v>
      </c>
      <c r="Q76" s="45" t="str">
        <f t="shared" si="12"/>
        <v>Mike has</v>
      </c>
      <c r="R76" s="56">
        <f>IF(Master[[#This Row],[Latitude -decimal degrees]]="","",Master[[#This Row],[Latitude -decimal degrees]])</f>
        <v>40.248049999999999</v>
      </c>
      <c r="S76" s="56">
        <f>IF(Master[[#This Row],[Longitude -decimal degrees]]="","",Master[[#This Row],[Longitude -decimal degrees]])</f>
        <v>-109.54777</v>
      </c>
      <c r="T76" s="30" t="str">
        <f>IF(Master[[#This Row],[Parent Inventory]]="","",Master[[#This Row],[Parent Inventory]])</f>
        <v/>
      </c>
      <c r="U76" s="30">
        <f>IF(Master[[#This Row],[Hundred Seed Weight -gram]]="","",Master[[#This Row],[Hundred Seed Weight -gram]])</f>
        <v>0.17169999999999999</v>
      </c>
      <c r="V76" s="30" t="str">
        <f>IF(Master[[#This Row],[Note (Inventory)]]="","",Master[[#This Row],[Note (Inventory)]])</f>
        <v/>
      </c>
    </row>
    <row r="77" spans="1:22" x14ac:dyDescent="0.25">
      <c r="A77" s="30"/>
      <c r="B77" s="151" t="str">
        <f>IF(Master[[#This Row],[Inventory Prefix]]="","",Master[[#This Row],[Inventory Prefix]])</f>
        <v>W6</v>
      </c>
      <c r="C77" s="151" t="str">
        <f>IF(Master[[#This Row],[Inventory Number]]="","",Master[[#This Row],[Inventory Number]])</f>
        <v/>
      </c>
      <c r="D77" s="78" t="str">
        <f>IF(Master[[#This Row],[Inventory Suffix]]="","",Master[[#This Row],[Inventory Suffix]])</f>
        <v/>
      </c>
      <c r="E77" s="30" t="str">
        <f>IF(Master[[#This Row],[Inventory Type - Lookup Picker]]="","",Master[[#This Row],[Inventory Type - Lookup Picker]])</f>
        <v>SD</v>
      </c>
      <c r="F77" s="151" t="str">
        <f>Master[[#This Row],[Accession Prefix (NPGS)]]&amp;" "&amp;Master[[#This Row],[Accession Number -Assigned]]</f>
        <v>W6 59663</v>
      </c>
      <c r="G77" s="78" t="str">
        <f>IF(Master[[#This Row],[Inventory Maintenance Policy]]="","",Master[[#This Row],[Inventory Maintenance Policy]])</f>
        <v>w6_native</v>
      </c>
      <c r="H77" s="30" t="str">
        <f>IF(Master[[#This Row],[Inventory Maintenance Site -W6]]="","",Master[[#This Row],[Inventory Maintenance Site -W6]])</f>
        <v>W6</v>
      </c>
      <c r="I77" s="30" t="str">
        <f>IF(RIGHT(TEXT(Inventory[[#This Row],[Inventory Suffix]],"00"),2)="01","Y",IF(RIGHT(TEXT(Inventory[[#This Row],[Inventory Suffix]],"00"),2)="c1","Y",IF(RIGHT(TEXT(Inventory[[#This Row],[Inventory Suffix]],"00"),2)="m1","Y","N")))</f>
        <v>N</v>
      </c>
      <c r="J77" s="30" t="str">
        <f>IF(Inventory[[#This Row],[Inventory Type]]="SD","Y",IF(Inventory[[#This Row],[Inventory Type]]="LV","Y","N"))</f>
        <v>Y</v>
      </c>
      <c r="K77" s="30" t="str">
        <f t="shared" si="9"/>
        <v>N</v>
      </c>
      <c r="L77" s="30" t="str">
        <f t="shared" si="10"/>
        <v>Original lot received</v>
      </c>
      <c r="M77" s="30" t="str">
        <f t="shared" si="11"/>
        <v>ORIG from SOS Project</v>
      </c>
      <c r="N77" s="80">
        <f>ROUNDDOWN(Master[[#This Row],[Quantity On Hand]],0)</f>
        <v>0</v>
      </c>
      <c r="O77" s="78" t="str">
        <f>IF(Master[[#This Row],[Quantity On Hand Units -''count'' or ''packet'']]="","",Master[[#This Row],[Quantity On Hand Units -''count'' or ''packet'']])</f>
        <v/>
      </c>
      <c r="P77" s="80" t="str">
        <f>IF(Master[[#This Row],[Inventory Type - Lookup Picker]]="","",Master[[#This Row],[Inventory Type - Lookup Picker]])</f>
        <v>SD</v>
      </c>
      <c r="Q77" s="45" t="str">
        <f t="shared" si="12"/>
        <v>Mike has</v>
      </c>
      <c r="R77" s="56">
        <f>IF(Master[[#This Row],[Latitude -decimal degrees]]="","",Master[[#This Row],[Latitude -decimal degrees]])</f>
        <v>40.236660000000001</v>
      </c>
      <c r="S77" s="56">
        <f>IF(Master[[#This Row],[Longitude -decimal degrees]]="","",Master[[#This Row],[Longitude -decimal degrees]])</f>
        <v>-109.15638</v>
      </c>
      <c r="T77" s="30" t="str">
        <f>IF(Master[[#This Row],[Parent Inventory]]="","",Master[[#This Row],[Parent Inventory]])</f>
        <v/>
      </c>
      <c r="U77" s="30">
        <f>IF(Master[[#This Row],[Hundred Seed Weight -gram]]="","",Master[[#This Row],[Hundred Seed Weight -gram]])</f>
        <v>0.34789999999999999</v>
      </c>
      <c r="V77" s="30" t="str">
        <f>IF(Master[[#This Row],[Note (Inventory)]]="","",Master[[#This Row],[Note (Inventory)]])</f>
        <v/>
      </c>
    </row>
    <row r="78" spans="1:22" x14ac:dyDescent="0.25">
      <c r="A78" s="30"/>
      <c r="B78" s="151" t="str">
        <f>IF(Master[[#This Row],[Inventory Prefix]]="","",Master[[#This Row],[Inventory Prefix]])</f>
        <v>W6</v>
      </c>
      <c r="C78" s="151" t="str">
        <f>IF(Master[[#This Row],[Inventory Number]]="","",Master[[#This Row],[Inventory Number]])</f>
        <v/>
      </c>
      <c r="D78" s="78" t="str">
        <f>IF(Master[[#This Row],[Inventory Suffix]]="","",Master[[#This Row],[Inventory Suffix]])</f>
        <v/>
      </c>
      <c r="E78" s="30" t="str">
        <f>IF(Master[[#This Row],[Inventory Type - Lookup Picker]]="","",Master[[#This Row],[Inventory Type - Lookup Picker]])</f>
        <v>SD</v>
      </c>
      <c r="F78" s="151" t="str">
        <f>Master[[#This Row],[Accession Prefix (NPGS)]]&amp;" "&amp;Master[[#This Row],[Accession Number -Assigned]]</f>
        <v>W6 59664</v>
      </c>
      <c r="G78" s="78" t="str">
        <f>IF(Master[[#This Row],[Inventory Maintenance Policy]]="","",Master[[#This Row],[Inventory Maintenance Policy]])</f>
        <v>w6_native</v>
      </c>
      <c r="H78" s="30" t="str">
        <f>IF(Master[[#This Row],[Inventory Maintenance Site -W6]]="","",Master[[#This Row],[Inventory Maintenance Site -W6]])</f>
        <v>W6</v>
      </c>
      <c r="I78" s="30" t="str">
        <f>IF(RIGHT(TEXT(Inventory[[#This Row],[Inventory Suffix]],"00"),2)="01","Y",IF(RIGHT(TEXT(Inventory[[#This Row],[Inventory Suffix]],"00"),2)="c1","Y",IF(RIGHT(TEXT(Inventory[[#This Row],[Inventory Suffix]],"00"),2)="m1","Y","N")))</f>
        <v>N</v>
      </c>
      <c r="J78" s="30" t="str">
        <f>IF(Inventory[[#This Row],[Inventory Type]]="SD","Y",IF(Inventory[[#This Row],[Inventory Type]]="LV","Y","N"))</f>
        <v>Y</v>
      </c>
      <c r="K78" s="30" t="str">
        <f t="shared" si="9"/>
        <v>N</v>
      </c>
      <c r="L78" s="30" t="str">
        <f t="shared" si="10"/>
        <v>Original lot received</v>
      </c>
      <c r="M78" s="30" t="str">
        <f t="shared" si="11"/>
        <v>ORIG from SOS Project</v>
      </c>
      <c r="N78" s="80">
        <f>ROUNDDOWN(Master[[#This Row],[Quantity On Hand]],0)</f>
        <v>0</v>
      </c>
      <c r="O78" s="78" t="str">
        <f>IF(Master[[#This Row],[Quantity On Hand Units -''count'' or ''packet'']]="","",Master[[#This Row],[Quantity On Hand Units -''count'' or ''packet'']])</f>
        <v/>
      </c>
      <c r="P78" s="80" t="str">
        <f>IF(Master[[#This Row],[Inventory Type - Lookup Picker]]="","",Master[[#This Row],[Inventory Type - Lookup Picker]])</f>
        <v>SD</v>
      </c>
      <c r="Q78" s="45" t="str">
        <f t="shared" si="12"/>
        <v>Mike has</v>
      </c>
      <c r="R78" s="56">
        <f>IF(Master[[#This Row],[Latitude -decimal degrees]]="","",Master[[#This Row],[Latitude -decimal degrees]])</f>
        <v>40.676409999999997</v>
      </c>
      <c r="S78" s="56">
        <f>IF(Master[[#This Row],[Longitude -decimal degrees]]="","",Master[[#This Row],[Longitude -decimal degrees]])</f>
        <v>-109.48761</v>
      </c>
      <c r="T78" s="30" t="str">
        <f>IF(Master[[#This Row],[Parent Inventory]]="","",Master[[#This Row],[Parent Inventory]])</f>
        <v/>
      </c>
      <c r="U78" s="30">
        <f>IF(Master[[#This Row],[Hundred Seed Weight -gram]]="","",Master[[#This Row],[Hundred Seed Weight -gram]])</f>
        <v>0.26440000000000002</v>
      </c>
      <c r="V78" s="30" t="str">
        <f>IF(Master[[#This Row],[Note (Inventory)]]="","",Master[[#This Row],[Note (Inventory)]])</f>
        <v/>
      </c>
    </row>
    <row r="79" spans="1:22" x14ac:dyDescent="0.25">
      <c r="A79" s="30"/>
      <c r="B79" s="151" t="str">
        <f>IF(Master[[#This Row],[Inventory Prefix]]="","",Master[[#This Row],[Inventory Prefix]])</f>
        <v>W6</v>
      </c>
      <c r="C79" s="151" t="str">
        <f>IF(Master[[#This Row],[Inventory Number]]="","",Master[[#This Row],[Inventory Number]])</f>
        <v/>
      </c>
      <c r="D79" s="78" t="str">
        <f>IF(Master[[#This Row],[Inventory Suffix]]="","",Master[[#This Row],[Inventory Suffix]])</f>
        <v/>
      </c>
      <c r="E79" s="30" t="str">
        <f>IF(Master[[#This Row],[Inventory Type - Lookup Picker]]="","",Master[[#This Row],[Inventory Type - Lookup Picker]])</f>
        <v>SD</v>
      </c>
      <c r="F79" s="151" t="str">
        <f>Master[[#This Row],[Accession Prefix (NPGS)]]&amp;" "&amp;Master[[#This Row],[Accession Number -Assigned]]</f>
        <v>W6 59665</v>
      </c>
      <c r="G79" s="78" t="str">
        <f>IF(Master[[#This Row],[Inventory Maintenance Policy]]="","",Master[[#This Row],[Inventory Maintenance Policy]])</f>
        <v>w6_native</v>
      </c>
      <c r="H79" s="30" t="str">
        <f>IF(Master[[#This Row],[Inventory Maintenance Site -W6]]="","",Master[[#This Row],[Inventory Maintenance Site -W6]])</f>
        <v>W6</v>
      </c>
      <c r="I79" s="30" t="str">
        <f>IF(RIGHT(TEXT(Inventory[[#This Row],[Inventory Suffix]],"00"),2)="01","Y",IF(RIGHT(TEXT(Inventory[[#This Row],[Inventory Suffix]],"00"),2)="c1","Y",IF(RIGHT(TEXT(Inventory[[#This Row],[Inventory Suffix]],"00"),2)="m1","Y","N")))</f>
        <v>N</v>
      </c>
      <c r="J79" s="30" t="str">
        <f>IF(Inventory[[#This Row],[Inventory Type]]="SD","Y",IF(Inventory[[#This Row],[Inventory Type]]="LV","Y","N"))</f>
        <v>Y</v>
      </c>
      <c r="K79" s="30" t="str">
        <f t="shared" si="9"/>
        <v>N</v>
      </c>
      <c r="L79" s="30" t="str">
        <f t="shared" si="10"/>
        <v>Original lot received</v>
      </c>
      <c r="M79" s="30" t="str">
        <f t="shared" si="11"/>
        <v>ORIG from SOS Project</v>
      </c>
      <c r="N79" s="80">
        <f>ROUNDDOWN(Master[[#This Row],[Quantity On Hand]],0)</f>
        <v>0</v>
      </c>
      <c r="O79" s="78" t="str">
        <f>IF(Master[[#This Row],[Quantity On Hand Units -''count'' or ''packet'']]="","",Master[[#This Row],[Quantity On Hand Units -''count'' or ''packet'']])</f>
        <v/>
      </c>
      <c r="P79" s="80" t="str">
        <f>IF(Master[[#This Row],[Inventory Type - Lookup Picker]]="","",Master[[#This Row],[Inventory Type - Lookup Picker]])</f>
        <v>SD</v>
      </c>
      <c r="Q79" s="45" t="str">
        <f t="shared" si="12"/>
        <v>Mike has</v>
      </c>
      <c r="R79" s="56">
        <f>IF(Master[[#This Row],[Latitude -decimal degrees]]="","",Master[[#This Row],[Latitude -decimal degrees]])</f>
        <v>40.143329999999999</v>
      </c>
      <c r="S79" s="56">
        <f>IF(Master[[#This Row],[Longitude -decimal degrees]]="","",Master[[#This Row],[Longitude -decimal degrees]])</f>
        <v>-109.66166</v>
      </c>
      <c r="T79" s="30" t="str">
        <f>IF(Master[[#This Row],[Parent Inventory]]="","",Master[[#This Row],[Parent Inventory]])</f>
        <v/>
      </c>
      <c r="U79" s="30">
        <f>IF(Master[[#This Row],[Hundred Seed Weight -gram]]="","",Master[[#This Row],[Hundred Seed Weight -gram]])</f>
        <v>1.8100000000000002E-2</v>
      </c>
      <c r="V79" s="30" t="str">
        <f>IF(Master[[#This Row],[Note (Inventory)]]="","",Master[[#This Row],[Note (Inventory)]])</f>
        <v/>
      </c>
    </row>
    <row r="80" spans="1:22" x14ac:dyDescent="0.25">
      <c r="A80" s="30"/>
      <c r="B80" s="151" t="str">
        <f>IF(Master[[#This Row],[Inventory Prefix]]="","",Master[[#This Row],[Inventory Prefix]])</f>
        <v>W6</v>
      </c>
      <c r="C80" s="151" t="str">
        <f>IF(Master[[#This Row],[Inventory Number]]="","",Master[[#This Row],[Inventory Number]])</f>
        <v/>
      </c>
      <c r="D80" s="78" t="str">
        <f>IF(Master[[#This Row],[Inventory Suffix]]="","",Master[[#This Row],[Inventory Suffix]])</f>
        <v/>
      </c>
      <c r="E80" s="30" t="str">
        <f>IF(Master[[#This Row],[Inventory Type - Lookup Picker]]="","",Master[[#This Row],[Inventory Type - Lookup Picker]])</f>
        <v>SD</v>
      </c>
      <c r="F80" s="151" t="str">
        <f>Master[[#This Row],[Accession Prefix (NPGS)]]&amp;" "&amp;Master[[#This Row],[Accession Number -Assigned]]</f>
        <v>W6 59666</v>
      </c>
      <c r="G80" s="78" t="str">
        <f>IF(Master[[#This Row],[Inventory Maintenance Policy]]="","",Master[[#This Row],[Inventory Maintenance Policy]])</f>
        <v>w6_native</v>
      </c>
      <c r="H80" s="30" t="str">
        <f>IF(Master[[#This Row],[Inventory Maintenance Site -W6]]="","",Master[[#This Row],[Inventory Maintenance Site -W6]])</f>
        <v>W6</v>
      </c>
      <c r="I80" s="30" t="str">
        <f>IF(RIGHT(TEXT(Inventory[[#This Row],[Inventory Suffix]],"00"),2)="01","Y",IF(RIGHT(TEXT(Inventory[[#This Row],[Inventory Suffix]],"00"),2)="c1","Y",IF(RIGHT(TEXT(Inventory[[#This Row],[Inventory Suffix]],"00"),2)="m1","Y","N")))</f>
        <v>N</v>
      </c>
      <c r="J80" s="30" t="str">
        <f>IF(Inventory[[#This Row],[Inventory Type]]="SD","Y",IF(Inventory[[#This Row],[Inventory Type]]="LV","Y","N"))</f>
        <v>Y</v>
      </c>
      <c r="K80" s="30" t="str">
        <f t="shared" si="9"/>
        <v>N</v>
      </c>
      <c r="L80" s="30" t="str">
        <f t="shared" si="10"/>
        <v>Original lot received</v>
      </c>
      <c r="M80" s="30" t="str">
        <f t="shared" si="11"/>
        <v>ORIG from SOS Project</v>
      </c>
      <c r="N80" s="80">
        <f>ROUNDDOWN(Master[[#This Row],[Quantity On Hand]],0)</f>
        <v>0</v>
      </c>
      <c r="O80" s="78" t="str">
        <f>IF(Master[[#This Row],[Quantity On Hand Units -''count'' or ''packet'']]="","",Master[[#This Row],[Quantity On Hand Units -''count'' or ''packet'']])</f>
        <v/>
      </c>
      <c r="P80" s="80" t="str">
        <f>IF(Master[[#This Row],[Inventory Type - Lookup Picker]]="","",Master[[#This Row],[Inventory Type - Lookup Picker]])</f>
        <v>SD</v>
      </c>
      <c r="Q80" s="45" t="str">
        <f t="shared" si="12"/>
        <v>Mike has</v>
      </c>
      <c r="R80" s="56">
        <f>IF(Master[[#This Row],[Latitude -decimal degrees]]="","",Master[[#This Row],[Latitude -decimal degrees]])</f>
        <v>40.261940000000003</v>
      </c>
      <c r="S80" s="56">
        <f>IF(Master[[#This Row],[Longitude -decimal degrees]]="","",Master[[#This Row],[Longitude -decimal degrees]])</f>
        <v>-109.70305</v>
      </c>
      <c r="T80" s="30" t="str">
        <f>IF(Master[[#This Row],[Parent Inventory]]="","",Master[[#This Row],[Parent Inventory]])</f>
        <v/>
      </c>
      <c r="U80" s="30">
        <f>IF(Master[[#This Row],[Hundred Seed Weight -gram]]="","",Master[[#This Row],[Hundred Seed Weight -gram]])</f>
        <v>2.06E-2</v>
      </c>
      <c r="V80" s="30" t="str">
        <f>IF(Master[[#This Row],[Note (Inventory)]]="","",Master[[#This Row],[Note (Inventory)]])</f>
        <v/>
      </c>
    </row>
    <row r="81" spans="1:22" x14ac:dyDescent="0.25">
      <c r="A81" s="30"/>
      <c r="B81" s="151" t="str">
        <f>IF(Master[[#This Row],[Inventory Prefix]]="","",Master[[#This Row],[Inventory Prefix]])</f>
        <v>W6</v>
      </c>
      <c r="C81" s="151" t="str">
        <f>IF(Master[[#This Row],[Inventory Number]]="","",Master[[#This Row],[Inventory Number]])</f>
        <v/>
      </c>
      <c r="D81" s="78" t="str">
        <f>IF(Master[[#This Row],[Inventory Suffix]]="","",Master[[#This Row],[Inventory Suffix]])</f>
        <v/>
      </c>
      <c r="E81" s="30" t="str">
        <f>IF(Master[[#This Row],[Inventory Type - Lookup Picker]]="","",Master[[#This Row],[Inventory Type - Lookup Picker]])</f>
        <v>SD</v>
      </c>
      <c r="F81" s="151" t="str">
        <f>Master[[#This Row],[Accession Prefix (NPGS)]]&amp;" "&amp;Master[[#This Row],[Accession Number -Assigned]]</f>
        <v>W6 59667</v>
      </c>
      <c r="G81" s="78" t="str">
        <f>IF(Master[[#This Row],[Inventory Maintenance Policy]]="","",Master[[#This Row],[Inventory Maintenance Policy]])</f>
        <v>w6_native</v>
      </c>
      <c r="H81" s="30" t="str">
        <f>IF(Master[[#This Row],[Inventory Maintenance Site -W6]]="","",Master[[#This Row],[Inventory Maintenance Site -W6]])</f>
        <v>W6</v>
      </c>
      <c r="I81" s="30" t="str">
        <f>IF(RIGHT(TEXT(Inventory[[#This Row],[Inventory Suffix]],"00"),2)="01","Y",IF(RIGHT(TEXT(Inventory[[#This Row],[Inventory Suffix]],"00"),2)="c1","Y",IF(RIGHT(TEXT(Inventory[[#This Row],[Inventory Suffix]],"00"),2)="m1","Y","N")))</f>
        <v>N</v>
      </c>
      <c r="J81" s="30" t="str">
        <f>IF(Inventory[[#This Row],[Inventory Type]]="SD","Y",IF(Inventory[[#This Row],[Inventory Type]]="LV","Y","N"))</f>
        <v>Y</v>
      </c>
      <c r="K81" s="30" t="str">
        <f t="shared" si="9"/>
        <v>N</v>
      </c>
      <c r="L81" s="30" t="str">
        <f t="shared" si="10"/>
        <v>Original lot received</v>
      </c>
      <c r="M81" s="30" t="str">
        <f t="shared" si="11"/>
        <v>ORIG from SOS Project</v>
      </c>
      <c r="N81" s="80">
        <f>ROUNDDOWN(Master[[#This Row],[Quantity On Hand]],0)</f>
        <v>0</v>
      </c>
      <c r="O81" s="78" t="str">
        <f>IF(Master[[#This Row],[Quantity On Hand Units -''count'' or ''packet'']]="","",Master[[#This Row],[Quantity On Hand Units -''count'' or ''packet'']])</f>
        <v/>
      </c>
      <c r="P81" s="80" t="str">
        <f>IF(Master[[#This Row],[Inventory Type - Lookup Picker]]="","",Master[[#This Row],[Inventory Type - Lookup Picker]])</f>
        <v>SD</v>
      </c>
      <c r="Q81" s="45" t="str">
        <f t="shared" si="12"/>
        <v>Mike has</v>
      </c>
      <c r="R81" s="56">
        <f>IF(Master[[#This Row],[Latitude -decimal degrees]]="","",Master[[#This Row],[Latitude -decimal degrees]])</f>
        <v>40.335000000000001</v>
      </c>
      <c r="S81" s="56">
        <f>IF(Master[[#This Row],[Longitude -decimal degrees]]="","",Master[[#This Row],[Longitude -decimal degrees]])</f>
        <v>-109.62833000000001</v>
      </c>
      <c r="T81" s="30" t="str">
        <f>IF(Master[[#This Row],[Parent Inventory]]="","",Master[[#This Row],[Parent Inventory]])</f>
        <v/>
      </c>
      <c r="U81" s="30">
        <f>IF(Master[[#This Row],[Hundred Seed Weight -gram]]="","",Master[[#This Row],[Hundred Seed Weight -gram]])</f>
        <v>0.34329999999999999</v>
      </c>
      <c r="V81" s="30" t="str">
        <f>IF(Master[[#This Row],[Note (Inventory)]]="","",Master[[#This Row],[Note (Inventory)]])</f>
        <v/>
      </c>
    </row>
    <row r="82" spans="1:22" x14ac:dyDescent="0.25">
      <c r="A82" s="30"/>
      <c r="B82" s="151" t="str">
        <f>IF(Master[[#This Row],[Inventory Prefix]]="","",Master[[#This Row],[Inventory Prefix]])</f>
        <v>W6</v>
      </c>
      <c r="C82" s="151" t="str">
        <f>IF(Master[[#This Row],[Inventory Number]]="","",Master[[#This Row],[Inventory Number]])</f>
        <v/>
      </c>
      <c r="D82" s="78" t="str">
        <f>IF(Master[[#This Row],[Inventory Suffix]]="","",Master[[#This Row],[Inventory Suffix]])</f>
        <v/>
      </c>
      <c r="E82" s="30" t="str">
        <f>IF(Master[[#This Row],[Inventory Type - Lookup Picker]]="","",Master[[#This Row],[Inventory Type - Lookup Picker]])</f>
        <v>SD</v>
      </c>
      <c r="F82" s="151" t="str">
        <f>Master[[#This Row],[Accession Prefix (NPGS)]]&amp;" "&amp;Master[[#This Row],[Accession Number -Assigned]]</f>
        <v>W6 59668</v>
      </c>
      <c r="G82" s="78" t="str">
        <f>IF(Master[[#This Row],[Inventory Maintenance Policy]]="","",Master[[#This Row],[Inventory Maintenance Policy]])</f>
        <v>w6_native</v>
      </c>
      <c r="H82" s="30" t="str">
        <f>IF(Master[[#This Row],[Inventory Maintenance Site -W6]]="","",Master[[#This Row],[Inventory Maintenance Site -W6]])</f>
        <v>W6</v>
      </c>
      <c r="I82" s="30" t="str">
        <f>IF(RIGHT(TEXT(Inventory[[#This Row],[Inventory Suffix]],"00"),2)="01","Y",IF(RIGHT(TEXT(Inventory[[#This Row],[Inventory Suffix]],"00"),2)="c1","Y",IF(RIGHT(TEXT(Inventory[[#This Row],[Inventory Suffix]],"00"),2)="m1","Y","N")))</f>
        <v>N</v>
      </c>
      <c r="J82" s="30" t="str">
        <f>IF(Inventory[[#This Row],[Inventory Type]]="SD","Y",IF(Inventory[[#This Row],[Inventory Type]]="LV","Y","N"))</f>
        <v>Y</v>
      </c>
      <c r="K82" s="30" t="str">
        <f t="shared" si="9"/>
        <v>N</v>
      </c>
      <c r="L82" s="30" t="str">
        <f t="shared" si="10"/>
        <v>Original lot received</v>
      </c>
      <c r="M82" s="30" t="str">
        <f t="shared" si="11"/>
        <v>ORIG from SOS Project</v>
      </c>
      <c r="N82" s="80">
        <f>ROUNDDOWN(Master[[#This Row],[Quantity On Hand]],0)</f>
        <v>0</v>
      </c>
      <c r="O82" s="78" t="str">
        <f>IF(Master[[#This Row],[Quantity On Hand Units -''count'' or ''packet'']]="","",Master[[#This Row],[Quantity On Hand Units -''count'' or ''packet'']])</f>
        <v/>
      </c>
      <c r="P82" s="80" t="str">
        <f>IF(Master[[#This Row],[Inventory Type - Lookup Picker]]="","",Master[[#This Row],[Inventory Type - Lookup Picker]])</f>
        <v>SD</v>
      </c>
      <c r="Q82" s="45" t="str">
        <f t="shared" si="12"/>
        <v>Mike has</v>
      </c>
      <c r="R82" s="56">
        <f>IF(Master[[#This Row],[Latitude -decimal degrees]]="","",Master[[#This Row],[Latitude -decimal degrees]])</f>
        <v>40.31138</v>
      </c>
      <c r="S82" s="56">
        <f>IF(Master[[#This Row],[Longitude -decimal degrees]]="","",Master[[#This Row],[Longitude -decimal degrees]])</f>
        <v>-109.4825</v>
      </c>
      <c r="T82" s="30" t="str">
        <f>IF(Master[[#This Row],[Parent Inventory]]="","",Master[[#This Row],[Parent Inventory]])</f>
        <v/>
      </c>
      <c r="U82" s="30">
        <f>IF(Master[[#This Row],[Hundred Seed Weight -gram]]="","",Master[[#This Row],[Hundred Seed Weight -gram]])</f>
        <v>0.26729999999999998</v>
      </c>
      <c r="V82" s="30" t="str">
        <f>IF(Master[[#This Row],[Note (Inventory)]]="","",Master[[#This Row],[Note (Inventory)]])</f>
        <v/>
      </c>
    </row>
    <row r="83" spans="1:22" x14ac:dyDescent="0.25">
      <c r="A83" s="30"/>
      <c r="B83" s="151" t="str">
        <f>IF(Master[[#This Row],[Inventory Prefix]]="","",Master[[#This Row],[Inventory Prefix]])</f>
        <v>W6</v>
      </c>
      <c r="C83" s="151" t="str">
        <f>IF(Master[[#This Row],[Inventory Number]]="","",Master[[#This Row],[Inventory Number]])</f>
        <v/>
      </c>
      <c r="D83" s="78" t="str">
        <f>IF(Master[[#This Row],[Inventory Suffix]]="","",Master[[#This Row],[Inventory Suffix]])</f>
        <v/>
      </c>
      <c r="E83" s="30" t="str">
        <f>IF(Master[[#This Row],[Inventory Type - Lookup Picker]]="","",Master[[#This Row],[Inventory Type - Lookup Picker]])</f>
        <v>SD</v>
      </c>
      <c r="F83" s="151" t="str">
        <f>Master[[#This Row],[Accession Prefix (NPGS)]]&amp;" "&amp;Master[[#This Row],[Accession Number -Assigned]]</f>
        <v>W6 59669</v>
      </c>
      <c r="G83" s="78" t="str">
        <f>IF(Master[[#This Row],[Inventory Maintenance Policy]]="","",Master[[#This Row],[Inventory Maintenance Policy]])</f>
        <v>w6_native</v>
      </c>
      <c r="H83" s="30" t="str">
        <f>IF(Master[[#This Row],[Inventory Maintenance Site -W6]]="","",Master[[#This Row],[Inventory Maintenance Site -W6]])</f>
        <v>W6</v>
      </c>
      <c r="I83" s="30" t="str">
        <f>IF(RIGHT(TEXT(Inventory[[#This Row],[Inventory Suffix]],"00"),2)="01","Y",IF(RIGHT(TEXT(Inventory[[#This Row],[Inventory Suffix]],"00"),2)="c1","Y",IF(RIGHT(TEXT(Inventory[[#This Row],[Inventory Suffix]],"00"),2)="m1","Y","N")))</f>
        <v>N</v>
      </c>
      <c r="J83" s="30" t="str">
        <f>IF(Inventory[[#This Row],[Inventory Type]]="SD","Y",IF(Inventory[[#This Row],[Inventory Type]]="LV","Y","N"))</f>
        <v>Y</v>
      </c>
      <c r="K83" s="30" t="str">
        <f t="shared" si="9"/>
        <v>N</v>
      </c>
      <c r="L83" s="30" t="str">
        <f t="shared" si="10"/>
        <v>Original lot received</v>
      </c>
      <c r="M83" s="30" t="str">
        <f t="shared" si="11"/>
        <v>ORIG from SOS Project</v>
      </c>
      <c r="N83" s="80">
        <f>ROUNDDOWN(Master[[#This Row],[Quantity On Hand]],0)</f>
        <v>0</v>
      </c>
      <c r="O83" s="78" t="str">
        <f>IF(Master[[#This Row],[Quantity On Hand Units -''count'' or ''packet'']]="","",Master[[#This Row],[Quantity On Hand Units -''count'' or ''packet'']])</f>
        <v/>
      </c>
      <c r="P83" s="80" t="str">
        <f>IF(Master[[#This Row],[Inventory Type - Lookup Picker]]="","",Master[[#This Row],[Inventory Type - Lookup Picker]])</f>
        <v>SD</v>
      </c>
      <c r="Q83" s="45" t="str">
        <f t="shared" si="12"/>
        <v>Mike has</v>
      </c>
      <c r="R83" s="56">
        <f>IF(Master[[#This Row],[Latitude -decimal degrees]]="","",Master[[#This Row],[Latitude -decimal degrees]])</f>
        <v>40.177500000000002</v>
      </c>
      <c r="S83" s="56">
        <f>IF(Master[[#This Row],[Longitude -decimal degrees]]="","",Master[[#This Row],[Longitude -decimal degrees]])</f>
        <v>-109.69333</v>
      </c>
      <c r="T83" s="30" t="str">
        <f>IF(Master[[#This Row],[Parent Inventory]]="","",Master[[#This Row],[Parent Inventory]])</f>
        <v/>
      </c>
      <c r="U83" s="30">
        <f>IF(Master[[#This Row],[Hundred Seed Weight -gram]]="","",Master[[#This Row],[Hundred Seed Weight -gram]])</f>
        <v>3.8778000000000001</v>
      </c>
      <c r="V83" s="30" t="str">
        <f>IF(Master[[#This Row],[Note (Inventory)]]="","",Master[[#This Row],[Note (Inventory)]])</f>
        <v/>
      </c>
    </row>
    <row r="84" spans="1:22" x14ac:dyDescent="0.25">
      <c r="A84" s="30"/>
      <c r="B84" s="151" t="str">
        <f>IF(Master[[#This Row],[Inventory Prefix]]="","",Master[[#This Row],[Inventory Prefix]])</f>
        <v>W6</v>
      </c>
      <c r="C84" s="151" t="str">
        <f>IF(Master[[#This Row],[Inventory Number]]="","",Master[[#This Row],[Inventory Number]])</f>
        <v/>
      </c>
      <c r="D84" s="78" t="str">
        <f>IF(Master[[#This Row],[Inventory Suffix]]="","",Master[[#This Row],[Inventory Suffix]])</f>
        <v/>
      </c>
      <c r="E84" s="30" t="str">
        <f>IF(Master[[#This Row],[Inventory Type - Lookup Picker]]="","",Master[[#This Row],[Inventory Type - Lookup Picker]])</f>
        <v>SD</v>
      </c>
      <c r="F84" s="151" t="str">
        <f>Master[[#This Row],[Accession Prefix (NPGS)]]&amp;" "&amp;Master[[#This Row],[Accession Number -Assigned]]</f>
        <v>W6 59670</v>
      </c>
      <c r="G84" s="78" t="str">
        <f>IF(Master[[#This Row],[Inventory Maintenance Policy]]="","",Master[[#This Row],[Inventory Maintenance Policy]])</f>
        <v>w6_native</v>
      </c>
      <c r="H84" s="30" t="str">
        <f>IF(Master[[#This Row],[Inventory Maintenance Site -W6]]="","",Master[[#This Row],[Inventory Maintenance Site -W6]])</f>
        <v>W6</v>
      </c>
      <c r="I84" s="30" t="str">
        <f>IF(RIGHT(TEXT(Inventory[[#This Row],[Inventory Suffix]],"00"),2)="01","Y",IF(RIGHT(TEXT(Inventory[[#This Row],[Inventory Suffix]],"00"),2)="c1","Y",IF(RIGHT(TEXT(Inventory[[#This Row],[Inventory Suffix]],"00"),2)="m1","Y","N")))</f>
        <v>N</v>
      </c>
      <c r="J84" s="30" t="str">
        <f>IF(Inventory[[#This Row],[Inventory Type]]="SD","Y",IF(Inventory[[#This Row],[Inventory Type]]="LV","Y","N"))</f>
        <v>Y</v>
      </c>
      <c r="K84" s="30" t="str">
        <f t="shared" si="9"/>
        <v>N</v>
      </c>
      <c r="L84" s="30" t="str">
        <f t="shared" si="10"/>
        <v>Original lot received</v>
      </c>
      <c r="M84" s="30" t="str">
        <f t="shared" si="11"/>
        <v>ORIG from SOS Project</v>
      </c>
      <c r="N84" s="80">
        <f>ROUNDDOWN(Master[[#This Row],[Quantity On Hand]],0)</f>
        <v>0</v>
      </c>
      <c r="O84" s="78" t="str">
        <f>IF(Master[[#This Row],[Quantity On Hand Units -''count'' or ''packet'']]="","",Master[[#This Row],[Quantity On Hand Units -''count'' or ''packet'']])</f>
        <v/>
      </c>
      <c r="P84" s="80" t="str">
        <f>IF(Master[[#This Row],[Inventory Type - Lookup Picker]]="","",Master[[#This Row],[Inventory Type - Lookup Picker]])</f>
        <v>SD</v>
      </c>
      <c r="Q84" s="45" t="str">
        <f t="shared" si="12"/>
        <v>Mike has</v>
      </c>
      <c r="R84" s="56">
        <f>IF(Master[[#This Row],[Latitude -decimal degrees]]="","",Master[[#This Row],[Latitude -decimal degrees]])</f>
        <v>40.684899999999999</v>
      </c>
      <c r="S84" s="56">
        <f>IF(Master[[#This Row],[Longitude -decimal degrees]]="","",Master[[#This Row],[Longitude -decimal degrees]])</f>
        <v>-109.49478000000001</v>
      </c>
      <c r="T84" s="30" t="str">
        <f>IF(Master[[#This Row],[Parent Inventory]]="","",Master[[#This Row],[Parent Inventory]])</f>
        <v/>
      </c>
      <c r="U84" s="30">
        <f>IF(Master[[#This Row],[Hundred Seed Weight -gram]]="","",Master[[#This Row],[Hundred Seed Weight -gram]])</f>
        <v>1.0500000000000001E-2</v>
      </c>
      <c r="V84" s="30" t="str">
        <f>IF(Master[[#This Row],[Note (Inventory)]]="","",Master[[#This Row],[Note (Inventory)]])</f>
        <v/>
      </c>
    </row>
    <row r="85" spans="1:22" x14ac:dyDescent="0.25">
      <c r="A85" s="30"/>
      <c r="B85" s="151" t="str">
        <f>IF(Master[[#This Row],[Inventory Prefix]]="","",Master[[#This Row],[Inventory Prefix]])</f>
        <v>W6</v>
      </c>
      <c r="C85" s="151" t="str">
        <f>IF(Master[[#This Row],[Inventory Number]]="","",Master[[#This Row],[Inventory Number]])</f>
        <v/>
      </c>
      <c r="D85" s="78" t="str">
        <f>IF(Master[[#This Row],[Inventory Suffix]]="","",Master[[#This Row],[Inventory Suffix]])</f>
        <v/>
      </c>
      <c r="E85" s="30" t="str">
        <f>IF(Master[[#This Row],[Inventory Type - Lookup Picker]]="","",Master[[#This Row],[Inventory Type - Lookup Picker]])</f>
        <v>SD</v>
      </c>
      <c r="F85" s="151" t="str">
        <f>Master[[#This Row],[Accession Prefix (NPGS)]]&amp;" "&amp;Master[[#This Row],[Accession Number -Assigned]]</f>
        <v>W6 59671</v>
      </c>
      <c r="G85" s="78" t="str">
        <f>IF(Master[[#This Row],[Inventory Maintenance Policy]]="","",Master[[#This Row],[Inventory Maintenance Policy]])</f>
        <v>w6_native</v>
      </c>
      <c r="H85" s="30" t="str">
        <f>IF(Master[[#This Row],[Inventory Maintenance Site -W6]]="","",Master[[#This Row],[Inventory Maintenance Site -W6]])</f>
        <v>W6</v>
      </c>
      <c r="I85" s="30" t="str">
        <f>IF(RIGHT(TEXT(Inventory[[#This Row],[Inventory Suffix]],"00"),2)="01","Y",IF(RIGHT(TEXT(Inventory[[#This Row],[Inventory Suffix]],"00"),2)="c1","Y",IF(RIGHT(TEXT(Inventory[[#This Row],[Inventory Suffix]],"00"),2)="m1","Y","N")))</f>
        <v>N</v>
      </c>
      <c r="J85" s="30" t="str">
        <f>IF(Inventory[[#This Row],[Inventory Type]]="SD","Y",IF(Inventory[[#This Row],[Inventory Type]]="LV","Y","N"))</f>
        <v>Y</v>
      </c>
      <c r="K85" s="30" t="str">
        <f t="shared" si="9"/>
        <v>N</v>
      </c>
      <c r="L85" s="30" t="str">
        <f t="shared" si="10"/>
        <v>Original lot received</v>
      </c>
      <c r="M85" s="30" t="str">
        <f t="shared" si="11"/>
        <v>ORIG from SOS Project</v>
      </c>
      <c r="N85" s="80">
        <f>ROUNDDOWN(Master[[#This Row],[Quantity On Hand]],0)</f>
        <v>0</v>
      </c>
      <c r="O85" s="78" t="str">
        <f>IF(Master[[#This Row],[Quantity On Hand Units -''count'' or ''packet'']]="","",Master[[#This Row],[Quantity On Hand Units -''count'' or ''packet'']])</f>
        <v/>
      </c>
      <c r="P85" s="80" t="str">
        <f>IF(Master[[#This Row],[Inventory Type - Lookup Picker]]="","",Master[[#This Row],[Inventory Type - Lookup Picker]])</f>
        <v>SD</v>
      </c>
      <c r="Q85" s="45" t="str">
        <f t="shared" si="12"/>
        <v>Mike has</v>
      </c>
      <c r="R85" s="56">
        <f>IF(Master[[#This Row],[Latitude -decimal degrees]]="","",Master[[#This Row],[Latitude -decimal degrees]])</f>
        <v>40.718519999999998</v>
      </c>
      <c r="S85" s="56">
        <f>IF(Master[[#This Row],[Longitude -decimal degrees]]="","",Master[[#This Row],[Longitude -decimal degrees]])</f>
        <v>-109.45286</v>
      </c>
      <c r="T85" s="30" t="str">
        <f>IF(Master[[#This Row],[Parent Inventory]]="","",Master[[#This Row],[Parent Inventory]])</f>
        <v/>
      </c>
      <c r="U85" s="30">
        <f>IF(Master[[#This Row],[Hundred Seed Weight -gram]]="","",Master[[#This Row],[Hundred Seed Weight -gram]])</f>
        <v>9.9000000000000008E-3</v>
      </c>
      <c r="V85" s="30" t="str">
        <f>IF(Master[[#This Row],[Note (Inventory)]]="","",Master[[#This Row],[Note (Inventory)]])</f>
        <v/>
      </c>
    </row>
    <row r="86" spans="1:22" x14ac:dyDescent="0.25">
      <c r="A86" s="30"/>
      <c r="B86" s="151" t="str">
        <f>IF(Master[[#This Row],[Inventory Prefix]]="","",Master[[#This Row],[Inventory Prefix]])</f>
        <v>W6</v>
      </c>
      <c r="C86" s="151" t="str">
        <f>IF(Master[[#This Row],[Inventory Number]]="","",Master[[#This Row],[Inventory Number]])</f>
        <v/>
      </c>
      <c r="D86" s="78" t="str">
        <f>IF(Master[[#This Row],[Inventory Suffix]]="","",Master[[#This Row],[Inventory Suffix]])</f>
        <v/>
      </c>
      <c r="E86" s="30" t="str">
        <f>IF(Master[[#This Row],[Inventory Type - Lookup Picker]]="","",Master[[#This Row],[Inventory Type - Lookup Picker]])</f>
        <v>SD</v>
      </c>
      <c r="F86" s="151" t="str">
        <f>Master[[#This Row],[Accession Prefix (NPGS)]]&amp;" "&amp;Master[[#This Row],[Accession Number -Assigned]]</f>
        <v>W6 59672</v>
      </c>
      <c r="G86" s="78" t="str">
        <f>IF(Master[[#This Row],[Inventory Maintenance Policy]]="","",Master[[#This Row],[Inventory Maintenance Policy]])</f>
        <v>w6_native</v>
      </c>
      <c r="H86" s="30" t="str">
        <f>IF(Master[[#This Row],[Inventory Maintenance Site -W6]]="","",Master[[#This Row],[Inventory Maintenance Site -W6]])</f>
        <v>W6</v>
      </c>
      <c r="I86" s="30" t="str">
        <f>IF(RIGHT(TEXT(Inventory[[#This Row],[Inventory Suffix]],"00"),2)="01","Y",IF(RIGHT(TEXT(Inventory[[#This Row],[Inventory Suffix]],"00"),2)="c1","Y",IF(RIGHT(TEXT(Inventory[[#This Row],[Inventory Suffix]],"00"),2)="m1","Y","N")))</f>
        <v>N</v>
      </c>
      <c r="J86" s="30" t="str">
        <f>IF(Inventory[[#This Row],[Inventory Type]]="SD","Y",IF(Inventory[[#This Row],[Inventory Type]]="LV","Y","N"))</f>
        <v>Y</v>
      </c>
      <c r="K86" s="30" t="str">
        <f t="shared" ref="K86:K117" si="13">"N"</f>
        <v>N</v>
      </c>
      <c r="L86" s="30" t="str">
        <f t="shared" si="10"/>
        <v>Original lot received</v>
      </c>
      <c r="M86" s="30" t="str">
        <f t="shared" si="11"/>
        <v>ORIG from SOS Project</v>
      </c>
      <c r="N86" s="80">
        <f>ROUNDDOWN(Master[[#This Row],[Quantity On Hand]],0)</f>
        <v>0</v>
      </c>
      <c r="O86" s="78" t="str">
        <f>IF(Master[[#This Row],[Quantity On Hand Units -''count'' or ''packet'']]="","",Master[[#This Row],[Quantity On Hand Units -''count'' or ''packet'']])</f>
        <v/>
      </c>
      <c r="P86" s="80" t="str">
        <f>IF(Master[[#This Row],[Inventory Type - Lookup Picker]]="","",Master[[#This Row],[Inventory Type - Lookup Picker]])</f>
        <v>SD</v>
      </c>
      <c r="Q86" s="45" t="str">
        <f t="shared" si="12"/>
        <v>Mike has</v>
      </c>
      <c r="R86" s="56">
        <f>IF(Master[[#This Row],[Latitude -decimal degrees]]="","",Master[[#This Row],[Latitude -decimal degrees]])</f>
        <v>40.248199999999997</v>
      </c>
      <c r="S86" s="56">
        <f>IF(Master[[#This Row],[Longitude -decimal degrees]]="","",Master[[#This Row],[Longitude -decimal degrees]])</f>
        <v>-109.54794</v>
      </c>
      <c r="T86" s="30" t="str">
        <f>IF(Master[[#This Row],[Parent Inventory]]="","",Master[[#This Row],[Parent Inventory]])</f>
        <v/>
      </c>
      <c r="U86" s="30">
        <f>IF(Master[[#This Row],[Hundred Seed Weight -gram]]="","",Master[[#This Row],[Hundred Seed Weight -gram]])</f>
        <v>0.20660000000000001</v>
      </c>
      <c r="V86" s="30" t="str">
        <f>IF(Master[[#This Row],[Note (Inventory)]]="","",Master[[#This Row],[Note (Inventory)]])</f>
        <v/>
      </c>
    </row>
    <row r="87" spans="1:22" x14ac:dyDescent="0.25">
      <c r="A87" s="30"/>
      <c r="B87" s="151" t="str">
        <f>IF(Master[[#This Row],[Inventory Prefix]]="","",Master[[#This Row],[Inventory Prefix]])</f>
        <v>W6</v>
      </c>
      <c r="C87" s="151" t="str">
        <f>IF(Master[[#This Row],[Inventory Number]]="","",Master[[#This Row],[Inventory Number]])</f>
        <v/>
      </c>
      <c r="D87" s="78" t="str">
        <f>IF(Master[[#This Row],[Inventory Suffix]]="","",Master[[#This Row],[Inventory Suffix]])</f>
        <v/>
      </c>
      <c r="E87" s="30" t="str">
        <f>IF(Master[[#This Row],[Inventory Type - Lookup Picker]]="","",Master[[#This Row],[Inventory Type - Lookup Picker]])</f>
        <v>SD</v>
      </c>
      <c r="F87" s="151" t="str">
        <f>Master[[#This Row],[Accession Prefix (NPGS)]]&amp;" "&amp;Master[[#This Row],[Accession Number -Assigned]]</f>
        <v>W6 59673</v>
      </c>
      <c r="G87" s="78" t="str">
        <f>IF(Master[[#This Row],[Inventory Maintenance Policy]]="","",Master[[#This Row],[Inventory Maintenance Policy]])</f>
        <v>w6_native</v>
      </c>
      <c r="H87" s="30" t="str">
        <f>IF(Master[[#This Row],[Inventory Maintenance Site -W6]]="","",Master[[#This Row],[Inventory Maintenance Site -W6]])</f>
        <v>W6</v>
      </c>
      <c r="I87" s="30" t="str">
        <f>IF(RIGHT(TEXT(Inventory[[#This Row],[Inventory Suffix]],"00"),2)="01","Y",IF(RIGHT(TEXT(Inventory[[#This Row],[Inventory Suffix]],"00"),2)="c1","Y",IF(RIGHT(TEXT(Inventory[[#This Row],[Inventory Suffix]],"00"),2)="m1","Y","N")))</f>
        <v>N</v>
      </c>
      <c r="J87" s="30" t="str">
        <f>IF(Inventory[[#This Row],[Inventory Type]]="SD","Y",IF(Inventory[[#This Row],[Inventory Type]]="LV","Y","N"))</f>
        <v>Y</v>
      </c>
      <c r="K87" s="30" t="str">
        <f t="shared" si="13"/>
        <v>N</v>
      </c>
      <c r="L87" s="30" t="str">
        <f t="shared" si="10"/>
        <v>Original lot received</v>
      </c>
      <c r="M87" s="30" t="str">
        <f t="shared" si="11"/>
        <v>ORIG from SOS Project</v>
      </c>
      <c r="N87" s="80">
        <f>ROUNDDOWN(Master[[#This Row],[Quantity On Hand]],0)</f>
        <v>0</v>
      </c>
      <c r="O87" s="78" t="str">
        <f>IF(Master[[#This Row],[Quantity On Hand Units -''count'' or ''packet'']]="","",Master[[#This Row],[Quantity On Hand Units -''count'' or ''packet'']])</f>
        <v/>
      </c>
      <c r="P87" s="80" t="str">
        <f>IF(Master[[#This Row],[Inventory Type - Lookup Picker]]="","",Master[[#This Row],[Inventory Type - Lookup Picker]])</f>
        <v>SD</v>
      </c>
      <c r="Q87" s="45" t="str">
        <f t="shared" si="12"/>
        <v>Mike has</v>
      </c>
      <c r="R87" s="56">
        <f>IF(Master[[#This Row],[Latitude -decimal degrees]]="","",Master[[#This Row],[Latitude -decimal degrees]])</f>
        <v>40.206659999999999</v>
      </c>
      <c r="S87" s="56">
        <f>IF(Master[[#This Row],[Longitude -decimal degrees]]="","",Master[[#This Row],[Longitude -decimal degrees]])</f>
        <v>-109.12582999999999</v>
      </c>
      <c r="T87" s="30" t="str">
        <f>IF(Master[[#This Row],[Parent Inventory]]="","",Master[[#This Row],[Parent Inventory]])</f>
        <v/>
      </c>
      <c r="U87" s="30">
        <f>IF(Master[[#This Row],[Hundred Seed Weight -gram]]="","",Master[[#This Row],[Hundred Seed Weight -gram]])</f>
        <v>0.29199999999999998</v>
      </c>
      <c r="V87" s="30" t="str">
        <f>IF(Master[[#This Row],[Note (Inventory)]]="","",Master[[#This Row],[Note (Inventory)]])</f>
        <v/>
      </c>
    </row>
    <row r="88" spans="1:22" x14ac:dyDescent="0.25">
      <c r="A88" s="30"/>
      <c r="B88" s="151" t="str">
        <f>IF(Master[[#This Row],[Inventory Prefix]]="","",Master[[#This Row],[Inventory Prefix]])</f>
        <v>W6</v>
      </c>
      <c r="C88" s="151" t="str">
        <f>IF(Master[[#This Row],[Inventory Number]]="","",Master[[#This Row],[Inventory Number]])</f>
        <v/>
      </c>
      <c r="D88" s="78" t="str">
        <f>IF(Master[[#This Row],[Inventory Suffix]]="","",Master[[#This Row],[Inventory Suffix]])</f>
        <v/>
      </c>
      <c r="E88" s="30" t="str">
        <f>IF(Master[[#This Row],[Inventory Type - Lookup Picker]]="","",Master[[#This Row],[Inventory Type - Lookup Picker]])</f>
        <v>SD</v>
      </c>
      <c r="F88" s="151" t="str">
        <f>Master[[#This Row],[Accession Prefix (NPGS)]]&amp;" "&amp;Master[[#This Row],[Accession Number -Assigned]]</f>
        <v>W6 59674</v>
      </c>
      <c r="G88" s="78" t="str">
        <f>IF(Master[[#This Row],[Inventory Maintenance Policy]]="","",Master[[#This Row],[Inventory Maintenance Policy]])</f>
        <v>w6_native</v>
      </c>
      <c r="H88" s="30" t="str">
        <f>IF(Master[[#This Row],[Inventory Maintenance Site -W6]]="","",Master[[#This Row],[Inventory Maintenance Site -W6]])</f>
        <v>W6</v>
      </c>
      <c r="I88" s="30" t="str">
        <f>IF(RIGHT(TEXT(Inventory[[#This Row],[Inventory Suffix]],"00"),2)="01","Y",IF(RIGHT(TEXT(Inventory[[#This Row],[Inventory Suffix]],"00"),2)="c1","Y",IF(RIGHT(TEXT(Inventory[[#This Row],[Inventory Suffix]],"00"),2)="m1","Y","N")))</f>
        <v>N</v>
      </c>
      <c r="J88" s="30" t="str">
        <f>IF(Inventory[[#This Row],[Inventory Type]]="SD","Y",IF(Inventory[[#This Row],[Inventory Type]]="LV","Y","N"))</f>
        <v>Y</v>
      </c>
      <c r="K88" s="30" t="str">
        <f t="shared" si="13"/>
        <v>N</v>
      </c>
      <c r="L88" s="30" t="str">
        <f t="shared" si="10"/>
        <v>Original lot received</v>
      </c>
      <c r="M88" s="30" t="str">
        <f t="shared" si="11"/>
        <v>ORIG from SOS Project</v>
      </c>
      <c r="N88" s="80">
        <f>ROUNDDOWN(Master[[#This Row],[Quantity On Hand]],0)</f>
        <v>0</v>
      </c>
      <c r="O88" s="78" t="str">
        <f>IF(Master[[#This Row],[Quantity On Hand Units -''count'' or ''packet'']]="","",Master[[#This Row],[Quantity On Hand Units -''count'' or ''packet'']])</f>
        <v/>
      </c>
      <c r="P88" s="80" t="str">
        <f>IF(Master[[#This Row],[Inventory Type - Lookup Picker]]="","",Master[[#This Row],[Inventory Type - Lookup Picker]])</f>
        <v>SD</v>
      </c>
      <c r="Q88" s="45" t="str">
        <f t="shared" si="12"/>
        <v>Mike has</v>
      </c>
      <c r="R88" s="56">
        <f>IF(Master[[#This Row],[Latitude -decimal degrees]]="","",Master[[#This Row],[Latitude -decimal degrees]])</f>
        <v>40.206659999999999</v>
      </c>
      <c r="S88" s="56">
        <f>IF(Master[[#This Row],[Longitude -decimal degrees]]="","",Master[[#This Row],[Longitude -decimal degrees]])</f>
        <v>-109.12582999999999</v>
      </c>
      <c r="T88" s="30" t="str">
        <f>IF(Master[[#This Row],[Parent Inventory]]="","",Master[[#This Row],[Parent Inventory]])</f>
        <v/>
      </c>
      <c r="U88" s="30">
        <f>IF(Master[[#This Row],[Hundred Seed Weight -gram]]="","",Master[[#This Row],[Hundred Seed Weight -gram]])</f>
        <v>0.54369999999999996</v>
      </c>
      <c r="V88" s="30" t="str">
        <f>IF(Master[[#This Row],[Note (Inventory)]]="","",Master[[#This Row],[Note (Inventory)]])</f>
        <v/>
      </c>
    </row>
    <row r="89" spans="1:22" x14ac:dyDescent="0.25">
      <c r="A89" s="30"/>
      <c r="B89" s="151" t="str">
        <f>IF(Master[[#This Row],[Inventory Prefix]]="","",Master[[#This Row],[Inventory Prefix]])</f>
        <v>W6</v>
      </c>
      <c r="C89" s="151" t="str">
        <f>IF(Master[[#This Row],[Inventory Number]]="","",Master[[#This Row],[Inventory Number]])</f>
        <v/>
      </c>
      <c r="D89" s="78" t="str">
        <f>IF(Master[[#This Row],[Inventory Suffix]]="","",Master[[#This Row],[Inventory Suffix]])</f>
        <v/>
      </c>
      <c r="E89" s="30" t="str">
        <f>IF(Master[[#This Row],[Inventory Type - Lookup Picker]]="","",Master[[#This Row],[Inventory Type - Lookup Picker]])</f>
        <v>SD</v>
      </c>
      <c r="F89" s="151" t="str">
        <f>Master[[#This Row],[Accession Prefix (NPGS)]]&amp;" "&amp;Master[[#This Row],[Accession Number -Assigned]]</f>
        <v>W6 59675</v>
      </c>
      <c r="G89" s="78" t="str">
        <f>IF(Master[[#This Row],[Inventory Maintenance Policy]]="","",Master[[#This Row],[Inventory Maintenance Policy]])</f>
        <v>w6_native</v>
      </c>
      <c r="H89" s="30" t="str">
        <f>IF(Master[[#This Row],[Inventory Maintenance Site -W6]]="","",Master[[#This Row],[Inventory Maintenance Site -W6]])</f>
        <v>W6</v>
      </c>
      <c r="I89" s="30" t="str">
        <f>IF(RIGHT(TEXT(Inventory[[#This Row],[Inventory Suffix]],"00"),2)="01","Y",IF(RIGHT(TEXT(Inventory[[#This Row],[Inventory Suffix]],"00"),2)="c1","Y",IF(RIGHT(TEXT(Inventory[[#This Row],[Inventory Suffix]],"00"),2)="m1","Y","N")))</f>
        <v>N</v>
      </c>
      <c r="J89" s="30" t="str">
        <f>IF(Inventory[[#This Row],[Inventory Type]]="SD","Y",IF(Inventory[[#This Row],[Inventory Type]]="LV","Y","N"))</f>
        <v>Y</v>
      </c>
      <c r="K89" s="30" t="str">
        <f t="shared" si="13"/>
        <v>N</v>
      </c>
      <c r="L89" s="30" t="str">
        <f t="shared" si="10"/>
        <v>Original lot received</v>
      </c>
      <c r="M89" s="30" t="str">
        <f t="shared" si="11"/>
        <v>ORIG from SOS Project</v>
      </c>
      <c r="N89" s="80">
        <f>ROUNDDOWN(Master[[#This Row],[Quantity On Hand]],0)</f>
        <v>0</v>
      </c>
      <c r="O89" s="78" t="str">
        <f>IF(Master[[#This Row],[Quantity On Hand Units -''count'' or ''packet'']]="","",Master[[#This Row],[Quantity On Hand Units -''count'' or ''packet'']])</f>
        <v/>
      </c>
      <c r="P89" s="80" t="str">
        <f>IF(Master[[#This Row],[Inventory Type - Lookup Picker]]="","",Master[[#This Row],[Inventory Type - Lookup Picker]])</f>
        <v>SD</v>
      </c>
      <c r="Q89" s="45" t="str">
        <f t="shared" si="12"/>
        <v>Mike has</v>
      </c>
      <c r="R89" s="56">
        <f>IF(Master[[#This Row],[Latitude -decimal degrees]]="","",Master[[#This Row],[Latitude -decimal degrees]])</f>
        <v>40.206659999999999</v>
      </c>
      <c r="S89" s="56">
        <f>IF(Master[[#This Row],[Longitude -decimal degrees]]="","",Master[[#This Row],[Longitude -decimal degrees]])</f>
        <v>-109.12582999999999</v>
      </c>
      <c r="T89" s="30" t="str">
        <f>IF(Master[[#This Row],[Parent Inventory]]="","",Master[[#This Row],[Parent Inventory]])</f>
        <v/>
      </c>
      <c r="U89" s="30">
        <f>IF(Master[[#This Row],[Hundred Seed Weight -gram]]="","",Master[[#This Row],[Hundred Seed Weight -gram]])</f>
        <v>0.66239999999999999</v>
      </c>
      <c r="V89" s="30" t="str">
        <f>IF(Master[[#This Row],[Note (Inventory)]]="","",Master[[#This Row],[Note (Inventory)]])</f>
        <v/>
      </c>
    </row>
    <row r="90" spans="1:22" x14ac:dyDescent="0.25">
      <c r="A90" s="30"/>
      <c r="B90" s="151" t="str">
        <f>IF(Master[[#This Row],[Inventory Prefix]]="","",Master[[#This Row],[Inventory Prefix]])</f>
        <v>W6</v>
      </c>
      <c r="C90" s="151" t="str">
        <f>IF(Master[[#This Row],[Inventory Number]]="","",Master[[#This Row],[Inventory Number]])</f>
        <v/>
      </c>
      <c r="D90" s="78" t="str">
        <f>IF(Master[[#This Row],[Inventory Suffix]]="","",Master[[#This Row],[Inventory Suffix]])</f>
        <v/>
      </c>
      <c r="E90" s="30" t="str">
        <f>IF(Master[[#This Row],[Inventory Type - Lookup Picker]]="","",Master[[#This Row],[Inventory Type - Lookup Picker]])</f>
        <v>SD</v>
      </c>
      <c r="F90" s="151" t="str">
        <f>Master[[#This Row],[Accession Prefix (NPGS)]]&amp;" "&amp;Master[[#This Row],[Accession Number -Assigned]]</f>
        <v>W6 59676</v>
      </c>
      <c r="G90" s="78" t="str">
        <f>IF(Master[[#This Row],[Inventory Maintenance Policy]]="","",Master[[#This Row],[Inventory Maintenance Policy]])</f>
        <v>w6_native</v>
      </c>
      <c r="H90" s="30" t="str">
        <f>IF(Master[[#This Row],[Inventory Maintenance Site -W6]]="","",Master[[#This Row],[Inventory Maintenance Site -W6]])</f>
        <v>W6</v>
      </c>
      <c r="I90" s="30" t="str">
        <f>IF(RIGHT(TEXT(Inventory[[#This Row],[Inventory Suffix]],"00"),2)="01","Y",IF(RIGHT(TEXT(Inventory[[#This Row],[Inventory Suffix]],"00"),2)="c1","Y",IF(RIGHT(TEXT(Inventory[[#This Row],[Inventory Suffix]],"00"),2)="m1","Y","N")))</f>
        <v>N</v>
      </c>
      <c r="J90" s="30" t="str">
        <f>IF(Inventory[[#This Row],[Inventory Type]]="SD","Y",IF(Inventory[[#This Row],[Inventory Type]]="LV","Y","N"))</f>
        <v>Y</v>
      </c>
      <c r="K90" s="30" t="str">
        <f t="shared" si="13"/>
        <v>N</v>
      </c>
      <c r="L90" s="30" t="str">
        <f t="shared" si="10"/>
        <v>Original lot received</v>
      </c>
      <c r="M90" s="30" t="str">
        <f t="shared" si="11"/>
        <v>ORIG from SOS Project</v>
      </c>
      <c r="N90" s="80">
        <f>ROUNDDOWN(Master[[#This Row],[Quantity On Hand]],0)</f>
        <v>0</v>
      </c>
      <c r="O90" s="78" t="str">
        <f>IF(Master[[#This Row],[Quantity On Hand Units -''count'' or ''packet'']]="","",Master[[#This Row],[Quantity On Hand Units -''count'' or ''packet'']])</f>
        <v/>
      </c>
      <c r="P90" s="80" t="str">
        <f>IF(Master[[#This Row],[Inventory Type - Lookup Picker]]="","",Master[[#This Row],[Inventory Type - Lookup Picker]])</f>
        <v>SD</v>
      </c>
      <c r="Q90" s="45" t="str">
        <f t="shared" si="12"/>
        <v>Mike has</v>
      </c>
      <c r="R90" s="56">
        <f>IF(Master[[#This Row],[Latitude -decimal degrees]]="","",Master[[#This Row],[Latitude -decimal degrees]])</f>
        <v>40.299160000000001</v>
      </c>
      <c r="S90" s="56">
        <f>IF(Master[[#This Row],[Longitude -decimal degrees]]="","",Master[[#This Row],[Longitude -decimal degrees]])</f>
        <v>-109.40443999999999</v>
      </c>
      <c r="T90" s="30" t="str">
        <f>IF(Master[[#This Row],[Parent Inventory]]="","",Master[[#This Row],[Parent Inventory]])</f>
        <v/>
      </c>
      <c r="U90" s="30">
        <f>IF(Master[[#This Row],[Hundred Seed Weight -gram]]="","",Master[[#This Row],[Hundred Seed Weight -gram]])</f>
        <v>0.61870000000000003</v>
      </c>
      <c r="V90" s="30" t="str">
        <f>IF(Master[[#This Row],[Note (Inventory)]]="","",Master[[#This Row],[Note (Inventory)]])</f>
        <v/>
      </c>
    </row>
    <row r="91" spans="1:22" x14ac:dyDescent="0.25">
      <c r="A91" s="30"/>
      <c r="B91" s="151" t="str">
        <f>IF(Master[[#This Row],[Inventory Prefix]]="","",Master[[#This Row],[Inventory Prefix]])</f>
        <v>W6</v>
      </c>
      <c r="C91" s="151" t="str">
        <f>IF(Master[[#This Row],[Inventory Number]]="","",Master[[#This Row],[Inventory Number]])</f>
        <v/>
      </c>
      <c r="D91" s="78" t="str">
        <f>IF(Master[[#This Row],[Inventory Suffix]]="","",Master[[#This Row],[Inventory Suffix]])</f>
        <v/>
      </c>
      <c r="E91" s="30" t="str">
        <f>IF(Master[[#This Row],[Inventory Type - Lookup Picker]]="","",Master[[#This Row],[Inventory Type - Lookup Picker]])</f>
        <v>SD</v>
      </c>
      <c r="F91" s="151" t="str">
        <f>Master[[#This Row],[Accession Prefix (NPGS)]]&amp;" "&amp;Master[[#This Row],[Accession Number -Assigned]]</f>
        <v>W6 59677</v>
      </c>
      <c r="G91" s="78" t="str">
        <f>IF(Master[[#This Row],[Inventory Maintenance Policy]]="","",Master[[#This Row],[Inventory Maintenance Policy]])</f>
        <v>w6_native</v>
      </c>
      <c r="H91" s="30" t="str">
        <f>IF(Master[[#This Row],[Inventory Maintenance Site -W6]]="","",Master[[#This Row],[Inventory Maintenance Site -W6]])</f>
        <v>W6</v>
      </c>
      <c r="I91" s="30" t="str">
        <f>IF(RIGHT(TEXT(Inventory[[#This Row],[Inventory Suffix]],"00"),2)="01","Y",IF(RIGHT(TEXT(Inventory[[#This Row],[Inventory Suffix]],"00"),2)="c1","Y",IF(RIGHT(TEXT(Inventory[[#This Row],[Inventory Suffix]],"00"),2)="m1","Y","N")))</f>
        <v>N</v>
      </c>
      <c r="J91" s="30" t="str">
        <f>IF(Inventory[[#This Row],[Inventory Type]]="SD","Y",IF(Inventory[[#This Row],[Inventory Type]]="LV","Y","N"))</f>
        <v>Y</v>
      </c>
      <c r="K91" s="30" t="str">
        <f t="shared" si="13"/>
        <v>N</v>
      </c>
      <c r="L91" s="30" t="str">
        <f t="shared" si="10"/>
        <v>Original lot received</v>
      </c>
      <c r="M91" s="30" t="str">
        <f t="shared" si="11"/>
        <v>ORIG from SOS Project</v>
      </c>
      <c r="N91" s="80">
        <f>ROUNDDOWN(Master[[#This Row],[Quantity On Hand]],0)</f>
        <v>0</v>
      </c>
      <c r="O91" s="78" t="str">
        <f>IF(Master[[#This Row],[Quantity On Hand Units -''count'' or ''packet'']]="","",Master[[#This Row],[Quantity On Hand Units -''count'' or ''packet'']])</f>
        <v/>
      </c>
      <c r="P91" s="80" t="str">
        <f>IF(Master[[#This Row],[Inventory Type - Lookup Picker]]="","",Master[[#This Row],[Inventory Type - Lookup Picker]])</f>
        <v>SD</v>
      </c>
      <c r="Q91" s="45" t="str">
        <f t="shared" si="12"/>
        <v>Mike has</v>
      </c>
      <c r="R91" s="56">
        <f>IF(Master[[#This Row],[Latitude -decimal degrees]]="","",Master[[#This Row],[Latitude -decimal degrees]])</f>
        <v>40.299160000000001</v>
      </c>
      <c r="S91" s="56">
        <f>IF(Master[[#This Row],[Longitude -decimal degrees]]="","",Master[[#This Row],[Longitude -decimal degrees]])</f>
        <v>-109.40443999999999</v>
      </c>
      <c r="T91" s="30" t="str">
        <f>IF(Master[[#This Row],[Parent Inventory]]="","",Master[[#This Row],[Parent Inventory]])</f>
        <v/>
      </c>
      <c r="U91" s="30">
        <f>IF(Master[[#This Row],[Hundred Seed Weight -gram]]="","",Master[[#This Row],[Hundred Seed Weight -gram]])</f>
        <v>0.66169999999999995</v>
      </c>
      <c r="V91" s="30" t="str">
        <f>IF(Master[[#This Row],[Note (Inventory)]]="","",Master[[#This Row],[Note (Inventory)]])</f>
        <v/>
      </c>
    </row>
    <row r="92" spans="1:22" x14ac:dyDescent="0.25">
      <c r="A92" s="30"/>
      <c r="B92" s="151" t="str">
        <f>IF(Master[[#This Row],[Inventory Prefix]]="","",Master[[#This Row],[Inventory Prefix]])</f>
        <v>W6</v>
      </c>
      <c r="C92" s="151" t="str">
        <f>IF(Master[[#This Row],[Inventory Number]]="","",Master[[#This Row],[Inventory Number]])</f>
        <v/>
      </c>
      <c r="D92" s="78" t="str">
        <f>IF(Master[[#This Row],[Inventory Suffix]]="","",Master[[#This Row],[Inventory Suffix]])</f>
        <v/>
      </c>
      <c r="E92" s="30" t="str">
        <f>IF(Master[[#This Row],[Inventory Type - Lookup Picker]]="","",Master[[#This Row],[Inventory Type - Lookup Picker]])</f>
        <v>SD</v>
      </c>
      <c r="F92" s="151" t="str">
        <f>Master[[#This Row],[Accession Prefix (NPGS)]]&amp;" "&amp;Master[[#This Row],[Accession Number -Assigned]]</f>
        <v>W6 59678</v>
      </c>
      <c r="G92" s="78" t="str">
        <f>IF(Master[[#This Row],[Inventory Maintenance Policy]]="","",Master[[#This Row],[Inventory Maintenance Policy]])</f>
        <v>w6_native</v>
      </c>
      <c r="H92" s="30" t="str">
        <f>IF(Master[[#This Row],[Inventory Maintenance Site -W6]]="","",Master[[#This Row],[Inventory Maintenance Site -W6]])</f>
        <v>W6</v>
      </c>
      <c r="I92" s="30" t="str">
        <f>IF(RIGHT(TEXT(Inventory[[#This Row],[Inventory Suffix]],"00"),2)="01","Y",IF(RIGHT(TEXT(Inventory[[#This Row],[Inventory Suffix]],"00"),2)="c1","Y",IF(RIGHT(TEXT(Inventory[[#This Row],[Inventory Suffix]],"00"),2)="m1","Y","N")))</f>
        <v>N</v>
      </c>
      <c r="J92" s="30" t="str">
        <f>IF(Inventory[[#This Row],[Inventory Type]]="SD","Y",IF(Inventory[[#This Row],[Inventory Type]]="LV","Y","N"))</f>
        <v>Y</v>
      </c>
      <c r="K92" s="30" t="str">
        <f t="shared" si="13"/>
        <v>N</v>
      </c>
      <c r="L92" s="30" t="str">
        <f t="shared" si="10"/>
        <v>Original lot received</v>
      </c>
      <c r="M92" s="30" t="str">
        <f t="shared" si="11"/>
        <v>ORIG from SOS Project</v>
      </c>
      <c r="N92" s="80">
        <f>ROUNDDOWN(Master[[#This Row],[Quantity On Hand]],0)</f>
        <v>0</v>
      </c>
      <c r="O92" s="78" t="str">
        <f>IF(Master[[#This Row],[Quantity On Hand Units -''count'' or ''packet'']]="","",Master[[#This Row],[Quantity On Hand Units -''count'' or ''packet'']])</f>
        <v/>
      </c>
      <c r="P92" s="80" t="str">
        <f>IF(Master[[#This Row],[Inventory Type - Lookup Picker]]="","",Master[[#This Row],[Inventory Type - Lookup Picker]])</f>
        <v>SD</v>
      </c>
      <c r="Q92" s="45" t="str">
        <f t="shared" si="12"/>
        <v>Mike has</v>
      </c>
      <c r="R92" s="56">
        <f>IF(Master[[#This Row],[Latitude -decimal degrees]]="","",Master[[#This Row],[Latitude -decimal degrees]])</f>
        <v>40.182969999999997</v>
      </c>
      <c r="S92" s="56">
        <f>IF(Master[[#This Row],[Longitude -decimal degrees]]="","",Master[[#This Row],[Longitude -decimal degrees]])</f>
        <v>-109.70644</v>
      </c>
      <c r="T92" s="30" t="str">
        <f>IF(Master[[#This Row],[Parent Inventory]]="","",Master[[#This Row],[Parent Inventory]])</f>
        <v/>
      </c>
      <c r="U92" s="30">
        <f>IF(Master[[#This Row],[Hundred Seed Weight -gram]]="","",Master[[#This Row],[Hundred Seed Weight -gram]])</f>
        <v>1.2361</v>
      </c>
      <c r="V92" s="30" t="str">
        <f>IF(Master[[#This Row],[Note (Inventory)]]="","",Master[[#This Row],[Note (Inventory)]])</f>
        <v/>
      </c>
    </row>
    <row r="93" spans="1:22" x14ac:dyDescent="0.25">
      <c r="A93" s="30"/>
      <c r="B93" s="151" t="str">
        <f>IF(Master[[#This Row],[Inventory Prefix]]="","",Master[[#This Row],[Inventory Prefix]])</f>
        <v>W6</v>
      </c>
      <c r="C93" s="151" t="str">
        <f>IF(Master[[#This Row],[Inventory Number]]="","",Master[[#This Row],[Inventory Number]])</f>
        <v/>
      </c>
      <c r="D93" s="78" t="str">
        <f>IF(Master[[#This Row],[Inventory Suffix]]="","",Master[[#This Row],[Inventory Suffix]])</f>
        <v/>
      </c>
      <c r="E93" s="30" t="str">
        <f>IF(Master[[#This Row],[Inventory Type - Lookup Picker]]="","",Master[[#This Row],[Inventory Type - Lookup Picker]])</f>
        <v>SD</v>
      </c>
      <c r="F93" s="151" t="str">
        <f>Master[[#This Row],[Accession Prefix (NPGS)]]&amp;" "&amp;Master[[#This Row],[Accession Number -Assigned]]</f>
        <v>W6 59679</v>
      </c>
      <c r="G93" s="78" t="str">
        <f>IF(Master[[#This Row],[Inventory Maintenance Policy]]="","",Master[[#This Row],[Inventory Maintenance Policy]])</f>
        <v>w6_native</v>
      </c>
      <c r="H93" s="30" t="str">
        <f>IF(Master[[#This Row],[Inventory Maintenance Site -W6]]="","",Master[[#This Row],[Inventory Maintenance Site -W6]])</f>
        <v>W6</v>
      </c>
      <c r="I93" s="30" t="str">
        <f>IF(RIGHT(TEXT(Inventory[[#This Row],[Inventory Suffix]],"00"),2)="01","Y",IF(RIGHT(TEXT(Inventory[[#This Row],[Inventory Suffix]],"00"),2)="c1","Y",IF(RIGHT(TEXT(Inventory[[#This Row],[Inventory Suffix]],"00"),2)="m1","Y","N")))</f>
        <v>N</v>
      </c>
      <c r="J93" s="30" t="str">
        <f>IF(Inventory[[#This Row],[Inventory Type]]="SD","Y",IF(Inventory[[#This Row],[Inventory Type]]="LV","Y","N"))</f>
        <v>Y</v>
      </c>
      <c r="K93" s="30" t="str">
        <f t="shared" si="13"/>
        <v>N</v>
      </c>
      <c r="L93" s="30" t="str">
        <f t="shared" si="10"/>
        <v>Original lot received</v>
      </c>
      <c r="M93" s="30" t="str">
        <f t="shared" si="11"/>
        <v>ORIG from SOS Project</v>
      </c>
      <c r="N93" s="80">
        <f>ROUNDDOWN(Master[[#This Row],[Quantity On Hand]],0)</f>
        <v>0</v>
      </c>
      <c r="O93" s="78" t="str">
        <f>IF(Master[[#This Row],[Quantity On Hand Units -''count'' or ''packet'']]="","",Master[[#This Row],[Quantity On Hand Units -''count'' or ''packet'']])</f>
        <v/>
      </c>
      <c r="P93" s="80" t="str">
        <f>IF(Master[[#This Row],[Inventory Type - Lookup Picker]]="","",Master[[#This Row],[Inventory Type - Lookup Picker]])</f>
        <v>SD</v>
      </c>
      <c r="Q93" s="45" t="str">
        <f t="shared" si="12"/>
        <v>Mike has</v>
      </c>
      <c r="R93" s="56">
        <f>IF(Master[[#This Row],[Latitude -decimal degrees]]="","",Master[[#This Row],[Latitude -decimal degrees]])</f>
        <v>40.27722</v>
      </c>
      <c r="S93" s="56">
        <f>IF(Master[[#This Row],[Longitude -decimal degrees]]="","",Master[[#This Row],[Longitude -decimal degrees]])</f>
        <v>-109.05694</v>
      </c>
      <c r="T93" s="30" t="str">
        <f>IF(Master[[#This Row],[Parent Inventory]]="","",Master[[#This Row],[Parent Inventory]])</f>
        <v/>
      </c>
      <c r="U93" s="30">
        <f>IF(Master[[#This Row],[Hundred Seed Weight -gram]]="","",Master[[#This Row],[Hundred Seed Weight -gram]])</f>
        <v>2.47E-2</v>
      </c>
      <c r="V93" s="30" t="str">
        <f>IF(Master[[#This Row],[Note (Inventory)]]="","",Master[[#This Row],[Note (Inventory)]])</f>
        <v/>
      </c>
    </row>
    <row r="94" spans="1:22" x14ac:dyDescent="0.25">
      <c r="A94" s="30"/>
      <c r="B94" s="151" t="str">
        <f>IF(Master[[#This Row],[Inventory Prefix]]="","",Master[[#This Row],[Inventory Prefix]])</f>
        <v>W6</v>
      </c>
      <c r="C94" s="151" t="str">
        <f>IF(Master[[#This Row],[Inventory Number]]="","",Master[[#This Row],[Inventory Number]])</f>
        <v/>
      </c>
      <c r="D94" s="78" t="str">
        <f>IF(Master[[#This Row],[Inventory Suffix]]="","",Master[[#This Row],[Inventory Suffix]])</f>
        <v/>
      </c>
      <c r="E94" s="30" t="str">
        <f>IF(Master[[#This Row],[Inventory Type - Lookup Picker]]="","",Master[[#This Row],[Inventory Type - Lookup Picker]])</f>
        <v>SD</v>
      </c>
      <c r="F94" s="151" t="str">
        <f>Master[[#This Row],[Accession Prefix (NPGS)]]&amp;" "&amp;Master[[#This Row],[Accession Number -Assigned]]</f>
        <v>W6 59680</v>
      </c>
      <c r="G94" s="78" t="str">
        <f>IF(Master[[#This Row],[Inventory Maintenance Policy]]="","",Master[[#This Row],[Inventory Maintenance Policy]])</f>
        <v>w6_native</v>
      </c>
      <c r="H94" s="30" t="str">
        <f>IF(Master[[#This Row],[Inventory Maintenance Site -W6]]="","",Master[[#This Row],[Inventory Maintenance Site -W6]])</f>
        <v>W6</v>
      </c>
      <c r="I94" s="30" t="str">
        <f>IF(RIGHT(TEXT(Inventory[[#This Row],[Inventory Suffix]],"00"),2)="01","Y",IF(RIGHT(TEXT(Inventory[[#This Row],[Inventory Suffix]],"00"),2)="c1","Y",IF(RIGHT(TEXT(Inventory[[#This Row],[Inventory Suffix]],"00"),2)="m1","Y","N")))</f>
        <v>N</v>
      </c>
      <c r="J94" s="30" t="str">
        <f>IF(Inventory[[#This Row],[Inventory Type]]="SD","Y",IF(Inventory[[#This Row],[Inventory Type]]="LV","Y","N"))</f>
        <v>Y</v>
      </c>
      <c r="K94" s="30" t="str">
        <f t="shared" si="13"/>
        <v>N</v>
      </c>
      <c r="L94" s="30" t="str">
        <f t="shared" si="10"/>
        <v>Original lot received</v>
      </c>
      <c r="M94" s="30" t="str">
        <f t="shared" si="11"/>
        <v>ORIG from SOS Project</v>
      </c>
      <c r="N94" s="80">
        <f>ROUNDDOWN(Master[[#This Row],[Quantity On Hand]],0)</f>
        <v>0</v>
      </c>
      <c r="O94" s="78" t="str">
        <f>IF(Master[[#This Row],[Quantity On Hand Units -''count'' or ''packet'']]="","",Master[[#This Row],[Quantity On Hand Units -''count'' or ''packet'']])</f>
        <v/>
      </c>
      <c r="P94" s="80" t="str">
        <f>IF(Master[[#This Row],[Inventory Type - Lookup Picker]]="","",Master[[#This Row],[Inventory Type - Lookup Picker]])</f>
        <v>SD</v>
      </c>
      <c r="Q94" s="45" t="str">
        <f t="shared" si="12"/>
        <v>Mike has</v>
      </c>
      <c r="R94" s="56">
        <f>IF(Master[[#This Row],[Latitude -decimal degrees]]="","",Master[[#This Row],[Latitude -decimal degrees]])</f>
        <v>40.1205</v>
      </c>
      <c r="S94" s="56">
        <f>IF(Master[[#This Row],[Longitude -decimal degrees]]="","",Master[[#This Row],[Longitude -decimal degrees]])</f>
        <v>-109.42469</v>
      </c>
      <c r="T94" s="30" t="str">
        <f>IF(Master[[#This Row],[Parent Inventory]]="","",Master[[#This Row],[Parent Inventory]])</f>
        <v/>
      </c>
      <c r="U94" s="30">
        <f>IF(Master[[#This Row],[Hundred Seed Weight -gram]]="","",Master[[#This Row],[Hundred Seed Weight -gram]])</f>
        <v>2.5899999999999999E-2</v>
      </c>
      <c r="V94" s="30" t="str">
        <f>IF(Master[[#This Row],[Note (Inventory)]]="","",Master[[#This Row],[Note (Inventory)]])</f>
        <v/>
      </c>
    </row>
    <row r="95" spans="1:22" x14ac:dyDescent="0.25">
      <c r="A95" s="30"/>
      <c r="B95" s="151" t="str">
        <f>IF(Master[[#This Row],[Inventory Prefix]]="","",Master[[#This Row],[Inventory Prefix]])</f>
        <v>W6</v>
      </c>
      <c r="C95" s="151" t="str">
        <f>IF(Master[[#This Row],[Inventory Number]]="","",Master[[#This Row],[Inventory Number]])</f>
        <v/>
      </c>
      <c r="D95" s="78" t="str">
        <f>IF(Master[[#This Row],[Inventory Suffix]]="","",Master[[#This Row],[Inventory Suffix]])</f>
        <v/>
      </c>
      <c r="E95" s="30" t="str">
        <f>IF(Master[[#This Row],[Inventory Type - Lookup Picker]]="","",Master[[#This Row],[Inventory Type - Lookup Picker]])</f>
        <v>SD</v>
      </c>
      <c r="F95" s="151" t="str">
        <f>Master[[#This Row],[Accession Prefix (NPGS)]]&amp;" "&amp;Master[[#This Row],[Accession Number -Assigned]]</f>
        <v>W6 59681</v>
      </c>
      <c r="G95" s="78" t="str">
        <f>IF(Master[[#This Row],[Inventory Maintenance Policy]]="","",Master[[#This Row],[Inventory Maintenance Policy]])</f>
        <v>w6_native</v>
      </c>
      <c r="H95" s="30" t="str">
        <f>IF(Master[[#This Row],[Inventory Maintenance Site -W6]]="","",Master[[#This Row],[Inventory Maintenance Site -W6]])</f>
        <v>W6</v>
      </c>
      <c r="I95" s="30" t="str">
        <f>IF(RIGHT(TEXT(Inventory[[#This Row],[Inventory Suffix]],"00"),2)="01","Y",IF(RIGHT(TEXT(Inventory[[#This Row],[Inventory Suffix]],"00"),2)="c1","Y",IF(RIGHT(TEXT(Inventory[[#This Row],[Inventory Suffix]],"00"),2)="m1","Y","N")))</f>
        <v>N</v>
      </c>
      <c r="J95" s="30" t="str">
        <f>IF(Inventory[[#This Row],[Inventory Type]]="SD","Y",IF(Inventory[[#This Row],[Inventory Type]]="LV","Y","N"))</f>
        <v>Y</v>
      </c>
      <c r="K95" s="30" t="str">
        <f t="shared" si="13"/>
        <v>N</v>
      </c>
      <c r="L95" s="30" t="str">
        <f t="shared" si="10"/>
        <v>Original lot received</v>
      </c>
      <c r="M95" s="30" t="str">
        <f t="shared" si="11"/>
        <v>ORIG from SOS Project</v>
      </c>
      <c r="N95" s="80">
        <f>ROUNDDOWN(Master[[#This Row],[Quantity On Hand]],0)</f>
        <v>0</v>
      </c>
      <c r="O95" s="78" t="str">
        <f>IF(Master[[#This Row],[Quantity On Hand Units -''count'' or ''packet'']]="","",Master[[#This Row],[Quantity On Hand Units -''count'' or ''packet'']])</f>
        <v/>
      </c>
      <c r="P95" s="80" t="str">
        <f>IF(Master[[#This Row],[Inventory Type - Lookup Picker]]="","",Master[[#This Row],[Inventory Type - Lookup Picker]])</f>
        <v>SD</v>
      </c>
      <c r="Q95" s="45" t="str">
        <f t="shared" si="12"/>
        <v>Mike has</v>
      </c>
      <c r="R95" s="56">
        <f>IF(Master[[#This Row],[Latitude -decimal degrees]]="","",Master[[#This Row],[Latitude -decimal degrees]])</f>
        <v>39.837020000000003</v>
      </c>
      <c r="S95" s="56">
        <f>IF(Master[[#This Row],[Longitude -decimal degrees]]="","",Master[[#This Row],[Longitude -decimal degrees]])</f>
        <v>-109.59516000000001</v>
      </c>
      <c r="T95" s="30" t="str">
        <f>IF(Master[[#This Row],[Parent Inventory]]="","",Master[[#This Row],[Parent Inventory]])</f>
        <v/>
      </c>
      <c r="U95" s="30">
        <f>IF(Master[[#This Row],[Hundred Seed Weight -gram]]="","",Master[[#This Row],[Hundred Seed Weight -gram]])</f>
        <v>0.62260000000000004</v>
      </c>
      <c r="V95" s="30" t="str">
        <f>IF(Master[[#This Row],[Note (Inventory)]]="","",Master[[#This Row],[Note (Inventory)]])</f>
        <v/>
      </c>
    </row>
    <row r="96" spans="1:22" x14ac:dyDescent="0.25">
      <c r="A96" s="30"/>
      <c r="B96" s="151" t="str">
        <f>IF(Master[[#This Row],[Inventory Prefix]]="","",Master[[#This Row],[Inventory Prefix]])</f>
        <v>W6</v>
      </c>
      <c r="C96" s="151" t="str">
        <f>IF(Master[[#This Row],[Inventory Number]]="","",Master[[#This Row],[Inventory Number]])</f>
        <v/>
      </c>
      <c r="D96" s="78" t="str">
        <f>IF(Master[[#This Row],[Inventory Suffix]]="","",Master[[#This Row],[Inventory Suffix]])</f>
        <v/>
      </c>
      <c r="E96" s="30" t="str">
        <f>IF(Master[[#This Row],[Inventory Type - Lookup Picker]]="","",Master[[#This Row],[Inventory Type - Lookup Picker]])</f>
        <v>SD</v>
      </c>
      <c r="F96" s="151" t="str">
        <f>Master[[#This Row],[Accession Prefix (NPGS)]]&amp;" "&amp;Master[[#This Row],[Accession Number -Assigned]]</f>
        <v>W6 59682</v>
      </c>
      <c r="G96" s="78" t="str">
        <f>IF(Master[[#This Row],[Inventory Maintenance Policy]]="","",Master[[#This Row],[Inventory Maintenance Policy]])</f>
        <v>w6_native</v>
      </c>
      <c r="H96" s="30" t="str">
        <f>IF(Master[[#This Row],[Inventory Maintenance Site -W6]]="","",Master[[#This Row],[Inventory Maintenance Site -W6]])</f>
        <v>W6</v>
      </c>
      <c r="I96" s="30" t="str">
        <f>IF(RIGHT(TEXT(Inventory[[#This Row],[Inventory Suffix]],"00"),2)="01","Y",IF(RIGHT(TEXT(Inventory[[#This Row],[Inventory Suffix]],"00"),2)="c1","Y",IF(RIGHT(TEXT(Inventory[[#This Row],[Inventory Suffix]],"00"),2)="m1","Y","N")))</f>
        <v>N</v>
      </c>
      <c r="J96" s="30" t="str">
        <f>IF(Inventory[[#This Row],[Inventory Type]]="SD","Y",IF(Inventory[[#This Row],[Inventory Type]]="LV","Y","N"))</f>
        <v>Y</v>
      </c>
      <c r="K96" s="30" t="str">
        <f t="shared" si="13"/>
        <v>N</v>
      </c>
      <c r="L96" s="30" t="str">
        <f t="shared" si="10"/>
        <v>Original lot received</v>
      </c>
      <c r="M96" s="30" t="str">
        <f t="shared" si="11"/>
        <v>ORIG from SOS Project</v>
      </c>
      <c r="N96" s="80">
        <f>ROUNDDOWN(Master[[#This Row],[Quantity On Hand]],0)</f>
        <v>0</v>
      </c>
      <c r="O96" s="78" t="str">
        <f>IF(Master[[#This Row],[Quantity On Hand Units -''count'' or ''packet'']]="","",Master[[#This Row],[Quantity On Hand Units -''count'' or ''packet'']])</f>
        <v/>
      </c>
      <c r="P96" s="80" t="str">
        <f>IF(Master[[#This Row],[Inventory Type - Lookup Picker]]="","",Master[[#This Row],[Inventory Type - Lookup Picker]])</f>
        <v>SD</v>
      </c>
      <c r="Q96" s="45" t="str">
        <f t="shared" si="12"/>
        <v>Mike has</v>
      </c>
      <c r="R96" s="56">
        <f>IF(Master[[#This Row],[Latitude -decimal degrees]]="","",Master[[#This Row],[Latitude -decimal degrees]])</f>
        <v>40.316110000000002</v>
      </c>
      <c r="S96" s="56">
        <f>IF(Master[[#This Row],[Longitude -decimal degrees]]="","",Master[[#This Row],[Longitude -decimal degrees]])</f>
        <v>-109.23138</v>
      </c>
      <c r="T96" s="30" t="str">
        <f>IF(Master[[#This Row],[Parent Inventory]]="","",Master[[#This Row],[Parent Inventory]])</f>
        <v/>
      </c>
      <c r="U96" s="30">
        <f>IF(Master[[#This Row],[Hundred Seed Weight -gram]]="","",Master[[#This Row],[Hundred Seed Weight -gram]])</f>
        <v>8.5800000000000001E-2</v>
      </c>
      <c r="V96" s="30" t="str">
        <f>IF(Master[[#This Row],[Note (Inventory)]]="","",Master[[#This Row],[Note (Inventory)]])</f>
        <v/>
      </c>
    </row>
    <row r="97" spans="1:22" x14ac:dyDescent="0.25">
      <c r="A97" s="30"/>
      <c r="B97" s="151" t="str">
        <f>IF(Master[[#This Row],[Inventory Prefix]]="","",Master[[#This Row],[Inventory Prefix]])</f>
        <v>W6</v>
      </c>
      <c r="C97" s="151" t="str">
        <f>IF(Master[[#This Row],[Inventory Number]]="","",Master[[#This Row],[Inventory Number]])</f>
        <v/>
      </c>
      <c r="D97" s="78" t="str">
        <f>IF(Master[[#This Row],[Inventory Suffix]]="","",Master[[#This Row],[Inventory Suffix]])</f>
        <v/>
      </c>
      <c r="E97" s="30" t="str">
        <f>IF(Master[[#This Row],[Inventory Type - Lookup Picker]]="","",Master[[#This Row],[Inventory Type - Lookup Picker]])</f>
        <v>SD</v>
      </c>
      <c r="F97" s="151" t="str">
        <f>Master[[#This Row],[Accession Prefix (NPGS)]]&amp;" "&amp;Master[[#This Row],[Accession Number -Assigned]]</f>
        <v>W6 59683</v>
      </c>
      <c r="G97" s="78" t="str">
        <f>IF(Master[[#This Row],[Inventory Maintenance Policy]]="","",Master[[#This Row],[Inventory Maintenance Policy]])</f>
        <v>w6_native</v>
      </c>
      <c r="H97" s="30" t="str">
        <f>IF(Master[[#This Row],[Inventory Maintenance Site -W6]]="","",Master[[#This Row],[Inventory Maintenance Site -W6]])</f>
        <v>W6</v>
      </c>
      <c r="I97" s="30" t="str">
        <f>IF(RIGHT(TEXT(Inventory[[#This Row],[Inventory Suffix]],"00"),2)="01","Y",IF(RIGHT(TEXT(Inventory[[#This Row],[Inventory Suffix]],"00"),2)="c1","Y",IF(RIGHT(TEXT(Inventory[[#This Row],[Inventory Suffix]],"00"),2)="m1","Y","N")))</f>
        <v>N</v>
      </c>
      <c r="J97" s="30" t="str">
        <f>IF(Inventory[[#This Row],[Inventory Type]]="SD","Y",IF(Inventory[[#This Row],[Inventory Type]]="LV","Y","N"))</f>
        <v>Y</v>
      </c>
      <c r="K97" s="30" t="str">
        <f t="shared" si="13"/>
        <v>N</v>
      </c>
      <c r="L97" s="30" t="str">
        <f t="shared" si="10"/>
        <v>Original lot received</v>
      </c>
      <c r="M97" s="30" t="str">
        <f t="shared" si="11"/>
        <v>ORIG from SOS Project</v>
      </c>
      <c r="N97" s="80">
        <f>ROUNDDOWN(Master[[#This Row],[Quantity On Hand]],0)</f>
        <v>0</v>
      </c>
      <c r="O97" s="78" t="str">
        <f>IF(Master[[#This Row],[Quantity On Hand Units -''count'' or ''packet'']]="","",Master[[#This Row],[Quantity On Hand Units -''count'' or ''packet'']])</f>
        <v/>
      </c>
      <c r="P97" s="80" t="str">
        <f>IF(Master[[#This Row],[Inventory Type - Lookup Picker]]="","",Master[[#This Row],[Inventory Type - Lookup Picker]])</f>
        <v>SD</v>
      </c>
      <c r="Q97" s="45" t="str">
        <f t="shared" si="12"/>
        <v>Mike has</v>
      </c>
      <c r="R97" s="56">
        <f>IF(Master[[#This Row],[Latitude -decimal degrees]]="","",Master[[#This Row],[Latitude -decimal degrees]])</f>
        <v>42.61309</v>
      </c>
      <c r="S97" s="56">
        <f>IF(Master[[#This Row],[Longitude -decimal degrees]]="","",Master[[#This Row],[Longitude -decimal degrees]])</f>
        <v>-108.7028</v>
      </c>
      <c r="T97" s="30" t="str">
        <f>IF(Master[[#This Row],[Parent Inventory]]="","",Master[[#This Row],[Parent Inventory]])</f>
        <v/>
      </c>
      <c r="U97" s="30">
        <f>IF(Master[[#This Row],[Hundred Seed Weight -gram]]="","",Master[[#This Row],[Hundred Seed Weight -gram]])</f>
        <v>0.57289999999999996</v>
      </c>
      <c r="V97" s="30" t="str">
        <f>IF(Master[[#This Row],[Note (Inventory)]]="","",Master[[#This Row],[Note (Inventory)]])</f>
        <v/>
      </c>
    </row>
    <row r="98" spans="1:22" x14ac:dyDescent="0.25">
      <c r="A98" s="30"/>
      <c r="B98" s="151" t="str">
        <f>IF(Master[[#This Row],[Inventory Prefix]]="","",Master[[#This Row],[Inventory Prefix]])</f>
        <v>W6</v>
      </c>
      <c r="C98" s="151" t="str">
        <f>IF(Master[[#This Row],[Inventory Number]]="","",Master[[#This Row],[Inventory Number]])</f>
        <v/>
      </c>
      <c r="D98" s="78" t="str">
        <f>IF(Master[[#This Row],[Inventory Suffix]]="","",Master[[#This Row],[Inventory Suffix]])</f>
        <v/>
      </c>
      <c r="E98" s="30" t="str">
        <f>IF(Master[[#This Row],[Inventory Type - Lookup Picker]]="","",Master[[#This Row],[Inventory Type - Lookup Picker]])</f>
        <v>SD</v>
      </c>
      <c r="F98" s="151" t="str">
        <f>Master[[#This Row],[Accession Prefix (NPGS)]]&amp;" "&amp;Master[[#This Row],[Accession Number -Assigned]]</f>
        <v>W6 59684</v>
      </c>
      <c r="G98" s="78" t="str">
        <f>IF(Master[[#This Row],[Inventory Maintenance Policy]]="","",Master[[#This Row],[Inventory Maintenance Policy]])</f>
        <v>w6_native</v>
      </c>
      <c r="H98" s="30" t="str">
        <f>IF(Master[[#This Row],[Inventory Maintenance Site -W6]]="","",Master[[#This Row],[Inventory Maintenance Site -W6]])</f>
        <v>W6</v>
      </c>
      <c r="I98" s="30" t="str">
        <f>IF(RIGHT(TEXT(Inventory[[#This Row],[Inventory Suffix]],"00"),2)="01","Y",IF(RIGHT(TEXT(Inventory[[#This Row],[Inventory Suffix]],"00"),2)="c1","Y",IF(RIGHT(TEXT(Inventory[[#This Row],[Inventory Suffix]],"00"),2)="m1","Y","N")))</f>
        <v>N</v>
      </c>
      <c r="J98" s="30" t="str">
        <f>IF(Inventory[[#This Row],[Inventory Type]]="SD","Y",IF(Inventory[[#This Row],[Inventory Type]]="LV","Y","N"))</f>
        <v>Y</v>
      </c>
      <c r="K98" s="30" t="str">
        <f t="shared" si="13"/>
        <v>N</v>
      </c>
      <c r="L98" s="30" t="str">
        <f t="shared" ref="L98:L129" si="14">"Original lot received"</f>
        <v>Original lot received</v>
      </c>
      <c r="M98" s="30" t="str">
        <f t="shared" ref="M98:M129" si="15">"ORIG from SOS Project"</f>
        <v>ORIG from SOS Project</v>
      </c>
      <c r="N98" s="80">
        <f>ROUNDDOWN(Master[[#This Row],[Quantity On Hand]],0)</f>
        <v>0</v>
      </c>
      <c r="O98" s="78" t="str">
        <f>IF(Master[[#This Row],[Quantity On Hand Units -''count'' or ''packet'']]="","",Master[[#This Row],[Quantity On Hand Units -''count'' or ''packet'']])</f>
        <v/>
      </c>
      <c r="P98" s="80" t="str">
        <f>IF(Master[[#This Row],[Inventory Type - Lookup Picker]]="","",Master[[#This Row],[Inventory Type - Lookup Picker]])</f>
        <v>SD</v>
      </c>
      <c r="Q98" s="45" t="str">
        <f t="shared" ref="Q98:Q129" si="16">"Mike has"</f>
        <v>Mike has</v>
      </c>
      <c r="R98" s="56">
        <f>IF(Master[[#This Row],[Latitude -decimal degrees]]="","",Master[[#This Row],[Latitude -decimal degrees]])</f>
        <v>44.289879999999997</v>
      </c>
      <c r="S98" s="56">
        <f>IF(Master[[#This Row],[Longitude -decimal degrees]]="","",Master[[#This Row],[Longitude -decimal degrees]])</f>
        <v>-106.95376</v>
      </c>
      <c r="T98" s="30" t="str">
        <f>IF(Master[[#This Row],[Parent Inventory]]="","",Master[[#This Row],[Parent Inventory]])</f>
        <v/>
      </c>
      <c r="U98" s="30">
        <f>IF(Master[[#This Row],[Hundred Seed Weight -gram]]="","",Master[[#This Row],[Hundred Seed Weight -gram]])</f>
        <v>0.1143</v>
      </c>
      <c r="V98" s="30" t="str">
        <f>IF(Master[[#This Row],[Note (Inventory)]]="","",Master[[#This Row],[Note (Inventory)]])</f>
        <v/>
      </c>
    </row>
    <row r="99" spans="1:22" x14ac:dyDescent="0.25">
      <c r="A99" s="30"/>
      <c r="B99" s="151" t="str">
        <f>IF(Master[[#This Row],[Inventory Prefix]]="","",Master[[#This Row],[Inventory Prefix]])</f>
        <v>W6</v>
      </c>
      <c r="C99" s="151" t="str">
        <f>IF(Master[[#This Row],[Inventory Number]]="","",Master[[#This Row],[Inventory Number]])</f>
        <v/>
      </c>
      <c r="D99" s="78" t="str">
        <f>IF(Master[[#This Row],[Inventory Suffix]]="","",Master[[#This Row],[Inventory Suffix]])</f>
        <v/>
      </c>
      <c r="E99" s="30" t="str">
        <f>IF(Master[[#This Row],[Inventory Type - Lookup Picker]]="","",Master[[#This Row],[Inventory Type - Lookup Picker]])</f>
        <v>SD</v>
      </c>
      <c r="F99" s="151" t="str">
        <f>Master[[#This Row],[Accession Prefix (NPGS)]]&amp;" "&amp;Master[[#This Row],[Accession Number -Assigned]]</f>
        <v>W6 59685</v>
      </c>
      <c r="G99" s="78" t="str">
        <f>IF(Master[[#This Row],[Inventory Maintenance Policy]]="","",Master[[#This Row],[Inventory Maintenance Policy]])</f>
        <v>w6_native</v>
      </c>
      <c r="H99" s="30" t="str">
        <f>IF(Master[[#This Row],[Inventory Maintenance Site -W6]]="","",Master[[#This Row],[Inventory Maintenance Site -W6]])</f>
        <v>W6</v>
      </c>
      <c r="I99" s="30" t="str">
        <f>IF(RIGHT(TEXT(Inventory[[#This Row],[Inventory Suffix]],"00"),2)="01","Y",IF(RIGHT(TEXT(Inventory[[#This Row],[Inventory Suffix]],"00"),2)="c1","Y",IF(RIGHT(TEXT(Inventory[[#This Row],[Inventory Suffix]],"00"),2)="m1","Y","N")))</f>
        <v>N</v>
      </c>
      <c r="J99" s="30" t="str">
        <f>IF(Inventory[[#This Row],[Inventory Type]]="SD","Y",IF(Inventory[[#This Row],[Inventory Type]]="LV","Y","N"))</f>
        <v>Y</v>
      </c>
      <c r="K99" s="30" t="str">
        <f t="shared" si="13"/>
        <v>N</v>
      </c>
      <c r="L99" s="30" t="str">
        <f t="shared" si="14"/>
        <v>Original lot received</v>
      </c>
      <c r="M99" s="30" t="str">
        <f t="shared" si="15"/>
        <v>ORIG from SOS Project</v>
      </c>
      <c r="N99" s="80">
        <f>ROUNDDOWN(Master[[#This Row],[Quantity On Hand]],0)</f>
        <v>0</v>
      </c>
      <c r="O99" s="78" t="str">
        <f>IF(Master[[#This Row],[Quantity On Hand Units -''count'' or ''packet'']]="","",Master[[#This Row],[Quantity On Hand Units -''count'' or ''packet'']])</f>
        <v/>
      </c>
      <c r="P99" s="80" t="str">
        <f>IF(Master[[#This Row],[Inventory Type - Lookup Picker]]="","",Master[[#This Row],[Inventory Type - Lookup Picker]])</f>
        <v>SD</v>
      </c>
      <c r="Q99" s="45" t="str">
        <f t="shared" si="16"/>
        <v>Mike has</v>
      </c>
      <c r="R99" s="56">
        <f>IF(Master[[#This Row],[Latitude -decimal degrees]]="","",Master[[#This Row],[Latitude -decimal degrees]])</f>
        <v>44.517339999999997</v>
      </c>
      <c r="S99" s="56">
        <f>IF(Master[[#This Row],[Longitude -decimal degrees]]="","",Master[[#This Row],[Longitude -decimal degrees]])</f>
        <v>-105.44013</v>
      </c>
      <c r="T99" s="30" t="str">
        <f>IF(Master[[#This Row],[Parent Inventory]]="","",Master[[#This Row],[Parent Inventory]])</f>
        <v/>
      </c>
      <c r="U99" s="30">
        <f>IF(Master[[#This Row],[Hundred Seed Weight -gram]]="","",Master[[#This Row],[Hundred Seed Weight -gram]])</f>
        <v>1.09E-2</v>
      </c>
      <c r="V99" s="30" t="str">
        <f>IF(Master[[#This Row],[Note (Inventory)]]="","",Master[[#This Row],[Note (Inventory)]])</f>
        <v/>
      </c>
    </row>
    <row r="100" spans="1:22" x14ac:dyDescent="0.25">
      <c r="A100" s="30"/>
      <c r="B100" s="151" t="str">
        <f>IF(Master[[#This Row],[Inventory Prefix]]="","",Master[[#This Row],[Inventory Prefix]])</f>
        <v>W6</v>
      </c>
      <c r="C100" s="151" t="str">
        <f>IF(Master[[#This Row],[Inventory Number]]="","",Master[[#This Row],[Inventory Number]])</f>
        <v/>
      </c>
      <c r="D100" s="78" t="str">
        <f>IF(Master[[#This Row],[Inventory Suffix]]="","",Master[[#This Row],[Inventory Suffix]])</f>
        <v/>
      </c>
      <c r="E100" s="30" t="str">
        <f>IF(Master[[#This Row],[Inventory Type - Lookup Picker]]="","",Master[[#This Row],[Inventory Type - Lookup Picker]])</f>
        <v>SD</v>
      </c>
      <c r="F100" s="151" t="str">
        <f>Master[[#This Row],[Accession Prefix (NPGS)]]&amp;" "&amp;Master[[#This Row],[Accession Number -Assigned]]</f>
        <v>W6 59686</v>
      </c>
      <c r="G100" s="78" t="str">
        <f>IF(Master[[#This Row],[Inventory Maintenance Policy]]="","",Master[[#This Row],[Inventory Maintenance Policy]])</f>
        <v>w6_native</v>
      </c>
      <c r="H100" s="30" t="str">
        <f>IF(Master[[#This Row],[Inventory Maintenance Site -W6]]="","",Master[[#This Row],[Inventory Maintenance Site -W6]])</f>
        <v>W6</v>
      </c>
      <c r="I100" s="30" t="str">
        <f>IF(RIGHT(TEXT(Inventory[[#This Row],[Inventory Suffix]],"00"),2)="01","Y",IF(RIGHT(TEXT(Inventory[[#This Row],[Inventory Suffix]],"00"),2)="c1","Y",IF(RIGHT(TEXT(Inventory[[#This Row],[Inventory Suffix]],"00"),2)="m1","Y","N")))</f>
        <v>N</v>
      </c>
      <c r="J100" s="30" t="str">
        <f>IF(Inventory[[#This Row],[Inventory Type]]="SD","Y",IF(Inventory[[#This Row],[Inventory Type]]="LV","Y","N"))</f>
        <v>Y</v>
      </c>
      <c r="K100" s="30" t="str">
        <f t="shared" si="13"/>
        <v>N</v>
      </c>
      <c r="L100" s="30" t="str">
        <f t="shared" si="14"/>
        <v>Original lot received</v>
      </c>
      <c r="M100" s="30" t="str">
        <f t="shared" si="15"/>
        <v>ORIG from SOS Project</v>
      </c>
      <c r="N100" s="80">
        <f>ROUNDDOWN(Master[[#This Row],[Quantity On Hand]],0)</f>
        <v>0</v>
      </c>
      <c r="O100" s="78" t="str">
        <f>IF(Master[[#This Row],[Quantity On Hand Units -''count'' or ''packet'']]="","",Master[[#This Row],[Quantity On Hand Units -''count'' or ''packet'']])</f>
        <v/>
      </c>
      <c r="P100" s="80" t="str">
        <f>IF(Master[[#This Row],[Inventory Type - Lookup Picker]]="","",Master[[#This Row],[Inventory Type - Lookup Picker]])</f>
        <v>SD</v>
      </c>
      <c r="Q100" s="45" t="str">
        <f t="shared" si="16"/>
        <v>Mike has</v>
      </c>
      <c r="R100" s="56">
        <f>IF(Master[[#This Row],[Latitude -decimal degrees]]="","",Master[[#This Row],[Latitude -decimal degrees]])</f>
        <v>44.128050000000002</v>
      </c>
      <c r="S100" s="56">
        <f>IF(Master[[#This Row],[Longitude -decimal degrees]]="","",Master[[#This Row],[Longitude -decimal degrees]])</f>
        <v>-105.96939999999999</v>
      </c>
      <c r="T100" s="30" t="str">
        <f>IF(Master[[#This Row],[Parent Inventory]]="","",Master[[#This Row],[Parent Inventory]])</f>
        <v/>
      </c>
      <c r="U100" s="30">
        <f>IF(Master[[#This Row],[Hundred Seed Weight -gram]]="","",Master[[#This Row],[Hundred Seed Weight -gram]])</f>
        <v>8.2000000000000007E-3</v>
      </c>
      <c r="V100" s="30" t="str">
        <f>IF(Master[[#This Row],[Note (Inventory)]]="","",Master[[#This Row],[Note (Inventory)]])</f>
        <v/>
      </c>
    </row>
    <row r="101" spans="1:22" x14ac:dyDescent="0.25">
      <c r="A101" s="30"/>
      <c r="B101" s="151" t="str">
        <f>IF(Master[[#This Row],[Inventory Prefix]]="","",Master[[#This Row],[Inventory Prefix]])</f>
        <v>W6</v>
      </c>
      <c r="C101" s="151" t="str">
        <f>IF(Master[[#This Row],[Inventory Number]]="","",Master[[#This Row],[Inventory Number]])</f>
        <v/>
      </c>
      <c r="D101" s="78" t="str">
        <f>IF(Master[[#This Row],[Inventory Suffix]]="","",Master[[#This Row],[Inventory Suffix]])</f>
        <v/>
      </c>
      <c r="E101" s="30" t="str">
        <f>IF(Master[[#This Row],[Inventory Type - Lookup Picker]]="","",Master[[#This Row],[Inventory Type - Lookup Picker]])</f>
        <v>SD</v>
      </c>
      <c r="F101" s="151" t="str">
        <f>Master[[#This Row],[Accession Prefix (NPGS)]]&amp;" "&amp;Master[[#This Row],[Accession Number -Assigned]]</f>
        <v>W6 59687</v>
      </c>
      <c r="G101" s="78" t="str">
        <f>IF(Master[[#This Row],[Inventory Maintenance Policy]]="","",Master[[#This Row],[Inventory Maintenance Policy]])</f>
        <v>w6_native</v>
      </c>
      <c r="H101" s="30" t="str">
        <f>IF(Master[[#This Row],[Inventory Maintenance Site -W6]]="","",Master[[#This Row],[Inventory Maintenance Site -W6]])</f>
        <v>W6</v>
      </c>
      <c r="I101" s="30" t="str">
        <f>IF(RIGHT(TEXT(Inventory[[#This Row],[Inventory Suffix]],"00"),2)="01","Y",IF(RIGHT(TEXT(Inventory[[#This Row],[Inventory Suffix]],"00"),2)="c1","Y",IF(RIGHT(TEXT(Inventory[[#This Row],[Inventory Suffix]],"00"),2)="m1","Y","N")))</f>
        <v>N</v>
      </c>
      <c r="J101" s="30" t="str">
        <f>IF(Inventory[[#This Row],[Inventory Type]]="SD","Y",IF(Inventory[[#This Row],[Inventory Type]]="LV","Y","N"))</f>
        <v>Y</v>
      </c>
      <c r="K101" s="30" t="str">
        <f t="shared" si="13"/>
        <v>N</v>
      </c>
      <c r="L101" s="30" t="str">
        <f t="shared" si="14"/>
        <v>Original lot received</v>
      </c>
      <c r="M101" s="30" t="str">
        <f t="shared" si="15"/>
        <v>ORIG from SOS Project</v>
      </c>
      <c r="N101" s="80">
        <f>ROUNDDOWN(Master[[#This Row],[Quantity On Hand]],0)</f>
        <v>0</v>
      </c>
      <c r="O101" s="78" t="str">
        <f>IF(Master[[#This Row],[Quantity On Hand Units -''count'' or ''packet'']]="","",Master[[#This Row],[Quantity On Hand Units -''count'' or ''packet'']])</f>
        <v/>
      </c>
      <c r="P101" s="80" t="str">
        <f>IF(Master[[#This Row],[Inventory Type - Lookup Picker]]="","",Master[[#This Row],[Inventory Type - Lookup Picker]])</f>
        <v>SD</v>
      </c>
      <c r="Q101" s="45" t="str">
        <f t="shared" si="16"/>
        <v>Mike has</v>
      </c>
      <c r="R101" s="56">
        <f>IF(Master[[#This Row],[Latitude -decimal degrees]]="","",Master[[#This Row],[Latitude -decimal degrees]])</f>
        <v>43.603189999999998</v>
      </c>
      <c r="S101" s="56">
        <f>IF(Master[[#This Row],[Longitude -decimal degrees]]="","",Master[[#This Row],[Longitude -decimal degrees]])</f>
        <v>-105.15515000000001</v>
      </c>
      <c r="T101" s="30" t="str">
        <f>IF(Master[[#This Row],[Parent Inventory]]="","",Master[[#This Row],[Parent Inventory]])</f>
        <v/>
      </c>
      <c r="U101" s="30">
        <f>IF(Master[[#This Row],[Hundred Seed Weight -gram]]="","",Master[[#This Row],[Hundred Seed Weight -gram]])</f>
        <v>7.1999999999999998E-3</v>
      </c>
      <c r="V101" s="30" t="str">
        <f>IF(Master[[#This Row],[Note (Inventory)]]="","",Master[[#This Row],[Note (Inventory)]])</f>
        <v/>
      </c>
    </row>
    <row r="102" spans="1:22" x14ac:dyDescent="0.25">
      <c r="A102" s="30"/>
      <c r="B102" s="151" t="str">
        <f>IF(Master[[#This Row],[Inventory Prefix]]="","",Master[[#This Row],[Inventory Prefix]])</f>
        <v>W6</v>
      </c>
      <c r="C102" s="151" t="str">
        <f>IF(Master[[#This Row],[Inventory Number]]="","",Master[[#This Row],[Inventory Number]])</f>
        <v/>
      </c>
      <c r="D102" s="78" t="str">
        <f>IF(Master[[#This Row],[Inventory Suffix]]="","",Master[[#This Row],[Inventory Suffix]])</f>
        <v/>
      </c>
      <c r="E102" s="30" t="str">
        <f>IF(Master[[#This Row],[Inventory Type - Lookup Picker]]="","",Master[[#This Row],[Inventory Type - Lookup Picker]])</f>
        <v>SD</v>
      </c>
      <c r="F102" s="151" t="str">
        <f>Master[[#This Row],[Accession Prefix (NPGS)]]&amp;" "&amp;Master[[#This Row],[Accession Number -Assigned]]</f>
        <v>W6 59688</v>
      </c>
      <c r="G102" s="78" t="str">
        <f>IF(Master[[#This Row],[Inventory Maintenance Policy]]="","",Master[[#This Row],[Inventory Maintenance Policy]])</f>
        <v>w6_native</v>
      </c>
      <c r="H102" s="30" t="str">
        <f>IF(Master[[#This Row],[Inventory Maintenance Site -W6]]="","",Master[[#This Row],[Inventory Maintenance Site -W6]])</f>
        <v>W6</v>
      </c>
      <c r="I102" s="30" t="str">
        <f>IF(RIGHT(TEXT(Inventory[[#This Row],[Inventory Suffix]],"00"),2)="01","Y",IF(RIGHT(TEXT(Inventory[[#This Row],[Inventory Suffix]],"00"),2)="c1","Y",IF(RIGHT(TEXT(Inventory[[#This Row],[Inventory Suffix]],"00"),2)="m1","Y","N")))</f>
        <v>N</v>
      </c>
      <c r="J102" s="30" t="str">
        <f>IF(Inventory[[#This Row],[Inventory Type]]="SD","Y",IF(Inventory[[#This Row],[Inventory Type]]="LV","Y","N"))</f>
        <v>Y</v>
      </c>
      <c r="K102" s="30" t="str">
        <f t="shared" si="13"/>
        <v>N</v>
      </c>
      <c r="L102" s="30" t="str">
        <f t="shared" si="14"/>
        <v>Original lot received</v>
      </c>
      <c r="M102" s="30" t="str">
        <f t="shared" si="15"/>
        <v>ORIG from SOS Project</v>
      </c>
      <c r="N102" s="80">
        <f>ROUNDDOWN(Master[[#This Row],[Quantity On Hand]],0)</f>
        <v>0</v>
      </c>
      <c r="O102" s="78" t="str">
        <f>IF(Master[[#This Row],[Quantity On Hand Units -''count'' or ''packet'']]="","",Master[[#This Row],[Quantity On Hand Units -''count'' or ''packet'']])</f>
        <v/>
      </c>
      <c r="P102" s="80" t="str">
        <f>IF(Master[[#This Row],[Inventory Type - Lookup Picker]]="","",Master[[#This Row],[Inventory Type - Lookup Picker]])</f>
        <v>SD</v>
      </c>
      <c r="Q102" s="45" t="str">
        <f t="shared" si="16"/>
        <v>Mike has</v>
      </c>
      <c r="R102" s="56">
        <f>IF(Master[[#This Row],[Latitude -decimal degrees]]="","",Master[[#This Row],[Latitude -decimal degrees]])</f>
        <v>44.35022</v>
      </c>
      <c r="S102" s="56">
        <f>IF(Master[[#This Row],[Longitude -decimal degrees]]="","",Master[[#This Row],[Longitude -decimal degrees]])</f>
        <v>-106.53149999999999</v>
      </c>
      <c r="T102" s="30" t="str">
        <f>IF(Master[[#This Row],[Parent Inventory]]="","",Master[[#This Row],[Parent Inventory]])</f>
        <v/>
      </c>
      <c r="U102" s="30">
        <f>IF(Master[[#This Row],[Hundred Seed Weight -gram]]="","",Master[[#This Row],[Hundred Seed Weight -gram]])</f>
        <v>7.7999999999999996E-3</v>
      </c>
      <c r="V102" s="30" t="str">
        <f>IF(Master[[#This Row],[Note (Inventory)]]="","",Master[[#This Row],[Note (Inventory)]])</f>
        <v/>
      </c>
    </row>
    <row r="103" spans="1:22" x14ac:dyDescent="0.25">
      <c r="A103" s="30"/>
      <c r="B103" s="151" t="str">
        <f>IF(Master[[#This Row],[Inventory Prefix]]="","",Master[[#This Row],[Inventory Prefix]])</f>
        <v>W6</v>
      </c>
      <c r="C103" s="151" t="str">
        <f>IF(Master[[#This Row],[Inventory Number]]="","",Master[[#This Row],[Inventory Number]])</f>
        <v/>
      </c>
      <c r="D103" s="78" t="str">
        <f>IF(Master[[#This Row],[Inventory Suffix]]="","",Master[[#This Row],[Inventory Suffix]])</f>
        <v/>
      </c>
      <c r="E103" s="30" t="str">
        <f>IF(Master[[#This Row],[Inventory Type - Lookup Picker]]="","",Master[[#This Row],[Inventory Type - Lookup Picker]])</f>
        <v>SD</v>
      </c>
      <c r="F103" s="151" t="str">
        <f>Master[[#This Row],[Accession Prefix (NPGS)]]&amp;" "&amp;Master[[#This Row],[Accession Number -Assigned]]</f>
        <v>W6 59689</v>
      </c>
      <c r="G103" s="78" t="str">
        <f>IF(Master[[#This Row],[Inventory Maintenance Policy]]="","",Master[[#This Row],[Inventory Maintenance Policy]])</f>
        <v>w6_native</v>
      </c>
      <c r="H103" s="30" t="str">
        <f>IF(Master[[#This Row],[Inventory Maintenance Site -W6]]="","",Master[[#This Row],[Inventory Maintenance Site -W6]])</f>
        <v>W6</v>
      </c>
      <c r="I103" s="30" t="str">
        <f>IF(RIGHT(TEXT(Inventory[[#This Row],[Inventory Suffix]],"00"),2)="01","Y",IF(RIGHT(TEXT(Inventory[[#This Row],[Inventory Suffix]],"00"),2)="c1","Y",IF(RIGHT(TEXT(Inventory[[#This Row],[Inventory Suffix]],"00"),2)="m1","Y","N")))</f>
        <v>N</v>
      </c>
      <c r="J103" s="30" t="str">
        <f>IF(Inventory[[#This Row],[Inventory Type]]="SD","Y",IF(Inventory[[#This Row],[Inventory Type]]="LV","Y","N"))</f>
        <v>Y</v>
      </c>
      <c r="K103" s="30" t="str">
        <f t="shared" si="13"/>
        <v>N</v>
      </c>
      <c r="L103" s="30" t="str">
        <f t="shared" si="14"/>
        <v>Original lot received</v>
      </c>
      <c r="M103" s="30" t="str">
        <f t="shared" si="15"/>
        <v>ORIG from SOS Project</v>
      </c>
      <c r="N103" s="80">
        <f>ROUNDDOWN(Master[[#This Row],[Quantity On Hand]],0)</f>
        <v>0</v>
      </c>
      <c r="O103" s="78" t="str">
        <f>IF(Master[[#This Row],[Quantity On Hand Units -''count'' or ''packet'']]="","",Master[[#This Row],[Quantity On Hand Units -''count'' or ''packet'']])</f>
        <v/>
      </c>
      <c r="P103" s="80" t="str">
        <f>IF(Master[[#This Row],[Inventory Type - Lookup Picker]]="","",Master[[#This Row],[Inventory Type - Lookup Picker]])</f>
        <v>SD</v>
      </c>
      <c r="Q103" s="45" t="str">
        <f t="shared" si="16"/>
        <v>Mike has</v>
      </c>
      <c r="R103" s="56">
        <f>IF(Master[[#This Row],[Latitude -decimal degrees]]="","",Master[[#This Row],[Latitude -decimal degrees]])</f>
        <v>44.118580000000001</v>
      </c>
      <c r="S103" s="56">
        <f>IF(Master[[#This Row],[Longitude -decimal degrees]]="","",Master[[#This Row],[Longitude -decimal degrees]])</f>
        <v>-106.2422</v>
      </c>
      <c r="T103" s="30" t="str">
        <f>IF(Master[[#This Row],[Parent Inventory]]="","",Master[[#This Row],[Parent Inventory]])</f>
        <v/>
      </c>
      <c r="U103" s="30">
        <f>IF(Master[[#This Row],[Hundred Seed Weight -gram]]="","",Master[[#This Row],[Hundred Seed Weight -gram]])</f>
        <v>2.8899999999999999E-2</v>
      </c>
      <c r="V103" s="30" t="str">
        <f>IF(Master[[#This Row],[Note (Inventory)]]="","",Master[[#This Row],[Note (Inventory)]])</f>
        <v/>
      </c>
    </row>
    <row r="104" spans="1:22" x14ac:dyDescent="0.25">
      <c r="A104" s="30"/>
      <c r="B104" s="151" t="str">
        <f>IF(Master[[#This Row],[Inventory Prefix]]="","",Master[[#This Row],[Inventory Prefix]])</f>
        <v>W6</v>
      </c>
      <c r="C104" s="151" t="str">
        <f>IF(Master[[#This Row],[Inventory Number]]="","",Master[[#This Row],[Inventory Number]])</f>
        <v/>
      </c>
      <c r="D104" s="78" t="str">
        <f>IF(Master[[#This Row],[Inventory Suffix]]="","",Master[[#This Row],[Inventory Suffix]])</f>
        <v/>
      </c>
      <c r="E104" s="30" t="str">
        <f>IF(Master[[#This Row],[Inventory Type - Lookup Picker]]="","",Master[[#This Row],[Inventory Type - Lookup Picker]])</f>
        <v>SD</v>
      </c>
      <c r="F104" s="151" t="str">
        <f>Master[[#This Row],[Accession Prefix (NPGS)]]&amp;" "&amp;Master[[#This Row],[Accession Number -Assigned]]</f>
        <v>W6 59690</v>
      </c>
      <c r="G104" s="78" t="str">
        <f>IF(Master[[#This Row],[Inventory Maintenance Policy]]="","",Master[[#This Row],[Inventory Maintenance Policy]])</f>
        <v>w6_native</v>
      </c>
      <c r="H104" s="30" t="str">
        <f>IF(Master[[#This Row],[Inventory Maintenance Site -W6]]="","",Master[[#This Row],[Inventory Maintenance Site -W6]])</f>
        <v>W6</v>
      </c>
      <c r="I104" s="30" t="str">
        <f>IF(RIGHT(TEXT(Inventory[[#This Row],[Inventory Suffix]],"00"),2)="01","Y",IF(RIGHT(TEXT(Inventory[[#This Row],[Inventory Suffix]],"00"),2)="c1","Y",IF(RIGHT(TEXT(Inventory[[#This Row],[Inventory Suffix]],"00"),2)="m1","Y","N")))</f>
        <v>N</v>
      </c>
      <c r="J104" s="30" t="str">
        <f>IF(Inventory[[#This Row],[Inventory Type]]="SD","Y",IF(Inventory[[#This Row],[Inventory Type]]="LV","Y","N"))</f>
        <v>Y</v>
      </c>
      <c r="K104" s="30" t="str">
        <f t="shared" si="13"/>
        <v>N</v>
      </c>
      <c r="L104" s="30" t="str">
        <f t="shared" si="14"/>
        <v>Original lot received</v>
      </c>
      <c r="M104" s="30" t="str">
        <f t="shared" si="15"/>
        <v>ORIG from SOS Project</v>
      </c>
      <c r="N104" s="80">
        <f>ROUNDDOWN(Master[[#This Row],[Quantity On Hand]],0)</f>
        <v>0</v>
      </c>
      <c r="O104" s="78" t="str">
        <f>IF(Master[[#This Row],[Quantity On Hand Units -''count'' or ''packet'']]="","",Master[[#This Row],[Quantity On Hand Units -''count'' or ''packet'']])</f>
        <v/>
      </c>
      <c r="P104" s="80" t="str">
        <f>IF(Master[[#This Row],[Inventory Type - Lookup Picker]]="","",Master[[#This Row],[Inventory Type - Lookup Picker]])</f>
        <v>SD</v>
      </c>
      <c r="Q104" s="45" t="str">
        <f t="shared" si="16"/>
        <v>Mike has</v>
      </c>
      <c r="R104" s="56">
        <f>IF(Master[[#This Row],[Latitude -decimal degrees]]="","",Master[[#This Row],[Latitude -decimal degrees]])</f>
        <v>44.240299999999998</v>
      </c>
      <c r="S104" s="56">
        <f>IF(Master[[#This Row],[Longitude -decimal degrees]]="","",Master[[#This Row],[Longitude -decimal degrees]])</f>
        <v>-106.38482</v>
      </c>
      <c r="T104" s="30" t="str">
        <f>IF(Master[[#This Row],[Parent Inventory]]="","",Master[[#This Row],[Parent Inventory]])</f>
        <v/>
      </c>
      <c r="U104" s="30">
        <f>IF(Master[[#This Row],[Hundred Seed Weight -gram]]="","",Master[[#This Row],[Hundred Seed Weight -gram]])</f>
        <v>3.3000000000000002E-2</v>
      </c>
      <c r="V104" s="30" t="str">
        <f>IF(Master[[#This Row],[Note (Inventory)]]="","",Master[[#This Row],[Note (Inventory)]])</f>
        <v/>
      </c>
    </row>
    <row r="105" spans="1:22" x14ac:dyDescent="0.25">
      <c r="A105" s="30"/>
      <c r="B105" s="151" t="str">
        <f>IF(Master[[#This Row],[Inventory Prefix]]="","",Master[[#This Row],[Inventory Prefix]])</f>
        <v>W6</v>
      </c>
      <c r="C105" s="151" t="str">
        <f>IF(Master[[#This Row],[Inventory Number]]="","",Master[[#This Row],[Inventory Number]])</f>
        <v/>
      </c>
      <c r="D105" s="78" t="str">
        <f>IF(Master[[#This Row],[Inventory Suffix]]="","",Master[[#This Row],[Inventory Suffix]])</f>
        <v/>
      </c>
      <c r="E105" s="30" t="str">
        <f>IF(Master[[#This Row],[Inventory Type - Lookup Picker]]="","",Master[[#This Row],[Inventory Type - Lookup Picker]])</f>
        <v>SD</v>
      </c>
      <c r="F105" s="151" t="str">
        <f>Master[[#This Row],[Accession Prefix (NPGS)]]&amp;" "&amp;Master[[#This Row],[Accession Number -Assigned]]</f>
        <v>W6 59691</v>
      </c>
      <c r="G105" s="78" t="str">
        <f>IF(Master[[#This Row],[Inventory Maintenance Policy]]="","",Master[[#This Row],[Inventory Maintenance Policy]])</f>
        <v>w6_native</v>
      </c>
      <c r="H105" s="30" t="str">
        <f>IF(Master[[#This Row],[Inventory Maintenance Site -W6]]="","",Master[[#This Row],[Inventory Maintenance Site -W6]])</f>
        <v>W6</v>
      </c>
      <c r="I105" s="30" t="str">
        <f>IF(RIGHT(TEXT(Inventory[[#This Row],[Inventory Suffix]],"00"),2)="01","Y",IF(RIGHT(TEXT(Inventory[[#This Row],[Inventory Suffix]],"00"),2)="c1","Y",IF(RIGHT(TEXT(Inventory[[#This Row],[Inventory Suffix]],"00"),2)="m1","Y","N")))</f>
        <v>N</v>
      </c>
      <c r="J105" s="30" t="str">
        <f>IF(Inventory[[#This Row],[Inventory Type]]="SD","Y",IF(Inventory[[#This Row],[Inventory Type]]="LV","Y","N"))</f>
        <v>Y</v>
      </c>
      <c r="K105" s="30" t="str">
        <f t="shared" si="13"/>
        <v>N</v>
      </c>
      <c r="L105" s="30" t="str">
        <f t="shared" si="14"/>
        <v>Original lot received</v>
      </c>
      <c r="M105" s="30" t="str">
        <f t="shared" si="15"/>
        <v>ORIG from SOS Project</v>
      </c>
      <c r="N105" s="80">
        <f>ROUNDDOWN(Master[[#This Row],[Quantity On Hand]],0)</f>
        <v>0</v>
      </c>
      <c r="O105" s="78" t="str">
        <f>IF(Master[[#This Row],[Quantity On Hand Units -''count'' or ''packet'']]="","",Master[[#This Row],[Quantity On Hand Units -''count'' or ''packet'']])</f>
        <v/>
      </c>
      <c r="P105" s="80" t="str">
        <f>IF(Master[[#This Row],[Inventory Type - Lookup Picker]]="","",Master[[#This Row],[Inventory Type - Lookup Picker]])</f>
        <v>SD</v>
      </c>
      <c r="Q105" s="45" t="str">
        <f t="shared" si="16"/>
        <v>Mike has</v>
      </c>
      <c r="R105" s="56">
        <f>IF(Master[[#This Row],[Latitude -decimal degrees]]="","",Master[[#This Row],[Latitude -decimal degrees]])</f>
        <v>44.308410000000002</v>
      </c>
      <c r="S105" s="56">
        <f>IF(Master[[#This Row],[Longitude -decimal degrees]]="","",Master[[#This Row],[Longitude -decimal degrees]])</f>
        <v>-106.49035000000001</v>
      </c>
      <c r="T105" s="30" t="str">
        <f>IF(Master[[#This Row],[Parent Inventory]]="","",Master[[#This Row],[Parent Inventory]])</f>
        <v/>
      </c>
      <c r="U105" s="30">
        <f>IF(Master[[#This Row],[Hundred Seed Weight -gram]]="","",Master[[#This Row],[Hundred Seed Weight -gram]])</f>
        <v>3.1300000000000001E-2</v>
      </c>
      <c r="V105" s="30" t="str">
        <f>IF(Master[[#This Row],[Note (Inventory)]]="","",Master[[#This Row],[Note (Inventory)]])</f>
        <v/>
      </c>
    </row>
    <row r="106" spans="1:22" x14ac:dyDescent="0.25">
      <c r="A106" s="30"/>
      <c r="B106" s="151" t="str">
        <f>IF(Master[[#This Row],[Inventory Prefix]]="","",Master[[#This Row],[Inventory Prefix]])</f>
        <v>W6</v>
      </c>
      <c r="C106" s="151" t="str">
        <f>IF(Master[[#This Row],[Inventory Number]]="","",Master[[#This Row],[Inventory Number]])</f>
        <v/>
      </c>
      <c r="D106" s="78" t="str">
        <f>IF(Master[[#This Row],[Inventory Suffix]]="","",Master[[#This Row],[Inventory Suffix]])</f>
        <v/>
      </c>
      <c r="E106" s="30" t="str">
        <f>IF(Master[[#This Row],[Inventory Type - Lookup Picker]]="","",Master[[#This Row],[Inventory Type - Lookup Picker]])</f>
        <v>SD</v>
      </c>
      <c r="F106" s="151" t="str">
        <f>Master[[#This Row],[Accession Prefix (NPGS)]]&amp;" "&amp;Master[[#This Row],[Accession Number -Assigned]]</f>
        <v>W6 59692</v>
      </c>
      <c r="G106" s="78" t="str">
        <f>IF(Master[[#This Row],[Inventory Maintenance Policy]]="","",Master[[#This Row],[Inventory Maintenance Policy]])</f>
        <v>w6_native</v>
      </c>
      <c r="H106" s="30" t="str">
        <f>IF(Master[[#This Row],[Inventory Maintenance Site -W6]]="","",Master[[#This Row],[Inventory Maintenance Site -W6]])</f>
        <v>W6</v>
      </c>
      <c r="I106" s="30" t="str">
        <f>IF(RIGHT(TEXT(Inventory[[#This Row],[Inventory Suffix]],"00"),2)="01","Y",IF(RIGHT(TEXT(Inventory[[#This Row],[Inventory Suffix]],"00"),2)="c1","Y",IF(RIGHT(TEXT(Inventory[[#This Row],[Inventory Suffix]],"00"),2)="m1","Y","N")))</f>
        <v>N</v>
      </c>
      <c r="J106" s="30" t="str">
        <f>IF(Inventory[[#This Row],[Inventory Type]]="SD","Y",IF(Inventory[[#This Row],[Inventory Type]]="LV","Y","N"))</f>
        <v>Y</v>
      </c>
      <c r="K106" s="30" t="str">
        <f t="shared" si="13"/>
        <v>N</v>
      </c>
      <c r="L106" s="30" t="str">
        <f t="shared" si="14"/>
        <v>Original lot received</v>
      </c>
      <c r="M106" s="30" t="str">
        <f t="shared" si="15"/>
        <v>ORIG from SOS Project</v>
      </c>
      <c r="N106" s="80">
        <f>ROUNDDOWN(Master[[#This Row],[Quantity On Hand]],0)</f>
        <v>0</v>
      </c>
      <c r="O106" s="78" t="str">
        <f>IF(Master[[#This Row],[Quantity On Hand Units -''count'' or ''packet'']]="","",Master[[#This Row],[Quantity On Hand Units -''count'' or ''packet'']])</f>
        <v/>
      </c>
      <c r="P106" s="80" t="str">
        <f>IF(Master[[#This Row],[Inventory Type - Lookup Picker]]="","",Master[[#This Row],[Inventory Type - Lookup Picker]])</f>
        <v>SD</v>
      </c>
      <c r="Q106" s="45" t="str">
        <f t="shared" si="16"/>
        <v>Mike has</v>
      </c>
      <c r="R106" s="56">
        <f>IF(Master[[#This Row],[Latitude -decimal degrees]]="","",Master[[#This Row],[Latitude -decimal degrees]])</f>
        <v>43.59693</v>
      </c>
      <c r="S106" s="56">
        <f>IF(Master[[#This Row],[Longitude -decimal degrees]]="","",Master[[#This Row],[Longitude -decimal degrees]])</f>
        <v>-106.89928</v>
      </c>
      <c r="T106" s="30" t="str">
        <f>IF(Master[[#This Row],[Parent Inventory]]="","",Master[[#This Row],[Parent Inventory]])</f>
        <v/>
      </c>
      <c r="U106" s="30">
        <f>IF(Master[[#This Row],[Hundred Seed Weight -gram]]="","",Master[[#This Row],[Hundred Seed Weight -gram]])</f>
        <v>2.8199999999999999E-2</v>
      </c>
      <c r="V106" s="30" t="str">
        <f>IF(Master[[#This Row],[Note (Inventory)]]="","",Master[[#This Row],[Note (Inventory)]])</f>
        <v/>
      </c>
    </row>
    <row r="107" spans="1:22" x14ac:dyDescent="0.25">
      <c r="A107" s="30"/>
      <c r="B107" s="151" t="str">
        <f>IF(Master[[#This Row],[Inventory Prefix]]="","",Master[[#This Row],[Inventory Prefix]])</f>
        <v>W6</v>
      </c>
      <c r="C107" s="151" t="str">
        <f>IF(Master[[#This Row],[Inventory Number]]="","",Master[[#This Row],[Inventory Number]])</f>
        <v/>
      </c>
      <c r="D107" s="78" t="str">
        <f>IF(Master[[#This Row],[Inventory Suffix]]="","",Master[[#This Row],[Inventory Suffix]])</f>
        <v/>
      </c>
      <c r="E107" s="30" t="str">
        <f>IF(Master[[#This Row],[Inventory Type - Lookup Picker]]="","",Master[[#This Row],[Inventory Type - Lookup Picker]])</f>
        <v>SD</v>
      </c>
      <c r="F107" s="151" t="str">
        <f>Master[[#This Row],[Accession Prefix (NPGS)]]&amp;" "&amp;Master[[#This Row],[Accession Number -Assigned]]</f>
        <v>W6 59693</v>
      </c>
      <c r="G107" s="78" t="str">
        <f>IF(Master[[#This Row],[Inventory Maintenance Policy]]="","",Master[[#This Row],[Inventory Maintenance Policy]])</f>
        <v>w6_native</v>
      </c>
      <c r="H107" s="30" t="str">
        <f>IF(Master[[#This Row],[Inventory Maintenance Site -W6]]="","",Master[[#This Row],[Inventory Maintenance Site -W6]])</f>
        <v>W6</v>
      </c>
      <c r="I107" s="30" t="str">
        <f>IF(RIGHT(TEXT(Inventory[[#This Row],[Inventory Suffix]],"00"),2)="01","Y",IF(RIGHT(TEXT(Inventory[[#This Row],[Inventory Suffix]],"00"),2)="c1","Y",IF(RIGHT(TEXT(Inventory[[#This Row],[Inventory Suffix]],"00"),2)="m1","Y","N")))</f>
        <v>N</v>
      </c>
      <c r="J107" s="30" t="str">
        <f>IF(Inventory[[#This Row],[Inventory Type]]="SD","Y",IF(Inventory[[#This Row],[Inventory Type]]="LV","Y","N"))</f>
        <v>Y</v>
      </c>
      <c r="K107" s="30" t="str">
        <f t="shared" si="13"/>
        <v>N</v>
      </c>
      <c r="L107" s="30" t="str">
        <f t="shared" si="14"/>
        <v>Original lot received</v>
      </c>
      <c r="M107" s="30" t="str">
        <f t="shared" si="15"/>
        <v>ORIG from SOS Project</v>
      </c>
      <c r="N107" s="80">
        <f>ROUNDDOWN(Master[[#This Row],[Quantity On Hand]],0)</f>
        <v>0</v>
      </c>
      <c r="O107" s="78" t="str">
        <f>IF(Master[[#This Row],[Quantity On Hand Units -''count'' or ''packet'']]="","",Master[[#This Row],[Quantity On Hand Units -''count'' or ''packet'']])</f>
        <v/>
      </c>
      <c r="P107" s="80" t="str">
        <f>IF(Master[[#This Row],[Inventory Type - Lookup Picker]]="","",Master[[#This Row],[Inventory Type - Lookup Picker]])</f>
        <v>SD</v>
      </c>
      <c r="Q107" s="45" t="str">
        <f t="shared" si="16"/>
        <v>Mike has</v>
      </c>
      <c r="R107" s="56">
        <f>IF(Master[[#This Row],[Latitude -decimal degrees]]="","",Master[[#This Row],[Latitude -decimal degrees]])</f>
        <v>44.350610000000003</v>
      </c>
      <c r="S107" s="56">
        <f>IF(Master[[#This Row],[Longitude -decimal degrees]]="","",Master[[#This Row],[Longitude -decimal degrees]])</f>
        <v>-106.5326</v>
      </c>
      <c r="T107" s="30" t="str">
        <f>IF(Master[[#This Row],[Parent Inventory]]="","",Master[[#This Row],[Parent Inventory]])</f>
        <v/>
      </c>
      <c r="U107" s="30">
        <f>IF(Master[[#This Row],[Hundred Seed Weight -gram]]="","",Master[[#This Row],[Hundred Seed Weight -gram]])</f>
        <v>3.0200000000000001E-2</v>
      </c>
      <c r="V107" s="30" t="str">
        <f>IF(Master[[#This Row],[Note (Inventory)]]="","",Master[[#This Row],[Note (Inventory)]])</f>
        <v/>
      </c>
    </row>
    <row r="108" spans="1:22" x14ac:dyDescent="0.25">
      <c r="A108" s="30"/>
      <c r="B108" s="151" t="str">
        <f>IF(Master[[#This Row],[Inventory Prefix]]="","",Master[[#This Row],[Inventory Prefix]])</f>
        <v>W6</v>
      </c>
      <c r="C108" s="151" t="str">
        <f>IF(Master[[#This Row],[Inventory Number]]="","",Master[[#This Row],[Inventory Number]])</f>
        <v/>
      </c>
      <c r="D108" s="78" t="str">
        <f>IF(Master[[#This Row],[Inventory Suffix]]="","",Master[[#This Row],[Inventory Suffix]])</f>
        <v/>
      </c>
      <c r="E108" s="30" t="str">
        <f>IF(Master[[#This Row],[Inventory Type - Lookup Picker]]="","",Master[[#This Row],[Inventory Type - Lookup Picker]])</f>
        <v>SD</v>
      </c>
      <c r="F108" s="151" t="str">
        <f>Master[[#This Row],[Accession Prefix (NPGS)]]&amp;" "&amp;Master[[#This Row],[Accession Number -Assigned]]</f>
        <v>W6 59694</v>
      </c>
      <c r="G108" s="78" t="str">
        <f>IF(Master[[#This Row],[Inventory Maintenance Policy]]="","",Master[[#This Row],[Inventory Maintenance Policy]])</f>
        <v>w6_native</v>
      </c>
      <c r="H108" s="30" t="str">
        <f>IF(Master[[#This Row],[Inventory Maintenance Site -W6]]="","",Master[[#This Row],[Inventory Maintenance Site -W6]])</f>
        <v>W6</v>
      </c>
      <c r="I108" s="30" t="str">
        <f>IF(RIGHT(TEXT(Inventory[[#This Row],[Inventory Suffix]],"00"),2)="01","Y",IF(RIGHT(TEXT(Inventory[[#This Row],[Inventory Suffix]],"00"),2)="c1","Y",IF(RIGHT(TEXT(Inventory[[#This Row],[Inventory Suffix]],"00"),2)="m1","Y","N")))</f>
        <v>N</v>
      </c>
      <c r="J108" s="30" t="str">
        <f>IF(Inventory[[#This Row],[Inventory Type]]="SD","Y",IF(Inventory[[#This Row],[Inventory Type]]="LV","Y","N"))</f>
        <v>Y</v>
      </c>
      <c r="K108" s="30" t="str">
        <f t="shared" si="13"/>
        <v>N</v>
      </c>
      <c r="L108" s="30" t="str">
        <f t="shared" si="14"/>
        <v>Original lot received</v>
      </c>
      <c r="M108" s="30" t="str">
        <f t="shared" si="15"/>
        <v>ORIG from SOS Project</v>
      </c>
      <c r="N108" s="80">
        <f>ROUNDDOWN(Master[[#This Row],[Quantity On Hand]],0)</f>
        <v>0</v>
      </c>
      <c r="O108" s="78" t="str">
        <f>IF(Master[[#This Row],[Quantity On Hand Units -''count'' or ''packet'']]="","",Master[[#This Row],[Quantity On Hand Units -''count'' or ''packet'']])</f>
        <v/>
      </c>
      <c r="P108" s="80" t="str">
        <f>IF(Master[[#This Row],[Inventory Type - Lookup Picker]]="","",Master[[#This Row],[Inventory Type - Lookup Picker]])</f>
        <v>SD</v>
      </c>
      <c r="Q108" s="45" t="str">
        <f t="shared" si="16"/>
        <v>Mike has</v>
      </c>
      <c r="R108" s="56">
        <f>IF(Master[[#This Row],[Latitude -decimal degrees]]="","",Master[[#This Row],[Latitude -decimal degrees]])</f>
        <v>44.14734</v>
      </c>
      <c r="S108" s="56">
        <f>IF(Master[[#This Row],[Longitude -decimal degrees]]="","",Master[[#This Row],[Longitude -decimal degrees]])</f>
        <v>-106.18277999999999</v>
      </c>
      <c r="T108" s="30" t="str">
        <f>IF(Master[[#This Row],[Parent Inventory]]="","",Master[[#This Row],[Parent Inventory]])</f>
        <v/>
      </c>
      <c r="U108" s="30">
        <f>IF(Master[[#This Row],[Hundred Seed Weight -gram]]="","",Master[[#This Row],[Hundred Seed Weight -gram]])</f>
        <v>2.2800000000000001E-2</v>
      </c>
      <c r="V108" s="30" t="str">
        <f>IF(Master[[#This Row],[Note (Inventory)]]="","",Master[[#This Row],[Note (Inventory)]])</f>
        <v/>
      </c>
    </row>
    <row r="109" spans="1:22" x14ac:dyDescent="0.25">
      <c r="A109" s="30"/>
      <c r="B109" s="151" t="str">
        <f>IF(Master[[#This Row],[Inventory Prefix]]="","",Master[[#This Row],[Inventory Prefix]])</f>
        <v>W6</v>
      </c>
      <c r="C109" s="151" t="str">
        <f>IF(Master[[#This Row],[Inventory Number]]="","",Master[[#This Row],[Inventory Number]])</f>
        <v/>
      </c>
      <c r="D109" s="78" t="str">
        <f>IF(Master[[#This Row],[Inventory Suffix]]="","",Master[[#This Row],[Inventory Suffix]])</f>
        <v/>
      </c>
      <c r="E109" s="30" t="str">
        <f>IF(Master[[#This Row],[Inventory Type - Lookup Picker]]="","",Master[[#This Row],[Inventory Type - Lookup Picker]])</f>
        <v>SD</v>
      </c>
      <c r="F109" s="151" t="str">
        <f>Master[[#This Row],[Accession Prefix (NPGS)]]&amp;" "&amp;Master[[#This Row],[Accession Number -Assigned]]</f>
        <v>W6 59695</v>
      </c>
      <c r="G109" s="78" t="str">
        <f>IF(Master[[#This Row],[Inventory Maintenance Policy]]="","",Master[[#This Row],[Inventory Maintenance Policy]])</f>
        <v>w6_native</v>
      </c>
      <c r="H109" s="30" t="str">
        <f>IF(Master[[#This Row],[Inventory Maintenance Site -W6]]="","",Master[[#This Row],[Inventory Maintenance Site -W6]])</f>
        <v>W6</v>
      </c>
      <c r="I109" s="30" t="str">
        <f>IF(RIGHT(TEXT(Inventory[[#This Row],[Inventory Suffix]],"00"),2)="01","Y",IF(RIGHT(TEXT(Inventory[[#This Row],[Inventory Suffix]],"00"),2)="c1","Y",IF(RIGHT(TEXT(Inventory[[#This Row],[Inventory Suffix]],"00"),2)="m1","Y","N")))</f>
        <v>N</v>
      </c>
      <c r="J109" s="30" t="str">
        <f>IF(Inventory[[#This Row],[Inventory Type]]="SD","Y",IF(Inventory[[#This Row],[Inventory Type]]="LV","Y","N"))</f>
        <v>Y</v>
      </c>
      <c r="K109" s="30" t="str">
        <f t="shared" si="13"/>
        <v>N</v>
      </c>
      <c r="L109" s="30" t="str">
        <f t="shared" si="14"/>
        <v>Original lot received</v>
      </c>
      <c r="M109" s="30" t="str">
        <f t="shared" si="15"/>
        <v>ORIG from SOS Project</v>
      </c>
      <c r="N109" s="80">
        <f>ROUNDDOWN(Master[[#This Row],[Quantity On Hand]],0)</f>
        <v>0</v>
      </c>
      <c r="O109" s="78" t="str">
        <f>IF(Master[[#This Row],[Quantity On Hand Units -''count'' or ''packet'']]="","",Master[[#This Row],[Quantity On Hand Units -''count'' or ''packet'']])</f>
        <v/>
      </c>
      <c r="P109" s="80" t="str">
        <f>IF(Master[[#This Row],[Inventory Type - Lookup Picker]]="","",Master[[#This Row],[Inventory Type - Lookup Picker]])</f>
        <v>SD</v>
      </c>
      <c r="Q109" s="45" t="str">
        <f t="shared" si="16"/>
        <v>Mike has</v>
      </c>
      <c r="R109" s="56">
        <f>IF(Master[[#This Row],[Latitude -decimal degrees]]="","",Master[[#This Row],[Latitude -decimal degrees]])</f>
        <v>43.572519999999997</v>
      </c>
      <c r="S109" s="56">
        <f>IF(Master[[#This Row],[Longitude -decimal degrees]]="","",Master[[#This Row],[Longitude -decimal degrees]])</f>
        <v>-105.16502</v>
      </c>
      <c r="T109" s="30" t="str">
        <f>IF(Master[[#This Row],[Parent Inventory]]="","",Master[[#This Row],[Parent Inventory]])</f>
        <v/>
      </c>
      <c r="U109" s="30">
        <f>IF(Master[[#This Row],[Hundred Seed Weight -gram]]="","",Master[[#This Row],[Hundred Seed Weight -gram]])</f>
        <v>2.4400000000000002E-2</v>
      </c>
      <c r="V109" s="30" t="str">
        <f>IF(Master[[#This Row],[Note (Inventory)]]="","",Master[[#This Row],[Note (Inventory)]])</f>
        <v/>
      </c>
    </row>
    <row r="110" spans="1:22" x14ac:dyDescent="0.25">
      <c r="A110" s="30"/>
      <c r="B110" s="151" t="str">
        <f>IF(Master[[#This Row],[Inventory Prefix]]="","",Master[[#This Row],[Inventory Prefix]])</f>
        <v>W6</v>
      </c>
      <c r="C110" s="151" t="str">
        <f>IF(Master[[#This Row],[Inventory Number]]="","",Master[[#This Row],[Inventory Number]])</f>
        <v/>
      </c>
      <c r="D110" s="78" t="str">
        <f>IF(Master[[#This Row],[Inventory Suffix]]="","",Master[[#This Row],[Inventory Suffix]])</f>
        <v/>
      </c>
      <c r="E110" s="30" t="str">
        <f>IF(Master[[#This Row],[Inventory Type - Lookup Picker]]="","",Master[[#This Row],[Inventory Type - Lookup Picker]])</f>
        <v>SD</v>
      </c>
      <c r="F110" s="151" t="str">
        <f>Master[[#This Row],[Accession Prefix (NPGS)]]&amp;" "&amp;Master[[#This Row],[Accession Number -Assigned]]</f>
        <v>W6 59696</v>
      </c>
      <c r="G110" s="78" t="str">
        <f>IF(Master[[#This Row],[Inventory Maintenance Policy]]="","",Master[[#This Row],[Inventory Maintenance Policy]])</f>
        <v>w6_native</v>
      </c>
      <c r="H110" s="30" t="str">
        <f>IF(Master[[#This Row],[Inventory Maintenance Site -W6]]="","",Master[[#This Row],[Inventory Maintenance Site -W6]])</f>
        <v>W6</v>
      </c>
      <c r="I110" s="30" t="str">
        <f>IF(RIGHT(TEXT(Inventory[[#This Row],[Inventory Suffix]],"00"),2)="01","Y",IF(RIGHT(TEXT(Inventory[[#This Row],[Inventory Suffix]],"00"),2)="c1","Y",IF(RIGHT(TEXT(Inventory[[#This Row],[Inventory Suffix]],"00"),2)="m1","Y","N")))</f>
        <v>N</v>
      </c>
      <c r="J110" s="30" t="str">
        <f>IF(Inventory[[#This Row],[Inventory Type]]="SD","Y",IF(Inventory[[#This Row],[Inventory Type]]="LV","Y","N"))</f>
        <v>Y</v>
      </c>
      <c r="K110" s="30" t="str">
        <f t="shared" si="13"/>
        <v>N</v>
      </c>
      <c r="L110" s="30" t="str">
        <f t="shared" si="14"/>
        <v>Original lot received</v>
      </c>
      <c r="M110" s="30" t="str">
        <f t="shared" si="15"/>
        <v>ORIG from SOS Project</v>
      </c>
      <c r="N110" s="80">
        <f>ROUNDDOWN(Master[[#This Row],[Quantity On Hand]],0)</f>
        <v>0</v>
      </c>
      <c r="O110" s="78" t="str">
        <f>IF(Master[[#This Row],[Quantity On Hand Units -''count'' or ''packet'']]="","",Master[[#This Row],[Quantity On Hand Units -''count'' or ''packet'']])</f>
        <v/>
      </c>
      <c r="P110" s="80" t="str">
        <f>IF(Master[[#This Row],[Inventory Type - Lookup Picker]]="","",Master[[#This Row],[Inventory Type - Lookup Picker]])</f>
        <v>SD</v>
      </c>
      <c r="Q110" s="45" t="str">
        <f t="shared" si="16"/>
        <v>Mike has</v>
      </c>
      <c r="R110" s="56">
        <f>IF(Master[[#This Row],[Latitude -decimal degrees]]="","",Master[[#This Row],[Latitude -decimal degrees]])</f>
        <v>42.700060000000001</v>
      </c>
      <c r="S110" s="56">
        <f>IF(Master[[#This Row],[Longitude -decimal degrees]]="","",Master[[#This Row],[Longitude -decimal degrees]])</f>
        <v>-107.3147</v>
      </c>
      <c r="T110" s="30" t="str">
        <f>IF(Master[[#This Row],[Parent Inventory]]="","",Master[[#This Row],[Parent Inventory]])</f>
        <v/>
      </c>
      <c r="U110" s="30">
        <f>IF(Master[[#This Row],[Hundred Seed Weight -gram]]="","",Master[[#This Row],[Hundred Seed Weight -gram]])</f>
        <v>2.8199999999999999E-2</v>
      </c>
      <c r="V110" s="30" t="str">
        <f>IF(Master[[#This Row],[Note (Inventory)]]="","",Master[[#This Row],[Note (Inventory)]])</f>
        <v/>
      </c>
    </row>
    <row r="111" spans="1:22" x14ac:dyDescent="0.25">
      <c r="A111" s="30"/>
      <c r="B111" s="151" t="str">
        <f>IF(Master[[#This Row],[Inventory Prefix]]="","",Master[[#This Row],[Inventory Prefix]])</f>
        <v>W6</v>
      </c>
      <c r="C111" s="151" t="str">
        <f>IF(Master[[#This Row],[Inventory Number]]="","",Master[[#This Row],[Inventory Number]])</f>
        <v/>
      </c>
      <c r="D111" s="78" t="str">
        <f>IF(Master[[#This Row],[Inventory Suffix]]="","",Master[[#This Row],[Inventory Suffix]])</f>
        <v/>
      </c>
      <c r="E111" s="30" t="str">
        <f>IF(Master[[#This Row],[Inventory Type - Lookup Picker]]="","",Master[[#This Row],[Inventory Type - Lookup Picker]])</f>
        <v>SD</v>
      </c>
      <c r="F111" s="151" t="str">
        <f>Master[[#This Row],[Accession Prefix (NPGS)]]&amp;" "&amp;Master[[#This Row],[Accession Number -Assigned]]</f>
        <v>W6 59697</v>
      </c>
      <c r="G111" s="78" t="str">
        <f>IF(Master[[#This Row],[Inventory Maintenance Policy]]="","",Master[[#This Row],[Inventory Maintenance Policy]])</f>
        <v>w6_native</v>
      </c>
      <c r="H111" s="30" t="str">
        <f>IF(Master[[#This Row],[Inventory Maintenance Site -W6]]="","",Master[[#This Row],[Inventory Maintenance Site -W6]])</f>
        <v>W6</v>
      </c>
      <c r="I111" s="30" t="str">
        <f>IF(RIGHT(TEXT(Inventory[[#This Row],[Inventory Suffix]],"00"),2)="01","Y",IF(RIGHT(TEXT(Inventory[[#This Row],[Inventory Suffix]],"00"),2)="c1","Y",IF(RIGHT(TEXT(Inventory[[#This Row],[Inventory Suffix]],"00"),2)="m1","Y","N")))</f>
        <v>N</v>
      </c>
      <c r="J111" s="30" t="str">
        <f>IF(Inventory[[#This Row],[Inventory Type]]="SD","Y",IF(Inventory[[#This Row],[Inventory Type]]="LV","Y","N"))</f>
        <v>Y</v>
      </c>
      <c r="K111" s="30" t="str">
        <f t="shared" si="13"/>
        <v>N</v>
      </c>
      <c r="L111" s="30" t="str">
        <f t="shared" si="14"/>
        <v>Original lot received</v>
      </c>
      <c r="M111" s="30" t="str">
        <f t="shared" si="15"/>
        <v>ORIG from SOS Project</v>
      </c>
      <c r="N111" s="80">
        <f>ROUNDDOWN(Master[[#This Row],[Quantity On Hand]],0)</f>
        <v>0</v>
      </c>
      <c r="O111" s="78" t="str">
        <f>IF(Master[[#This Row],[Quantity On Hand Units -''count'' or ''packet'']]="","",Master[[#This Row],[Quantity On Hand Units -''count'' or ''packet'']])</f>
        <v/>
      </c>
      <c r="P111" s="80" t="str">
        <f>IF(Master[[#This Row],[Inventory Type - Lookup Picker]]="","",Master[[#This Row],[Inventory Type - Lookup Picker]])</f>
        <v>SD</v>
      </c>
      <c r="Q111" s="45" t="str">
        <f t="shared" si="16"/>
        <v>Mike has</v>
      </c>
      <c r="R111" s="56">
        <f>IF(Master[[#This Row],[Latitude -decimal degrees]]="","",Master[[#This Row],[Latitude -decimal degrees]])</f>
        <v>43.614460000000001</v>
      </c>
      <c r="S111" s="56">
        <f>IF(Master[[#This Row],[Longitude -decimal degrees]]="","",Master[[#This Row],[Longitude -decimal degrees]])</f>
        <v>-107.18858</v>
      </c>
      <c r="T111" s="30" t="str">
        <f>IF(Master[[#This Row],[Parent Inventory]]="","",Master[[#This Row],[Parent Inventory]])</f>
        <v/>
      </c>
      <c r="U111" s="30">
        <f>IF(Master[[#This Row],[Hundred Seed Weight -gram]]="","",Master[[#This Row],[Hundred Seed Weight -gram]])</f>
        <v>3.5400000000000001E-2</v>
      </c>
      <c r="V111" s="30" t="str">
        <f>IF(Master[[#This Row],[Note (Inventory)]]="","",Master[[#This Row],[Note (Inventory)]])</f>
        <v/>
      </c>
    </row>
    <row r="112" spans="1:22" x14ac:dyDescent="0.25">
      <c r="A112" s="30"/>
      <c r="B112" s="151" t="str">
        <f>IF(Master[[#This Row],[Inventory Prefix]]="","",Master[[#This Row],[Inventory Prefix]])</f>
        <v>W6</v>
      </c>
      <c r="C112" s="151" t="str">
        <f>IF(Master[[#This Row],[Inventory Number]]="","",Master[[#This Row],[Inventory Number]])</f>
        <v/>
      </c>
      <c r="D112" s="78" t="str">
        <f>IF(Master[[#This Row],[Inventory Suffix]]="","",Master[[#This Row],[Inventory Suffix]])</f>
        <v/>
      </c>
      <c r="E112" s="30" t="str">
        <f>IF(Master[[#This Row],[Inventory Type - Lookup Picker]]="","",Master[[#This Row],[Inventory Type - Lookup Picker]])</f>
        <v>SD</v>
      </c>
      <c r="F112" s="151" t="str">
        <f>Master[[#This Row],[Accession Prefix (NPGS)]]&amp;" "&amp;Master[[#This Row],[Accession Number -Assigned]]</f>
        <v>W6 59698</v>
      </c>
      <c r="G112" s="78" t="str">
        <f>IF(Master[[#This Row],[Inventory Maintenance Policy]]="","",Master[[#This Row],[Inventory Maintenance Policy]])</f>
        <v>w6_native</v>
      </c>
      <c r="H112" s="30" t="str">
        <f>IF(Master[[#This Row],[Inventory Maintenance Site -W6]]="","",Master[[#This Row],[Inventory Maintenance Site -W6]])</f>
        <v>W6</v>
      </c>
      <c r="I112" s="30" t="str">
        <f>IF(RIGHT(TEXT(Inventory[[#This Row],[Inventory Suffix]],"00"),2)="01","Y",IF(RIGHT(TEXT(Inventory[[#This Row],[Inventory Suffix]],"00"),2)="c1","Y",IF(RIGHT(TEXT(Inventory[[#This Row],[Inventory Suffix]],"00"),2)="m1","Y","N")))</f>
        <v>N</v>
      </c>
      <c r="J112" s="30" t="str">
        <f>IF(Inventory[[#This Row],[Inventory Type]]="SD","Y",IF(Inventory[[#This Row],[Inventory Type]]="LV","Y","N"))</f>
        <v>Y</v>
      </c>
      <c r="K112" s="30" t="str">
        <f t="shared" si="13"/>
        <v>N</v>
      </c>
      <c r="L112" s="30" t="str">
        <f t="shared" si="14"/>
        <v>Original lot received</v>
      </c>
      <c r="M112" s="30" t="str">
        <f t="shared" si="15"/>
        <v>ORIG from SOS Project</v>
      </c>
      <c r="N112" s="80">
        <f>ROUNDDOWN(Master[[#This Row],[Quantity On Hand]],0)</f>
        <v>0</v>
      </c>
      <c r="O112" s="78" t="str">
        <f>IF(Master[[#This Row],[Quantity On Hand Units -''count'' or ''packet'']]="","",Master[[#This Row],[Quantity On Hand Units -''count'' or ''packet'']])</f>
        <v/>
      </c>
      <c r="P112" s="80" t="str">
        <f>IF(Master[[#This Row],[Inventory Type - Lookup Picker]]="","",Master[[#This Row],[Inventory Type - Lookup Picker]])</f>
        <v>SD</v>
      </c>
      <c r="Q112" s="45" t="str">
        <f t="shared" si="16"/>
        <v>Mike has</v>
      </c>
      <c r="R112" s="56">
        <f>IF(Master[[#This Row],[Latitude -decimal degrees]]="","",Master[[#This Row],[Latitude -decimal degrees]])</f>
        <v>43.459600000000002</v>
      </c>
      <c r="S112" s="56">
        <f>IF(Master[[#This Row],[Longitude -decimal degrees]]="","",Master[[#This Row],[Longitude -decimal degrees]])</f>
        <v>-106.46531</v>
      </c>
      <c r="T112" s="30" t="str">
        <f>IF(Master[[#This Row],[Parent Inventory]]="","",Master[[#This Row],[Parent Inventory]])</f>
        <v/>
      </c>
      <c r="U112" s="30">
        <f>IF(Master[[#This Row],[Hundred Seed Weight -gram]]="","",Master[[#This Row],[Hundred Seed Weight -gram]])</f>
        <v>0.36820000000000003</v>
      </c>
      <c r="V112" s="30" t="str">
        <f>IF(Master[[#This Row],[Note (Inventory)]]="","",Master[[#This Row],[Note (Inventory)]])</f>
        <v/>
      </c>
    </row>
    <row r="113" spans="1:22" x14ac:dyDescent="0.25">
      <c r="A113" s="30"/>
      <c r="B113" s="151" t="str">
        <f>IF(Master[[#This Row],[Inventory Prefix]]="","",Master[[#This Row],[Inventory Prefix]])</f>
        <v>W6</v>
      </c>
      <c r="C113" s="151" t="str">
        <f>IF(Master[[#This Row],[Inventory Number]]="","",Master[[#This Row],[Inventory Number]])</f>
        <v/>
      </c>
      <c r="D113" s="78" t="str">
        <f>IF(Master[[#This Row],[Inventory Suffix]]="","",Master[[#This Row],[Inventory Suffix]])</f>
        <v/>
      </c>
      <c r="E113" s="30" t="str">
        <f>IF(Master[[#This Row],[Inventory Type - Lookup Picker]]="","",Master[[#This Row],[Inventory Type - Lookup Picker]])</f>
        <v>SD</v>
      </c>
      <c r="F113" s="151" t="str">
        <f>Master[[#This Row],[Accession Prefix (NPGS)]]&amp;" "&amp;Master[[#This Row],[Accession Number -Assigned]]</f>
        <v>W6 59699</v>
      </c>
      <c r="G113" s="78" t="str">
        <f>IF(Master[[#This Row],[Inventory Maintenance Policy]]="","",Master[[#This Row],[Inventory Maintenance Policy]])</f>
        <v>w6_native</v>
      </c>
      <c r="H113" s="30" t="str">
        <f>IF(Master[[#This Row],[Inventory Maintenance Site -W6]]="","",Master[[#This Row],[Inventory Maintenance Site -W6]])</f>
        <v>W6</v>
      </c>
      <c r="I113" s="30" t="str">
        <f>IF(RIGHT(TEXT(Inventory[[#This Row],[Inventory Suffix]],"00"),2)="01","Y",IF(RIGHT(TEXT(Inventory[[#This Row],[Inventory Suffix]],"00"),2)="c1","Y",IF(RIGHT(TEXT(Inventory[[#This Row],[Inventory Suffix]],"00"),2)="m1","Y","N")))</f>
        <v>N</v>
      </c>
      <c r="J113" s="30" t="str">
        <f>IF(Inventory[[#This Row],[Inventory Type]]="SD","Y",IF(Inventory[[#This Row],[Inventory Type]]="LV","Y","N"))</f>
        <v>Y</v>
      </c>
      <c r="K113" s="30" t="str">
        <f t="shared" si="13"/>
        <v>N</v>
      </c>
      <c r="L113" s="30" t="str">
        <f t="shared" si="14"/>
        <v>Original lot received</v>
      </c>
      <c r="M113" s="30" t="str">
        <f t="shared" si="15"/>
        <v>ORIG from SOS Project</v>
      </c>
      <c r="N113" s="80">
        <f>ROUNDDOWN(Master[[#This Row],[Quantity On Hand]],0)</f>
        <v>0</v>
      </c>
      <c r="O113" s="78" t="str">
        <f>IF(Master[[#This Row],[Quantity On Hand Units -''count'' or ''packet'']]="","",Master[[#This Row],[Quantity On Hand Units -''count'' or ''packet'']])</f>
        <v/>
      </c>
      <c r="P113" s="80" t="str">
        <f>IF(Master[[#This Row],[Inventory Type - Lookup Picker]]="","",Master[[#This Row],[Inventory Type - Lookup Picker]])</f>
        <v>SD</v>
      </c>
      <c r="Q113" s="45" t="str">
        <f t="shared" si="16"/>
        <v>Mike has</v>
      </c>
      <c r="R113" s="56">
        <f>IF(Master[[#This Row],[Latitude -decimal degrees]]="","",Master[[#This Row],[Latitude -decimal degrees]])</f>
        <v>43.837730000000001</v>
      </c>
      <c r="S113" s="56">
        <f>IF(Master[[#This Row],[Longitude -decimal degrees]]="","",Master[[#This Row],[Longitude -decimal degrees]])</f>
        <v>-106.86485</v>
      </c>
      <c r="T113" s="30" t="str">
        <f>IF(Master[[#This Row],[Parent Inventory]]="","",Master[[#This Row],[Parent Inventory]])</f>
        <v/>
      </c>
      <c r="U113" s="30">
        <f>IF(Master[[#This Row],[Hundred Seed Weight -gram]]="","",Master[[#This Row],[Hundred Seed Weight -gram]])</f>
        <v>2.58E-2</v>
      </c>
      <c r="V113" s="30" t="str">
        <f>IF(Master[[#This Row],[Note (Inventory)]]="","",Master[[#This Row],[Note (Inventory)]])</f>
        <v/>
      </c>
    </row>
    <row r="114" spans="1:22" x14ac:dyDescent="0.25">
      <c r="A114" s="30"/>
      <c r="B114" s="151" t="str">
        <f>IF(Master[[#This Row],[Inventory Prefix]]="","",Master[[#This Row],[Inventory Prefix]])</f>
        <v>W6</v>
      </c>
      <c r="C114" s="151" t="str">
        <f>IF(Master[[#This Row],[Inventory Number]]="","",Master[[#This Row],[Inventory Number]])</f>
        <v/>
      </c>
      <c r="D114" s="78" t="str">
        <f>IF(Master[[#This Row],[Inventory Suffix]]="","",Master[[#This Row],[Inventory Suffix]])</f>
        <v/>
      </c>
      <c r="E114" s="30" t="str">
        <f>IF(Master[[#This Row],[Inventory Type - Lookup Picker]]="","",Master[[#This Row],[Inventory Type - Lookup Picker]])</f>
        <v>SD</v>
      </c>
      <c r="F114" s="151" t="str">
        <f>Master[[#This Row],[Accession Prefix (NPGS)]]&amp;" "&amp;Master[[#This Row],[Accession Number -Assigned]]</f>
        <v>W6 59700</v>
      </c>
      <c r="G114" s="78" t="str">
        <f>IF(Master[[#This Row],[Inventory Maintenance Policy]]="","",Master[[#This Row],[Inventory Maintenance Policy]])</f>
        <v>w6_native</v>
      </c>
      <c r="H114" s="30" t="str">
        <f>IF(Master[[#This Row],[Inventory Maintenance Site -W6]]="","",Master[[#This Row],[Inventory Maintenance Site -W6]])</f>
        <v>W6</v>
      </c>
      <c r="I114" s="30" t="str">
        <f>IF(RIGHT(TEXT(Inventory[[#This Row],[Inventory Suffix]],"00"),2)="01","Y",IF(RIGHT(TEXT(Inventory[[#This Row],[Inventory Suffix]],"00"),2)="c1","Y",IF(RIGHT(TEXT(Inventory[[#This Row],[Inventory Suffix]],"00"),2)="m1","Y","N")))</f>
        <v>N</v>
      </c>
      <c r="J114" s="30" t="str">
        <f>IF(Inventory[[#This Row],[Inventory Type]]="SD","Y",IF(Inventory[[#This Row],[Inventory Type]]="LV","Y","N"))</f>
        <v>Y</v>
      </c>
      <c r="K114" s="30" t="str">
        <f t="shared" si="13"/>
        <v>N</v>
      </c>
      <c r="L114" s="30" t="str">
        <f t="shared" si="14"/>
        <v>Original lot received</v>
      </c>
      <c r="M114" s="30" t="str">
        <f t="shared" si="15"/>
        <v>ORIG from SOS Project</v>
      </c>
      <c r="N114" s="80">
        <f>ROUNDDOWN(Master[[#This Row],[Quantity On Hand]],0)</f>
        <v>0</v>
      </c>
      <c r="O114" s="78" t="str">
        <f>IF(Master[[#This Row],[Quantity On Hand Units -''count'' or ''packet'']]="","",Master[[#This Row],[Quantity On Hand Units -''count'' or ''packet'']])</f>
        <v/>
      </c>
      <c r="P114" s="80" t="str">
        <f>IF(Master[[#This Row],[Inventory Type - Lookup Picker]]="","",Master[[#This Row],[Inventory Type - Lookup Picker]])</f>
        <v>SD</v>
      </c>
      <c r="Q114" s="45" t="str">
        <f t="shared" si="16"/>
        <v>Mike has</v>
      </c>
      <c r="R114" s="56">
        <f>IF(Master[[#This Row],[Latitude -decimal degrees]]="","",Master[[#This Row],[Latitude -decimal degrees]])</f>
        <v>44.091619999999999</v>
      </c>
      <c r="S114" s="56">
        <f>IF(Master[[#This Row],[Longitude -decimal degrees]]="","",Master[[#This Row],[Longitude -decimal degrees]])</f>
        <v>-106.84506</v>
      </c>
      <c r="T114" s="30" t="str">
        <f>IF(Master[[#This Row],[Parent Inventory]]="","",Master[[#This Row],[Parent Inventory]])</f>
        <v/>
      </c>
      <c r="U114" s="30">
        <f>IF(Master[[#This Row],[Hundred Seed Weight -gram]]="","",Master[[#This Row],[Hundred Seed Weight -gram]])</f>
        <v>0.83430000000000004</v>
      </c>
      <c r="V114" s="30" t="str">
        <f>IF(Master[[#This Row],[Note (Inventory)]]="","",Master[[#This Row],[Note (Inventory)]])</f>
        <v/>
      </c>
    </row>
    <row r="115" spans="1:22" x14ac:dyDescent="0.25">
      <c r="A115" s="30"/>
      <c r="B115" s="151" t="str">
        <f>IF(Master[[#This Row],[Inventory Prefix]]="","",Master[[#This Row],[Inventory Prefix]])</f>
        <v>W6</v>
      </c>
      <c r="C115" s="151" t="str">
        <f>IF(Master[[#This Row],[Inventory Number]]="","",Master[[#This Row],[Inventory Number]])</f>
        <v/>
      </c>
      <c r="D115" s="78" t="str">
        <f>IF(Master[[#This Row],[Inventory Suffix]]="","",Master[[#This Row],[Inventory Suffix]])</f>
        <v/>
      </c>
      <c r="E115" s="30" t="str">
        <f>IF(Master[[#This Row],[Inventory Type - Lookup Picker]]="","",Master[[#This Row],[Inventory Type - Lookup Picker]])</f>
        <v>SD</v>
      </c>
      <c r="F115" s="151" t="str">
        <f>Master[[#This Row],[Accession Prefix (NPGS)]]&amp;" "&amp;Master[[#This Row],[Accession Number -Assigned]]</f>
        <v>W6 59701</v>
      </c>
      <c r="G115" s="78" t="str">
        <f>IF(Master[[#This Row],[Inventory Maintenance Policy]]="","",Master[[#This Row],[Inventory Maintenance Policy]])</f>
        <v>w6_native</v>
      </c>
      <c r="H115" s="30" t="str">
        <f>IF(Master[[#This Row],[Inventory Maintenance Site -W6]]="","",Master[[#This Row],[Inventory Maintenance Site -W6]])</f>
        <v>W6</v>
      </c>
      <c r="I115" s="30" t="str">
        <f>IF(RIGHT(TEXT(Inventory[[#This Row],[Inventory Suffix]],"00"),2)="01","Y",IF(RIGHT(TEXT(Inventory[[#This Row],[Inventory Suffix]],"00"),2)="c1","Y",IF(RIGHT(TEXT(Inventory[[#This Row],[Inventory Suffix]],"00"),2)="m1","Y","N")))</f>
        <v>N</v>
      </c>
      <c r="J115" s="30" t="str">
        <f>IF(Inventory[[#This Row],[Inventory Type]]="SD","Y",IF(Inventory[[#This Row],[Inventory Type]]="LV","Y","N"))</f>
        <v>Y</v>
      </c>
      <c r="K115" s="30" t="str">
        <f t="shared" si="13"/>
        <v>N</v>
      </c>
      <c r="L115" s="30" t="str">
        <f t="shared" si="14"/>
        <v>Original lot received</v>
      </c>
      <c r="M115" s="30" t="str">
        <f t="shared" si="15"/>
        <v>ORIG from SOS Project</v>
      </c>
      <c r="N115" s="80">
        <f>ROUNDDOWN(Master[[#This Row],[Quantity On Hand]],0)</f>
        <v>0</v>
      </c>
      <c r="O115" s="78" t="str">
        <f>IF(Master[[#This Row],[Quantity On Hand Units -''count'' or ''packet'']]="","",Master[[#This Row],[Quantity On Hand Units -''count'' or ''packet'']])</f>
        <v/>
      </c>
      <c r="P115" s="80" t="str">
        <f>IF(Master[[#This Row],[Inventory Type - Lookup Picker]]="","",Master[[#This Row],[Inventory Type - Lookup Picker]])</f>
        <v>SD</v>
      </c>
      <c r="Q115" s="45" t="str">
        <f t="shared" si="16"/>
        <v>Mike has</v>
      </c>
      <c r="R115" s="56">
        <f>IF(Master[[#This Row],[Latitude -decimal degrees]]="","",Master[[#This Row],[Latitude -decimal degrees]])</f>
        <v>44.635289999999998</v>
      </c>
      <c r="S115" s="56">
        <f>IF(Master[[#This Row],[Longitude -decimal degrees]]="","",Master[[#This Row],[Longitude -decimal degrees]])</f>
        <v>-105.35576</v>
      </c>
      <c r="T115" s="30" t="str">
        <f>IF(Master[[#This Row],[Parent Inventory]]="","",Master[[#This Row],[Parent Inventory]])</f>
        <v/>
      </c>
      <c r="U115" s="30">
        <f>IF(Master[[#This Row],[Hundred Seed Weight -gram]]="","",Master[[#This Row],[Hundred Seed Weight -gram]])</f>
        <v>6.25E-2</v>
      </c>
      <c r="V115" s="30" t="str">
        <f>IF(Master[[#This Row],[Note (Inventory)]]="","",Master[[#This Row],[Note (Inventory)]])</f>
        <v/>
      </c>
    </row>
    <row r="116" spans="1:22" x14ac:dyDescent="0.25">
      <c r="A116" s="30"/>
      <c r="B116" s="151" t="str">
        <f>IF(Master[[#This Row],[Inventory Prefix]]="","",Master[[#This Row],[Inventory Prefix]])</f>
        <v>W6</v>
      </c>
      <c r="C116" s="151" t="str">
        <f>IF(Master[[#This Row],[Inventory Number]]="","",Master[[#This Row],[Inventory Number]])</f>
        <v/>
      </c>
      <c r="D116" s="78" t="str">
        <f>IF(Master[[#This Row],[Inventory Suffix]]="","",Master[[#This Row],[Inventory Suffix]])</f>
        <v/>
      </c>
      <c r="E116" s="30" t="str">
        <f>IF(Master[[#This Row],[Inventory Type - Lookup Picker]]="","",Master[[#This Row],[Inventory Type - Lookup Picker]])</f>
        <v>SD</v>
      </c>
      <c r="F116" s="151" t="str">
        <f>Master[[#This Row],[Accession Prefix (NPGS)]]&amp;" "&amp;Master[[#This Row],[Accession Number -Assigned]]</f>
        <v>W6 59702</v>
      </c>
      <c r="G116" s="78" t="str">
        <f>IF(Master[[#This Row],[Inventory Maintenance Policy]]="","",Master[[#This Row],[Inventory Maintenance Policy]])</f>
        <v>w6_native</v>
      </c>
      <c r="H116" s="30" t="str">
        <f>IF(Master[[#This Row],[Inventory Maintenance Site -W6]]="","",Master[[#This Row],[Inventory Maintenance Site -W6]])</f>
        <v>W6</v>
      </c>
      <c r="I116" s="30" t="str">
        <f>IF(RIGHT(TEXT(Inventory[[#This Row],[Inventory Suffix]],"00"),2)="01","Y",IF(RIGHT(TEXT(Inventory[[#This Row],[Inventory Suffix]],"00"),2)="c1","Y",IF(RIGHT(TEXT(Inventory[[#This Row],[Inventory Suffix]],"00"),2)="m1","Y","N")))</f>
        <v>N</v>
      </c>
      <c r="J116" s="30" t="str">
        <f>IF(Inventory[[#This Row],[Inventory Type]]="SD","Y",IF(Inventory[[#This Row],[Inventory Type]]="LV","Y","N"))</f>
        <v>Y</v>
      </c>
      <c r="K116" s="30" t="str">
        <f t="shared" si="13"/>
        <v>N</v>
      </c>
      <c r="L116" s="30" t="str">
        <f t="shared" si="14"/>
        <v>Original lot received</v>
      </c>
      <c r="M116" s="30" t="str">
        <f t="shared" si="15"/>
        <v>ORIG from SOS Project</v>
      </c>
      <c r="N116" s="80">
        <f>ROUNDDOWN(Master[[#This Row],[Quantity On Hand]],0)</f>
        <v>0</v>
      </c>
      <c r="O116" s="78" t="str">
        <f>IF(Master[[#This Row],[Quantity On Hand Units -''count'' or ''packet'']]="","",Master[[#This Row],[Quantity On Hand Units -''count'' or ''packet'']])</f>
        <v/>
      </c>
      <c r="P116" s="80" t="str">
        <f>IF(Master[[#This Row],[Inventory Type - Lookup Picker]]="","",Master[[#This Row],[Inventory Type - Lookup Picker]])</f>
        <v>SD</v>
      </c>
      <c r="Q116" s="45" t="str">
        <f t="shared" si="16"/>
        <v>Mike has</v>
      </c>
      <c r="R116" s="56">
        <f>IF(Master[[#This Row],[Latitude -decimal degrees]]="","",Master[[#This Row],[Latitude -decimal degrees]])</f>
        <v>44.516919999999999</v>
      </c>
      <c r="S116" s="56">
        <f>IF(Master[[#This Row],[Longitude -decimal degrees]]="","",Master[[#This Row],[Longitude -decimal degrees]])</f>
        <v>-105.44336</v>
      </c>
      <c r="T116" s="30" t="str">
        <f>IF(Master[[#This Row],[Parent Inventory]]="","",Master[[#This Row],[Parent Inventory]])</f>
        <v/>
      </c>
      <c r="U116" s="30">
        <f>IF(Master[[#This Row],[Hundred Seed Weight -gram]]="","",Master[[#This Row],[Hundred Seed Weight -gram]])</f>
        <v>7.0099999999999996E-2</v>
      </c>
      <c r="V116" s="30" t="str">
        <f>IF(Master[[#This Row],[Note (Inventory)]]="","",Master[[#This Row],[Note (Inventory)]])</f>
        <v/>
      </c>
    </row>
    <row r="117" spans="1:22" x14ac:dyDescent="0.25">
      <c r="A117" s="30"/>
      <c r="B117" s="151" t="str">
        <f>IF(Master[[#This Row],[Inventory Prefix]]="","",Master[[#This Row],[Inventory Prefix]])</f>
        <v>W6</v>
      </c>
      <c r="C117" s="151" t="str">
        <f>IF(Master[[#This Row],[Inventory Number]]="","",Master[[#This Row],[Inventory Number]])</f>
        <v/>
      </c>
      <c r="D117" s="78" t="str">
        <f>IF(Master[[#This Row],[Inventory Suffix]]="","",Master[[#This Row],[Inventory Suffix]])</f>
        <v/>
      </c>
      <c r="E117" s="30" t="str">
        <f>IF(Master[[#This Row],[Inventory Type - Lookup Picker]]="","",Master[[#This Row],[Inventory Type - Lookup Picker]])</f>
        <v>SD</v>
      </c>
      <c r="F117" s="151" t="str">
        <f>Master[[#This Row],[Accession Prefix (NPGS)]]&amp;" "&amp;Master[[#This Row],[Accession Number -Assigned]]</f>
        <v>W6 59703</v>
      </c>
      <c r="G117" s="78" t="str">
        <f>IF(Master[[#This Row],[Inventory Maintenance Policy]]="","",Master[[#This Row],[Inventory Maintenance Policy]])</f>
        <v>w6_native</v>
      </c>
      <c r="H117" s="30" t="str">
        <f>IF(Master[[#This Row],[Inventory Maintenance Site -W6]]="","",Master[[#This Row],[Inventory Maintenance Site -W6]])</f>
        <v>W6</v>
      </c>
      <c r="I117" s="30" t="str">
        <f>IF(RIGHT(TEXT(Inventory[[#This Row],[Inventory Suffix]],"00"),2)="01","Y",IF(RIGHT(TEXT(Inventory[[#This Row],[Inventory Suffix]],"00"),2)="c1","Y",IF(RIGHT(TEXT(Inventory[[#This Row],[Inventory Suffix]],"00"),2)="m1","Y","N")))</f>
        <v>N</v>
      </c>
      <c r="J117" s="30" t="str">
        <f>IF(Inventory[[#This Row],[Inventory Type]]="SD","Y",IF(Inventory[[#This Row],[Inventory Type]]="LV","Y","N"))</f>
        <v>Y</v>
      </c>
      <c r="K117" s="30" t="str">
        <f t="shared" si="13"/>
        <v>N</v>
      </c>
      <c r="L117" s="30" t="str">
        <f t="shared" si="14"/>
        <v>Original lot received</v>
      </c>
      <c r="M117" s="30" t="str">
        <f t="shared" si="15"/>
        <v>ORIG from SOS Project</v>
      </c>
      <c r="N117" s="80">
        <f>ROUNDDOWN(Master[[#This Row],[Quantity On Hand]],0)</f>
        <v>0</v>
      </c>
      <c r="O117" s="78" t="str">
        <f>IF(Master[[#This Row],[Quantity On Hand Units -''count'' or ''packet'']]="","",Master[[#This Row],[Quantity On Hand Units -''count'' or ''packet'']])</f>
        <v/>
      </c>
      <c r="P117" s="80" t="str">
        <f>IF(Master[[#This Row],[Inventory Type - Lookup Picker]]="","",Master[[#This Row],[Inventory Type - Lookup Picker]])</f>
        <v>SD</v>
      </c>
      <c r="Q117" s="45" t="str">
        <f t="shared" si="16"/>
        <v>Mike has</v>
      </c>
      <c r="R117" s="56">
        <f>IF(Master[[#This Row],[Latitude -decimal degrees]]="","",Master[[#This Row],[Latitude -decimal degrees]])</f>
        <v>43.586930000000002</v>
      </c>
      <c r="S117" s="56">
        <f>IF(Master[[#This Row],[Longitude -decimal degrees]]="","",Master[[#This Row],[Longitude -decimal degrees]])</f>
        <v>-106.93411999999999</v>
      </c>
      <c r="T117" s="30" t="str">
        <f>IF(Master[[#This Row],[Parent Inventory]]="","",Master[[#This Row],[Parent Inventory]])</f>
        <v/>
      </c>
      <c r="U117" s="30">
        <f>IF(Master[[#This Row],[Hundred Seed Weight -gram]]="","",Master[[#This Row],[Hundred Seed Weight -gram]])</f>
        <v>6.9099999999999995E-2</v>
      </c>
      <c r="V117" s="30" t="str">
        <f>IF(Master[[#This Row],[Note (Inventory)]]="","",Master[[#This Row],[Note (Inventory)]])</f>
        <v/>
      </c>
    </row>
    <row r="118" spans="1:22" x14ac:dyDescent="0.25">
      <c r="A118" s="30"/>
      <c r="B118" s="151" t="str">
        <f>IF(Master[[#This Row],[Inventory Prefix]]="","",Master[[#This Row],[Inventory Prefix]])</f>
        <v>W6</v>
      </c>
      <c r="C118" s="151" t="str">
        <f>IF(Master[[#This Row],[Inventory Number]]="","",Master[[#This Row],[Inventory Number]])</f>
        <v/>
      </c>
      <c r="D118" s="78" t="str">
        <f>IF(Master[[#This Row],[Inventory Suffix]]="","",Master[[#This Row],[Inventory Suffix]])</f>
        <v/>
      </c>
      <c r="E118" s="30" t="str">
        <f>IF(Master[[#This Row],[Inventory Type - Lookup Picker]]="","",Master[[#This Row],[Inventory Type - Lookup Picker]])</f>
        <v>SD</v>
      </c>
      <c r="F118" s="151" t="str">
        <f>Master[[#This Row],[Accession Prefix (NPGS)]]&amp;" "&amp;Master[[#This Row],[Accession Number -Assigned]]</f>
        <v>W6 59704</v>
      </c>
      <c r="G118" s="78" t="str">
        <f>IF(Master[[#This Row],[Inventory Maintenance Policy]]="","",Master[[#This Row],[Inventory Maintenance Policy]])</f>
        <v>w6_native</v>
      </c>
      <c r="H118" s="30" t="str">
        <f>IF(Master[[#This Row],[Inventory Maintenance Site -W6]]="","",Master[[#This Row],[Inventory Maintenance Site -W6]])</f>
        <v>W6</v>
      </c>
      <c r="I118" s="30" t="str">
        <f>IF(RIGHT(TEXT(Inventory[[#This Row],[Inventory Suffix]],"00"),2)="01","Y",IF(RIGHT(TEXT(Inventory[[#This Row],[Inventory Suffix]],"00"),2)="c1","Y",IF(RIGHT(TEXT(Inventory[[#This Row],[Inventory Suffix]],"00"),2)="m1","Y","N")))</f>
        <v>N</v>
      </c>
      <c r="J118" s="30" t="str">
        <f>IF(Inventory[[#This Row],[Inventory Type]]="SD","Y",IF(Inventory[[#This Row],[Inventory Type]]="LV","Y","N"))</f>
        <v>Y</v>
      </c>
      <c r="K118" s="30" t="str">
        <f t="shared" ref="K118:K149" si="17">"N"</f>
        <v>N</v>
      </c>
      <c r="L118" s="30" t="str">
        <f t="shared" si="14"/>
        <v>Original lot received</v>
      </c>
      <c r="M118" s="30" t="str">
        <f t="shared" si="15"/>
        <v>ORIG from SOS Project</v>
      </c>
      <c r="N118" s="80">
        <f>ROUNDDOWN(Master[[#This Row],[Quantity On Hand]],0)</f>
        <v>0</v>
      </c>
      <c r="O118" s="78" t="str">
        <f>IF(Master[[#This Row],[Quantity On Hand Units -''count'' or ''packet'']]="","",Master[[#This Row],[Quantity On Hand Units -''count'' or ''packet'']])</f>
        <v/>
      </c>
      <c r="P118" s="80" t="str">
        <f>IF(Master[[#This Row],[Inventory Type - Lookup Picker]]="","",Master[[#This Row],[Inventory Type - Lookup Picker]])</f>
        <v>SD</v>
      </c>
      <c r="Q118" s="45" t="str">
        <f t="shared" si="16"/>
        <v>Mike has</v>
      </c>
      <c r="R118" s="56">
        <f>IF(Master[[#This Row],[Latitude -decimal degrees]]="","",Master[[#This Row],[Latitude -decimal degrees]])</f>
        <v>44.091619999999999</v>
      </c>
      <c r="S118" s="56">
        <f>IF(Master[[#This Row],[Longitude -decimal degrees]]="","",Master[[#This Row],[Longitude -decimal degrees]])</f>
        <v>-106.84506</v>
      </c>
      <c r="T118" s="30" t="str">
        <f>IF(Master[[#This Row],[Parent Inventory]]="","",Master[[#This Row],[Parent Inventory]])</f>
        <v/>
      </c>
      <c r="U118" s="30">
        <f>IF(Master[[#This Row],[Hundred Seed Weight -gram]]="","",Master[[#This Row],[Hundred Seed Weight -gram]])</f>
        <v>6.0100000000000001E-2</v>
      </c>
      <c r="V118" s="30" t="str">
        <f>IF(Master[[#This Row],[Note (Inventory)]]="","",Master[[#This Row],[Note (Inventory)]])</f>
        <v/>
      </c>
    </row>
    <row r="119" spans="1:22" x14ac:dyDescent="0.25">
      <c r="A119" s="30"/>
      <c r="B119" s="151" t="str">
        <f>IF(Master[[#This Row],[Inventory Prefix]]="","",Master[[#This Row],[Inventory Prefix]])</f>
        <v>W6</v>
      </c>
      <c r="C119" s="151" t="str">
        <f>IF(Master[[#This Row],[Inventory Number]]="","",Master[[#This Row],[Inventory Number]])</f>
        <v/>
      </c>
      <c r="D119" s="78" t="str">
        <f>IF(Master[[#This Row],[Inventory Suffix]]="","",Master[[#This Row],[Inventory Suffix]])</f>
        <v/>
      </c>
      <c r="E119" s="30" t="str">
        <f>IF(Master[[#This Row],[Inventory Type - Lookup Picker]]="","",Master[[#This Row],[Inventory Type - Lookup Picker]])</f>
        <v>SD</v>
      </c>
      <c r="F119" s="151" t="str">
        <f>Master[[#This Row],[Accession Prefix (NPGS)]]&amp;" "&amp;Master[[#This Row],[Accession Number -Assigned]]</f>
        <v>W6 59705</v>
      </c>
      <c r="G119" s="78" t="str">
        <f>IF(Master[[#This Row],[Inventory Maintenance Policy]]="","",Master[[#This Row],[Inventory Maintenance Policy]])</f>
        <v>w6_native</v>
      </c>
      <c r="H119" s="30" t="str">
        <f>IF(Master[[#This Row],[Inventory Maintenance Site -W6]]="","",Master[[#This Row],[Inventory Maintenance Site -W6]])</f>
        <v>W6</v>
      </c>
      <c r="I119" s="30" t="str">
        <f>IF(RIGHT(TEXT(Inventory[[#This Row],[Inventory Suffix]],"00"),2)="01","Y",IF(RIGHT(TEXT(Inventory[[#This Row],[Inventory Suffix]],"00"),2)="c1","Y",IF(RIGHT(TEXT(Inventory[[#This Row],[Inventory Suffix]],"00"),2)="m1","Y","N")))</f>
        <v>N</v>
      </c>
      <c r="J119" s="30" t="str">
        <f>IF(Inventory[[#This Row],[Inventory Type]]="SD","Y",IF(Inventory[[#This Row],[Inventory Type]]="LV","Y","N"))</f>
        <v>Y</v>
      </c>
      <c r="K119" s="30" t="str">
        <f t="shared" si="17"/>
        <v>N</v>
      </c>
      <c r="L119" s="30" t="str">
        <f t="shared" si="14"/>
        <v>Original lot received</v>
      </c>
      <c r="M119" s="30" t="str">
        <f t="shared" si="15"/>
        <v>ORIG from SOS Project</v>
      </c>
      <c r="N119" s="80">
        <f>ROUNDDOWN(Master[[#This Row],[Quantity On Hand]],0)</f>
        <v>0</v>
      </c>
      <c r="O119" s="78" t="str">
        <f>IF(Master[[#This Row],[Quantity On Hand Units -''count'' or ''packet'']]="","",Master[[#This Row],[Quantity On Hand Units -''count'' or ''packet'']])</f>
        <v/>
      </c>
      <c r="P119" s="80" t="str">
        <f>IF(Master[[#This Row],[Inventory Type - Lookup Picker]]="","",Master[[#This Row],[Inventory Type - Lookup Picker]])</f>
        <v>SD</v>
      </c>
      <c r="Q119" s="45" t="str">
        <f t="shared" si="16"/>
        <v>Mike has</v>
      </c>
      <c r="R119" s="56">
        <f>IF(Master[[#This Row],[Latitude -decimal degrees]]="","",Master[[#This Row],[Latitude -decimal degrees]])</f>
        <v>43.841180000000001</v>
      </c>
      <c r="S119" s="56">
        <f>IF(Master[[#This Row],[Longitude -decimal degrees]]="","",Master[[#This Row],[Longitude -decimal degrees]])</f>
        <v>-106.93975</v>
      </c>
      <c r="T119" s="30" t="str">
        <f>IF(Master[[#This Row],[Parent Inventory]]="","",Master[[#This Row],[Parent Inventory]])</f>
        <v/>
      </c>
      <c r="U119" s="30">
        <f>IF(Master[[#This Row],[Hundred Seed Weight -gram]]="","",Master[[#This Row],[Hundred Seed Weight -gram]])</f>
        <v>6.6900000000000001E-2</v>
      </c>
      <c r="V119" s="30" t="str">
        <f>IF(Master[[#This Row],[Note (Inventory)]]="","",Master[[#This Row],[Note (Inventory)]])</f>
        <v/>
      </c>
    </row>
    <row r="120" spans="1:22" x14ac:dyDescent="0.25">
      <c r="A120" s="30"/>
      <c r="B120" s="151" t="str">
        <f>IF(Master[[#This Row],[Inventory Prefix]]="","",Master[[#This Row],[Inventory Prefix]])</f>
        <v>W6</v>
      </c>
      <c r="C120" s="151" t="str">
        <f>IF(Master[[#This Row],[Inventory Number]]="","",Master[[#This Row],[Inventory Number]])</f>
        <v/>
      </c>
      <c r="D120" s="78" t="str">
        <f>IF(Master[[#This Row],[Inventory Suffix]]="","",Master[[#This Row],[Inventory Suffix]])</f>
        <v/>
      </c>
      <c r="E120" s="30" t="str">
        <f>IF(Master[[#This Row],[Inventory Type - Lookup Picker]]="","",Master[[#This Row],[Inventory Type - Lookup Picker]])</f>
        <v>SD</v>
      </c>
      <c r="F120" s="151" t="str">
        <f>Master[[#This Row],[Accession Prefix (NPGS)]]&amp;" "&amp;Master[[#This Row],[Accession Number -Assigned]]</f>
        <v>W6 59706</v>
      </c>
      <c r="G120" s="78" t="str">
        <f>IF(Master[[#This Row],[Inventory Maintenance Policy]]="","",Master[[#This Row],[Inventory Maintenance Policy]])</f>
        <v>w6_native</v>
      </c>
      <c r="H120" s="30" t="str">
        <f>IF(Master[[#This Row],[Inventory Maintenance Site -W6]]="","",Master[[#This Row],[Inventory Maintenance Site -W6]])</f>
        <v>W6</v>
      </c>
      <c r="I120" s="30" t="str">
        <f>IF(RIGHT(TEXT(Inventory[[#This Row],[Inventory Suffix]],"00"),2)="01","Y",IF(RIGHT(TEXT(Inventory[[#This Row],[Inventory Suffix]],"00"),2)="c1","Y",IF(RIGHT(TEXT(Inventory[[#This Row],[Inventory Suffix]],"00"),2)="m1","Y","N")))</f>
        <v>N</v>
      </c>
      <c r="J120" s="30" t="str">
        <f>IF(Inventory[[#This Row],[Inventory Type]]="SD","Y",IF(Inventory[[#This Row],[Inventory Type]]="LV","Y","N"))</f>
        <v>Y</v>
      </c>
      <c r="K120" s="30" t="str">
        <f t="shared" si="17"/>
        <v>N</v>
      </c>
      <c r="L120" s="30" t="str">
        <f t="shared" si="14"/>
        <v>Original lot received</v>
      </c>
      <c r="M120" s="30" t="str">
        <f t="shared" si="15"/>
        <v>ORIG from SOS Project</v>
      </c>
      <c r="N120" s="80">
        <f>ROUNDDOWN(Master[[#This Row],[Quantity On Hand]],0)</f>
        <v>0</v>
      </c>
      <c r="O120" s="78" t="str">
        <f>IF(Master[[#This Row],[Quantity On Hand Units -''count'' or ''packet'']]="","",Master[[#This Row],[Quantity On Hand Units -''count'' or ''packet'']])</f>
        <v/>
      </c>
      <c r="P120" s="80" t="str">
        <f>IF(Master[[#This Row],[Inventory Type - Lookup Picker]]="","",Master[[#This Row],[Inventory Type - Lookup Picker]])</f>
        <v>SD</v>
      </c>
      <c r="Q120" s="45" t="str">
        <f t="shared" si="16"/>
        <v>Mike has</v>
      </c>
      <c r="R120" s="56">
        <f>IF(Master[[#This Row],[Latitude -decimal degrees]]="","",Master[[#This Row],[Latitude -decimal degrees]])</f>
        <v>44.328679999999999</v>
      </c>
      <c r="S120" s="56">
        <f>IF(Master[[#This Row],[Longitude -decimal degrees]]="","",Master[[#This Row],[Longitude -decimal degrees]])</f>
        <v>-106.81099</v>
      </c>
      <c r="T120" s="30" t="str">
        <f>IF(Master[[#This Row],[Parent Inventory]]="","",Master[[#This Row],[Parent Inventory]])</f>
        <v/>
      </c>
      <c r="U120" s="30">
        <f>IF(Master[[#This Row],[Hundred Seed Weight -gram]]="","",Master[[#This Row],[Hundred Seed Weight -gram]])</f>
        <v>6.1499999999999999E-2</v>
      </c>
      <c r="V120" s="30" t="str">
        <f>IF(Master[[#This Row],[Note (Inventory)]]="","",Master[[#This Row],[Note (Inventory)]])</f>
        <v/>
      </c>
    </row>
    <row r="121" spans="1:22" x14ac:dyDescent="0.25">
      <c r="A121" s="30"/>
      <c r="B121" s="151" t="str">
        <f>IF(Master[[#This Row],[Inventory Prefix]]="","",Master[[#This Row],[Inventory Prefix]])</f>
        <v>W6</v>
      </c>
      <c r="C121" s="151" t="str">
        <f>IF(Master[[#This Row],[Inventory Number]]="","",Master[[#This Row],[Inventory Number]])</f>
        <v/>
      </c>
      <c r="D121" s="78" t="str">
        <f>IF(Master[[#This Row],[Inventory Suffix]]="","",Master[[#This Row],[Inventory Suffix]])</f>
        <v/>
      </c>
      <c r="E121" s="30" t="str">
        <f>IF(Master[[#This Row],[Inventory Type - Lookup Picker]]="","",Master[[#This Row],[Inventory Type - Lookup Picker]])</f>
        <v>SD</v>
      </c>
      <c r="F121" s="151" t="str">
        <f>Master[[#This Row],[Accession Prefix (NPGS)]]&amp;" "&amp;Master[[#This Row],[Accession Number -Assigned]]</f>
        <v>W6 59707</v>
      </c>
      <c r="G121" s="78" t="str">
        <f>IF(Master[[#This Row],[Inventory Maintenance Policy]]="","",Master[[#This Row],[Inventory Maintenance Policy]])</f>
        <v>w6_native</v>
      </c>
      <c r="H121" s="30" t="str">
        <f>IF(Master[[#This Row],[Inventory Maintenance Site -W6]]="","",Master[[#This Row],[Inventory Maintenance Site -W6]])</f>
        <v>W6</v>
      </c>
      <c r="I121" s="30" t="str">
        <f>IF(RIGHT(TEXT(Inventory[[#This Row],[Inventory Suffix]],"00"),2)="01","Y",IF(RIGHT(TEXT(Inventory[[#This Row],[Inventory Suffix]],"00"),2)="c1","Y",IF(RIGHT(TEXT(Inventory[[#This Row],[Inventory Suffix]],"00"),2)="m1","Y","N")))</f>
        <v>N</v>
      </c>
      <c r="J121" s="30" t="str">
        <f>IF(Inventory[[#This Row],[Inventory Type]]="SD","Y",IF(Inventory[[#This Row],[Inventory Type]]="LV","Y","N"))</f>
        <v>Y</v>
      </c>
      <c r="K121" s="30" t="str">
        <f t="shared" si="17"/>
        <v>N</v>
      </c>
      <c r="L121" s="30" t="str">
        <f t="shared" si="14"/>
        <v>Original lot received</v>
      </c>
      <c r="M121" s="30" t="str">
        <f t="shared" si="15"/>
        <v>ORIG from SOS Project</v>
      </c>
      <c r="N121" s="80">
        <f>ROUNDDOWN(Master[[#This Row],[Quantity On Hand]],0)</f>
        <v>0</v>
      </c>
      <c r="O121" s="78" t="str">
        <f>IF(Master[[#This Row],[Quantity On Hand Units -''count'' or ''packet'']]="","",Master[[#This Row],[Quantity On Hand Units -''count'' or ''packet'']])</f>
        <v/>
      </c>
      <c r="P121" s="80" t="str">
        <f>IF(Master[[#This Row],[Inventory Type - Lookup Picker]]="","",Master[[#This Row],[Inventory Type - Lookup Picker]])</f>
        <v>SD</v>
      </c>
      <c r="Q121" s="45" t="str">
        <f t="shared" si="16"/>
        <v>Mike has</v>
      </c>
      <c r="R121" s="56">
        <f>IF(Master[[#This Row],[Latitude -decimal degrees]]="","",Master[[#This Row],[Latitude -decimal degrees]])</f>
        <v>43.860970000000002</v>
      </c>
      <c r="S121" s="56">
        <f>IF(Master[[#This Row],[Longitude -decimal degrees]]="","",Master[[#This Row],[Longitude -decimal degrees]])</f>
        <v>-106.96447999999999</v>
      </c>
      <c r="T121" s="30" t="str">
        <f>IF(Master[[#This Row],[Parent Inventory]]="","",Master[[#This Row],[Parent Inventory]])</f>
        <v/>
      </c>
      <c r="U121" s="30">
        <f>IF(Master[[#This Row],[Hundred Seed Weight -gram]]="","",Master[[#This Row],[Hundred Seed Weight -gram]])</f>
        <v>7.1300000000000002E-2</v>
      </c>
      <c r="V121" s="30" t="str">
        <f>IF(Master[[#This Row],[Note (Inventory)]]="","",Master[[#This Row],[Note (Inventory)]])</f>
        <v/>
      </c>
    </row>
    <row r="122" spans="1:22" x14ac:dyDescent="0.25">
      <c r="A122" s="30"/>
      <c r="B122" s="151" t="str">
        <f>IF(Master[[#This Row],[Inventory Prefix]]="","",Master[[#This Row],[Inventory Prefix]])</f>
        <v>W6</v>
      </c>
      <c r="C122" s="151" t="str">
        <f>IF(Master[[#This Row],[Inventory Number]]="","",Master[[#This Row],[Inventory Number]])</f>
        <v/>
      </c>
      <c r="D122" s="78" t="str">
        <f>IF(Master[[#This Row],[Inventory Suffix]]="","",Master[[#This Row],[Inventory Suffix]])</f>
        <v/>
      </c>
      <c r="E122" s="30" t="str">
        <f>IF(Master[[#This Row],[Inventory Type - Lookup Picker]]="","",Master[[#This Row],[Inventory Type - Lookup Picker]])</f>
        <v>SD</v>
      </c>
      <c r="F122" s="151" t="str">
        <f>Master[[#This Row],[Accession Prefix (NPGS)]]&amp;" "&amp;Master[[#This Row],[Accession Number -Assigned]]</f>
        <v>W6 59708</v>
      </c>
      <c r="G122" s="78" t="str">
        <f>IF(Master[[#This Row],[Inventory Maintenance Policy]]="","",Master[[#This Row],[Inventory Maintenance Policy]])</f>
        <v>w6_native</v>
      </c>
      <c r="H122" s="30" t="str">
        <f>IF(Master[[#This Row],[Inventory Maintenance Site -W6]]="","",Master[[#This Row],[Inventory Maintenance Site -W6]])</f>
        <v>W6</v>
      </c>
      <c r="I122" s="30" t="str">
        <f>IF(RIGHT(TEXT(Inventory[[#This Row],[Inventory Suffix]],"00"),2)="01","Y",IF(RIGHT(TEXT(Inventory[[#This Row],[Inventory Suffix]],"00"),2)="c1","Y",IF(RIGHT(TEXT(Inventory[[#This Row],[Inventory Suffix]],"00"),2)="m1","Y","N")))</f>
        <v>N</v>
      </c>
      <c r="J122" s="30" t="str">
        <f>IF(Inventory[[#This Row],[Inventory Type]]="SD","Y",IF(Inventory[[#This Row],[Inventory Type]]="LV","Y","N"))</f>
        <v>Y</v>
      </c>
      <c r="K122" s="30" t="str">
        <f t="shared" si="17"/>
        <v>N</v>
      </c>
      <c r="L122" s="30" t="str">
        <f t="shared" si="14"/>
        <v>Original lot received</v>
      </c>
      <c r="M122" s="30" t="str">
        <f t="shared" si="15"/>
        <v>ORIG from SOS Project</v>
      </c>
      <c r="N122" s="80">
        <f>ROUNDDOWN(Master[[#This Row],[Quantity On Hand]],0)</f>
        <v>0</v>
      </c>
      <c r="O122" s="78" t="str">
        <f>IF(Master[[#This Row],[Quantity On Hand Units -''count'' or ''packet'']]="","",Master[[#This Row],[Quantity On Hand Units -''count'' or ''packet'']])</f>
        <v/>
      </c>
      <c r="P122" s="80" t="str">
        <f>IF(Master[[#This Row],[Inventory Type - Lookup Picker]]="","",Master[[#This Row],[Inventory Type - Lookup Picker]])</f>
        <v>SD</v>
      </c>
      <c r="Q122" s="45" t="str">
        <f t="shared" si="16"/>
        <v>Mike has</v>
      </c>
      <c r="R122" s="56">
        <f>IF(Master[[#This Row],[Latitude -decimal degrees]]="","",Master[[#This Row],[Latitude -decimal degrees]])</f>
        <v>44.53913</v>
      </c>
      <c r="S122" s="56">
        <f>IF(Master[[#This Row],[Longitude -decimal degrees]]="","",Master[[#This Row],[Longitude -decimal degrees]])</f>
        <v>-105.40682</v>
      </c>
      <c r="T122" s="30" t="str">
        <f>IF(Master[[#This Row],[Parent Inventory]]="","",Master[[#This Row],[Parent Inventory]])</f>
        <v/>
      </c>
      <c r="U122" s="30">
        <f>IF(Master[[#This Row],[Hundred Seed Weight -gram]]="","",Master[[#This Row],[Hundred Seed Weight -gram]])</f>
        <v>5.9200000000000003E-2</v>
      </c>
      <c r="V122" s="30" t="str">
        <f>IF(Master[[#This Row],[Note (Inventory)]]="","",Master[[#This Row],[Note (Inventory)]])</f>
        <v/>
      </c>
    </row>
    <row r="123" spans="1:22" x14ac:dyDescent="0.25">
      <c r="A123" s="30"/>
      <c r="B123" s="151" t="str">
        <f>IF(Master[[#This Row],[Inventory Prefix]]="","",Master[[#This Row],[Inventory Prefix]])</f>
        <v>W6</v>
      </c>
      <c r="C123" s="151" t="str">
        <f>IF(Master[[#This Row],[Inventory Number]]="","",Master[[#This Row],[Inventory Number]])</f>
        <v/>
      </c>
      <c r="D123" s="78" t="str">
        <f>IF(Master[[#This Row],[Inventory Suffix]]="","",Master[[#This Row],[Inventory Suffix]])</f>
        <v/>
      </c>
      <c r="E123" s="30" t="str">
        <f>IF(Master[[#This Row],[Inventory Type - Lookup Picker]]="","",Master[[#This Row],[Inventory Type - Lookup Picker]])</f>
        <v>SD</v>
      </c>
      <c r="F123" s="151" t="str">
        <f>Master[[#This Row],[Accession Prefix (NPGS)]]&amp;" "&amp;Master[[#This Row],[Accession Number -Assigned]]</f>
        <v>W6 59709</v>
      </c>
      <c r="G123" s="78" t="str">
        <f>IF(Master[[#This Row],[Inventory Maintenance Policy]]="","",Master[[#This Row],[Inventory Maintenance Policy]])</f>
        <v>w6_native</v>
      </c>
      <c r="H123" s="30" t="str">
        <f>IF(Master[[#This Row],[Inventory Maintenance Site -W6]]="","",Master[[#This Row],[Inventory Maintenance Site -W6]])</f>
        <v>W6</v>
      </c>
      <c r="I123" s="30" t="str">
        <f>IF(RIGHT(TEXT(Inventory[[#This Row],[Inventory Suffix]],"00"),2)="01","Y",IF(RIGHT(TEXT(Inventory[[#This Row],[Inventory Suffix]],"00"),2)="c1","Y",IF(RIGHT(TEXT(Inventory[[#This Row],[Inventory Suffix]],"00"),2)="m1","Y","N")))</f>
        <v>N</v>
      </c>
      <c r="J123" s="30" t="str">
        <f>IF(Inventory[[#This Row],[Inventory Type]]="SD","Y",IF(Inventory[[#This Row],[Inventory Type]]="LV","Y","N"))</f>
        <v>Y</v>
      </c>
      <c r="K123" s="30" t="str">
        <f t="shared" si="17"/>
        <v>N</v>
      </c>
      <c r="L123" s="30" t="str">
        <f t="shared" si="14"/>
        <v>Original lot received</v>
      </c>
      <c r="M123" s="30" t="str">
        <f t="shared" si="15"/>
        <v>ORIG from SOS Project</v>
      </c>
      <c r="N123" s="80">
        <f>ROUNDDOWN(Master[[#This Row],[Quantity On Hand]],0)</f>
        <v>0</v>
      </c>
      <c r="O123" s="78" t="str">
        <f>IF(Master[[#This Row],[Quantity On Hand Units -''count'' or ''packet'']]="","",Master[[#This Row],[Quantity On Hand Units -''count'' or ''packet'']])</f>
        <v/>
      </c>
      <c r="P123" s="80" t="str">
        <f>IF(Master[[#This Row],[Inventory Type - Lookup Picker]]="","",Master[[#This Row],[Inventory Type - Lookup Picker]])</f>
        <v>SD</v>
      </c>
      <c r="Q123" s="45" t="str">
        <f t="shared" si="16"/>
        <v>Mike has</v>
      </c>
      <c r="R123" s="56">
        <f>IF(Master[[#This Row],[Latitude -decimal degrees]]="","",Master[[#This Row],[Latitude -decimal degrees]])</f>
        <v>44.091619999999999</v>
      </c>
      <c r="S123" s="56">
        <f>IF(Master[[#This Row],[Longitude -decimal degrees]]="","",Master[[#This Row],[Longitude -decimal degrees]])</f>
        <v>-106.84506</v>
      </c>
      <c r="T123" s="30" t="str">
        <f>IF(Master[[#This Row],[Parent Inventory]]="","",Master[[#This Row],[Parent Inventory]])</f>
        <v/>
      </c>
      <c r="U123" s="30">
        <f>IF(Master[[#This Row],[Hundred Seed Weight -gram]]="","",Master[[#This Row],[Hundred Seed Weight -gram]])</f>
        <v>1.24E-2</v>
      </c>
      <c r="V123" s="30" t="str">
        <f>IF(Master[[#This Row],[Note (Inventory)]]="","",Master[[#This Row],[Note (Inventory)]])</f>
        <v/>
      </c>
    </row>
    <row r="124" spans="1:22" x14ac:dyDescent="0.25">
      <c r="A124" s="30"/>
      <c r="B124" s="151" t="str">
        <f>IF(Master[[#This Row],[Inventory Prefix]]="","",Master[[#This Row],[Inventory Prefix]])</f>
        <v>W6</v>
      </c>
      <c r="C124" s="151" t="str">
        <f>IF(Master[[#This Row],[Inventory Number]]="","",Master[[#This Row],[Inventory Number]])</f>
        <v/>
      </c>
      <c r="D124" s="78" t="str">
        <f>IF(Master[[#This Row],[Inventory Suffix]]="","",Master[[#This Row],[Inventory Suffix]])</f>
        <v/>
      </c>
      <c r="E124" s="30" t="str">
        <f>IF(Master[[#This Row],[Inventory Type - Lookup Picker]]="","",Master[[#This Row],[Inventory Type - Lookup Picker]])</f>
        <v>SD</v>
      </c>
      <c r="F124" s="151" t="str">
        <f>Master[[#This Row],[Accession Prefix (NPGS)]]&amp;" "&amp;Master[[#This Row],[Accession Number -Assigned]]</f>
        <v>W6 59710</v>
      </c>
      <c r="G124" s="78" t="str">
        <f>IF(Master[[#This Row],[Inventory Maintenance Policy]]="","",Master[[#This Row],[Inventory Maintenance Policy]])</f>
        <v>w6_native</v>
      </c>
      <c r="H124" s="30" t="str">
        <f>IF(Master[[#This Row],[Inventory Maintenance Site -W6]]="","",Master[[#This Row],[Inventory Maintenance Site -W6]])</f>
        <v>W6</v>
      </c>
      <c r="I124" s="30" t="str">
        <f>IF(RIGHT(TEXT(Inventory[[#This Row],[Inventory Suffix]],"00"),2)="01","Y",IF(RIGHT(TEXT(Inventory[[#This Row],[Inventory Suffix]],"00"),2)="c1","Y",IF(RIGHT(TEXT(Inventory[[#This Row],[Inventory Suffix]],"00"),2)="m1","Y","N")))</f>
        <v>N</v>
      </c>
      <c r="J124" s="30" t="str">
        <f>IF(Inventory[[#This Row],[Inventory Type]]="SD","Y",IF(Inventory[[#This Row],[Inventory Type]]="LV","Y","N"))</f>
        <v>Y</v>
      </c>
      <c r="K124" s="30" t="str">
        <f t="shared" si="17"/>
        <v>N</v>
      </c>
      <c r="L124" s="30" t="str">
        <f t="shared" si="14"/>
        <v>Original lot received</v>
      </c>
      <c r="M124" s="30" t="str">
        <f t="shared" si="15"/>
        <v>ORIG from SOS Project</v>
      </c>
      <c r="N124" s="80">
        <f>ROUNDDOWN(Master[[#This Row],[Quantity On Hand]],0)</f>
        <v>0</v>
      </c>
      <c r="O124" s="78" t="str">
        <f>IF(Master[[#This Row],[Quantity On Hand Units -''count'' or ''packet'']]="","",Master[[#This Row],[Quantity On Hand Units -''count'' or ''packet'']])</f>
        <v/>
      </c>
      <c r="P124" s="80" t="str">
        <f>IF(Master[[#This Row],[Inventory Type - Lookup Picker]]="","",Master[[#This Row],[Inventory Type - Lookup Picker]])</f>
        <v>SD</v>
      </c>
      <c r="Q124" s="45" t="str">
        <f t="shared" si="16"/>
        <v>Mike has</v>
      </c>
      <c r="R124" s="56">
        <f>IF(Master[[#This Row],[Latitude -decimal degrees]]="","",Master[[#This Row],[Latitude -decimal degrees]])</f>
        <v>44.803660000000001</v>
      </c>
      <c r="S124" s="56">
        <f>IF(Master[[#This Row],[Longitude -decimal degrees]]="","",Master[[#This Row],[Longitude -decimal degrees]])</f>
        <v>-107.36359</v>
      </c>
      <c r="T124" s="30" t="str">
        <f>IF(Master[[#This Row],[Parent Inventory]]="","",Master[[#This Row],[Parent Inventory]])</f>
        <v/>
      </c>
      <c r="U124" s="30">
        <f>IF(Master[[#This Row],[Hundred Seed Weight -gram]]="","",Master[[#This Row],[Hundred Seed Weight -gram]])</f>
        <v>6.9099999999999995E-2</v>
      </c>
      <c r="V124" s="30" t="str">
        <f>IF(Master[[#This Row],[Note (Inventory)]]="","",Master[[#This Row],[Note (Inventory)]])</f>
        <v/>
      </c>
    </row>
    <row r="125" spans="1:22" x14ac:dyDescent="0.25">
      <c r="A125" s="30"/>
      <c r="B125" s="151" t="str">
        <f>IF(Master[[#This Row],[Inventory Prefix]]="","",Master[[#This Row],[Inventory Prefix]])</f>
        <v>W6</v>
      </c>
      <c r="C125" s="151" t="str">
        <f>IF(Master[[#This Row],[Inventory Number]]="","",Master[[#This Row],[Inventory Number]])</f>
        <v/>
      </c>
      <c r="D125" s="78" t="str">
        <f>IF(Master[[#This Row],[Inventory Suffix]]="","",Master[[#This Row],[Inventory Suffix]])</f>
        <v/>
      </c>
      <c r="E125" s="30" t="str">
        <f>IF(Master[[#This Row],[Inventory Type - Lookup Picker]]="","",Master[[#This Row],[Inventory Type - Lookup Picker]])</f>
        <v>SD</v>
      </c>
      <c r="F125" s="151" t="str">
        <f>Master[[#This Row],[Accession Prefix (NPGS)]]&amp;" "&amp;Master[[#This Row],[Accession Number -Assigned]]</f>
        <v>W6 59711</v>
      </c>
      <c r="G125" s="78" t="str">
        <f>IF(Master[[#This Row],[Inventory Maintenance Policy]]="","",Master[[#This Row],[Inventory Maintenance Policy]])</f>
        <v>w6_native</v>
      </c>
      <c r="H125" s="30" t="str">
        <f>IF(Master[[#This Row],[Inventory Maintenance Site -W6]]="","",Master[[#This Row],[Inventory Maintenance Site -W6]])</f>
        <v>W6</v>
      </c>
      <c r="I125" s="30" t="str">
        <f>IF(RIGHT(TEXT(Inventory[[#This Row],[Inventory Suffix]],"00"),2)="01","Y",IF(RIGHT(TEXT(Inventory[[#This Row],[Inventory Suffix]],"00"),2)="c1","Y",IF(RIGHT(TEXT(Inventory[[#This Row],[Inventory Suffix]],"00"),2)="m1","Y","N")))</f>
        <v>N</v>
      </c>
      <c r="J125" s="30" t="str">
        <f>IF(Inventory[[#This Row],[Inventory Type]]="SD","Y",IF(Inventory[[#This Row],[Inventory Type]]="LV","Y","N"))</f>
        <v>Y</v>
      </c>
      <c r="K125" s="30" t="str">
        <f t="shared" si="17"/>
        <v>N</v>
      </c>
      <c r="L125" s="30" t="str">
        <f t="shared" si="14"/>
        <v>Original lot received</v>
      </c>
      <c r="M125" s="30" t="str">
        <f t="shared" si="15"/>
        <v>ORIG from SOS Project</v>
      </c>
      <c r="N125" s="80">
        <f>ROUNDDOWN(Master[[#This Row],[Quantity On Hand]],0)</f>
        <v>0</v>
      </c>
      <c r="O125" s="78" t="str">
        <f>IF(Master[[#This Row],[Quantity On Hand Units -''count'' or ''packet'']]="","",Master[[#This Row],[Quantity On Hand Units -''count'' or ''packet'']])</f>
        <v/>
      </c>
      <c r="P125" s="80" t="str">
        <f>IF(Master[[#This Row],[Inventory Type - Lookup Picker]]="","",Master[[#This Row],[Inventory Type - Lookup Picker]])</f>
        <v>SD</v>
      </c>
      <c r="Q125" s="45" t="str">
        <f t="shared" si="16"/>
        <v>Mike has</v>
      </c>
      <c r="R125" s="56">
        <f>IF(Master[[#This Row],[Latitude -decimal degrees]]="","",Master[[#This Row],[Latitude -decimal degrees]])</f>
        <v>44.284910000000004</v>
      </c>
      <c r="S125" s="56">
        <f>IF(Master[[#This Row],[Longitude -decimal degrees]]="","",Master[[#This Row],[Longitude -decimal degrees]])</f>
        <v>-106.92558</v>
      </c>
      <c r="T125" s="30" t="str">
        <f>IF(Master[[#This Row],[Parent Inventory]]="","",Master[[#This Row],[Parent Inventory]])</f>
        <v/>
      </c>
      <c r="U125" s="30">
        <f>IF(Master[[#This Row],[Hundred Seed Weight -gram]]="","",Master[[#This Row],[Hundred Seed Weight -gram]])</f>
        <v>1.11E-2</v>
      </c>
      <c r="V125" s="30" t="str">
        <f>IF(Master[[#This Row],[Note (Inventory)]]="","",Master[[#This Row],[Note (Inventory)]])</f>
        <v/>
      </c>
    </row>
    <row r="126" spans="1:22" x14ac:dyDescent="0.25">
      <c r="A126" s="30"/>
      <c r="B126" s="151" t="str">
        <f>IF(Master[[#This Row],[Inventory Prefix]]="","",Master[[#This Row],[Inventory Prefix]])</f>
        <v>W6</v>
      </c>
      <c r="C126" s="151" t="str">
        <f>IF(Master[[#This Row],[Inventory Number]]="","",Master[[#This Row],[Inventory Number]])</f>
        <v/>
      </c>
      <c r="D126" s="78" t="str">
        <f>IF(Master[[#This Row],[Inventory Suffix]]="","",Master[[#This Row],[Inventory Suffix]])</f>
        <v/>
      </c>
      <c r="E126" s="30" t="str">
        <f>IF(Master[[#This Row],[Inventory Type - Lookup Picker]]="","",Master[[#This Row],[Inventory Type - Lookup Picker]])</f>
        <v>SD</v>
      </c>
      <c r="F126" s="151" t="str">
        <f>Master[[#This Row],[Accession Prefix (NPGS)]]&amp;" "&amp;Master[[#This Row],[Accession Number -Assigned]]</f>
        <v>W6 59712</v>
      </c>
      <c r="G126" s="78" t="str">
        <f>IF(Master[[#This Row],[Inventory Maintenance Policy]]="","",Master[[#This Row],[Inventory Maintenance Policy]])</f>
        <v>w6_native</v>
      </c>
      <c r="H126" s="30" t="str">
        <f>IF(Master[[#This Row],[Inventory Maintenance Site -W6]]="","",Master[[#This Row],[Inventory Maintenance Site -W6]])</f>
        <v>W6</v>
      </c>
      <c r="I126" s="30" t="str">
        <f>IF(RIGHT(TEXT(Inventory[[#This Row],[Inventory Suffix]],"00"),2)="01","Y",IF(RIGHT(TEXT(Inventory[[#This Row],[Inventory Suffix]],"00"),2)="c1","Y",IF(RIGHT(TEXT(Inventory[[#This Row],[Inventory Suffix]],"00"),2)="m1","Y","N")))</f>
        <v>N</v>
      </c>
      <c r="J126" s="30" t="str">
        <f>IF(Inventory[[#This Row],[Inventory Type]]="SD","Y",IF(Inventory[[#This Row],[Inventory Type]]="LV","Y","N"))</f>
        <v>Y</v>
      </c>
      <c r="K126" s="30" t="str">
        <f t="shared" si="17"/>
        <v>N</v>
      </c>
      <c r="L126" s="30" t="str">
        <f t="shared" si="14"/>
        <v>Original lot received</v>
      </c>
      <c r="M126" s="30" t="str">
        <f t="shared" si="15"/>
        <v>ORIG from SOS Project</v>
      </c>
      <c r="N126" s="80">
        <f>ROUNDDOWN(Master[[#This Row],[Quantity On Hand]],0)</f>
        <v>0</v>
      </c>
      <c r="O126" s="78" t="str">
        <f>IF(Master[[#This Row],[Quantity On Hand Units -''count'' or ''packet'']]="","",Master[[#This Row],[Quantity On Hand Units -''count'' or ''packet'']])</f>
        <v/>
      </c>
      <c r="P126" s="80" t="str">
        <f>IF(Master[[#This Row],[Inventory Type - Lookup Picker]]="","",Master[[#This Row],[Inventory Type - Lookup Picker]])</f>
        <v>SD</v>
      </c>
      <c r="Q126" s="45" t="str">
        <f t="shared" si="16"/>
        <v>Mike has</v>
      </c>
      <c r="R126" s="56">
        <f>IF(Master[[#This Row],[Latitude -decimal degrees]]="","",Master[[#This Row],[Latitude -decimal degrees]])</f>
        <v>44.803669999999997</v>
      </c>
      <c r="S126" s="56">
        <f>IF(Master[[#This Row],[Longitude -decimal degrees]]="","",Master[[#This Row],[Longitude -decimal degrees]])</f>
        <v>-107.36360000000001</v>
      </c>
      <c r="T126" s="30" t="str">
        <f>IF(Master[[#This Row],[Parent Inventory]]="","",Master[[#This Row],[Parent Inventory]])</f>
        <v/>
      </c>
      <c r="U126" s="30">
        <f>IF(Master[[#This Row],[Hundred Seed Weight -gram]]="","",Master[[#This Row],[Hundred Seed Weight -gram]])</f>
        <v>1.24E-2</v>
      </c>
      <c r="V126" s="30" t="str">
        <f>IF(Master[[#This Row],[Note (Inventory)]]="","",Master[[#This Row],[Note (Inventory)]])</f>
        <v/>
      </c>
    </row>
    <row r="127" spans="1:22" x14ac:dyDescent="0.25">
      <c r="A127" s="30"/>
      <c r="B127" s="151" t="str">
        <f>IF(Master[[#This Row],[Inventory Prefix]]="","",Master[[#This Row],[Inventory Prefix]])</f>
        <v>W6</v>
      </c>
      <c r="C127" s="151" t="str">
        <f>IF(Master[[#This Row],[Inventory Number]]="","",Master[[#This Row],[Inventory Number]])</f>
        <v/>
      </c>
      <c r="D127" s="78" t="str">
        <f>IF(Master[[#This Row],[Inventory Suffix]]="","",Master[[#This Row],[Inventory Suffix]])</f>
        <v/>
      </c>
      <c r="E127" s="30" t="str">
        <f>IF(Master[[#This Row],[Inventory Type - Lookup Picker]]="","",Master[[#This Row],[Inventory Type - Lookup Picker]])</f>
        <v>SD</v>
      </c>
      <c r="F127" s="151" t="str">
        <f>Master[[#This Row],[Accession Prefix (NPGS)]]&amp;" "&amp;Master[[#This Row],[Accession Number -Assigned]]</f>
        <v>W6 59713</v>
      </c>
      <c r="G127" s="78" t="str">
        <f>IF(Master[[#This Row],[Inventory Maintenance Policy]]="","",Master[[#This Row],[Inventory Maintenance Policy]])</f>
        <v>w6_native</v>
      </c>
      <c r="H127" s="30" t="str">
        <f>IF(Master[[#This Row],[Inventory Maintenance Site -W6]]="","",Master[[#This Row],[Inventory Maintenance Site -W6]])</f>
        <v>W6</v>
      </c>
      <c r="I127" s="30" t="str">
        <f>IF(RIGHT(TEXT(Inventory[[#This Row],[Inventory Suffix]],"00"),2)="01","Y",IF(RIGHT(TEXT(Inventory[[#This Row],[Inventory Suffix]],"00"),2)="c1","Y",IF(RIGHT(TEXT(Inventory[[#This Row],[Inventory Suffix]],"00"),2)="m1","Y","N")))</f>
        <v>N</v>
      </c>
      <c r="J127" s="30" t="str">
        <f>IF(Inventory[[#This Row],[Inventory Type]]="SD","Y",IF(Inventory[[#This Row],[Inventory Type]]="LV","Y","N"))</f>
        <v>Y</v>
      </c>
      <c r="K127" s="30" t="str">
        <f t="shared" si="17"/>
        <v>N</v>
      </c>
      <c r="L127" s="30" t="str">
        <f t="shared" si="14"/>
        <v>Original lot received</v>
      </c>
      <c r="M127" s="30" t="str">
        <f t="shared" si="15"/>
        <v>ORIG from SOS Project</v>
      </c>
      <c r="N127" s="80">
        <f>ROUNDDOWN(Master[[#This Row],[Quantity On Hand]],0)</f>
        <v>0</v>
      </c>
      <c r="O127" s="78" t="str">
        <f>IF(Master[[#This Row],[Quantity On Hand Units -''count'' or ''packet'']]="","",Master[[#This Row],[Quantity On Hand Units -''count'' or ''packet'']])</f>
        <v/>
      </c>
      <c r="P127" s="80" t="str">
        <f>IF(Master[[#This Row],[Inventory Type - Lookup Picker]]="","",Master[[#This Row],[Inventory Type - Lookup Picker]])</f>
        <v>SD</v>
      </c>
      <c r="Q127" s="45" t="str">
        <f t="shared" si="16"/>
        <v>Mike has</v>
      </c>
      <c r="R127" s="56">
        <f>IF(Master[[#This Row],[Latitude -decimal degrees]]="","",Master[[#This Row],[Latitude -decimal degrees]])</f>
        <v>41.86307</v>
      </c>
      <c r="S127" s="56">
        <f>IF(Master[[#This Row],[Longitude -decimal degrees]]="","",Master[[#This Row],[Longitude -decimal degrees]])</f>
        <v>-110.54873000000001</v>
      </c>
      <c r="T127" s="30" t="str">
        <f>IF(Master[[#This Row],[Parent Inventory]]="","",Master[[#This Row],[Parent Inventory]])</f>
        <v/>
      </c>
      <c r="U127" s="30">
        <f>IF(Master[[#This Row],[Hundred Seed Weight -gram]]="","",Master[[#This Row],[Hundred Seed Weight -gram]])</f>
        <v>0.14199999999999999</v>
      </c>
      <c r="V127" s="30" t="str">
        <f>IF(Master[[#This Row],[Note (Inventory)]]="","",Master[[#This Row],[Note (Inventory)]])</f>
        <v/>
      </c>
    </row>
    <row r="128" spans="1:22" x14ac:dyDescent="0.25">
      <c r="A128" s="30"/>
      <c r="B128" s="151" t="str">
        <f>IF(Master[[#This Row],[Inventory Prefix]]="","",Master[[#This Row],[Inventory Prefix]])</f>
        <v>W6</v>
      </c>
      <c r="C128" s="151" t="str">
        <f>IF(Master[[#This Row],[Inventory Number]]="","",Master[[#This Row],[Inventory Number]])</f>
        <v/>
      </c>
      <c r="D128" s="78" t="str">
        <f>IF(Master[[#This Row],[Inventory Suffix]]="","",Master[[#This Row],[Inventory Suffix]])</f>
        <v/>
      </c>
      <c r="E128" s="30" t="str">
        <f>IF(Master[[#This Row],[Inventory Type - Lookup Picker]]="","",Master[[#This Row],[Inventory Type - Lookup Picker]])</f>
        <v>SD</v>
      </c>
      <c r="F128" s="151" t="str">
        <f>Master[[#This Row],[Accession Prefix (NPGS)]]&amp;" "&amp;Master[[#This Row],[Accession Number -Assigned]]</f>
        <v>W6 59714</v>
      </c>
      <c r="G128" s="78" t="str">
        <f>IF(Master[[#This Row],[Inventory Maintenance Policy]]="","",Master[[#This Row],[Inventory Maintenance Policy]])</f>
        <v>w6_native</v>
      </c>
      <c r="H128" s="30" t="str">
        <f>IF(Master[[#This Row],[Inventory Maintenance Site -W6]]="","",Master[[#This Row],[Inventory Maintenance Site -W6]])</f>
        <v>W6</v>
      </c>
      <c r="I128" s="30" t="str">
        <f>IF(RIGHT(TEXT(Inventory[[#This Row],[Inventory Suffix]],"00"),2)="01","Y",IF(RIGHT(TEXT(Inventory[[#This Row],[Inventory Suffix]],"00"),2)="c1","Y",IF(RIGHT(TEXT(Inventory[[#This Row],[Inventory Suffix]],"00"),2)="m1","Y","N")))</f>
        <v>N</v>
      </c>
      <c r="J128" s="30" t="str">
        <f>IF(Inventory[[#This Row],[Inventory Type]]="SD","Y",IF(Inventory[[#This Row],[Inventory Type]]="LV","Y","N"))</f>
        <v>Y</v>
      </c>
      <c r="K128" s="30" t="str">
        <f t="shared" si="17"/>
        <v>N</v>
      </c>
      <c r="L128" s="30" t="str">
        <f t="shared" si="14"/>
        <v>Original lot received</v>
      </c>
      <c r="M128" s="30" t="str">
        <f t="shared" si="15"/>
        <v>ORIG from SOS Project</v>
      </c>
      <c r="N128" s="80">
        <f>ROUNDDOWN(Master[[#This Row],[Quantity On Hand]],0)</f>
        <v>0</v>
      </c>
      <c r="O128" s="78" t="str">
        <f>IF(Master[[#This Row],[Quantity On Hand Units -''count'' or ''packet'']]="","",Master[[#This Row],[Quantity On Hand Units -''count'' or ''packet'']])</f>
        <v/>
      </c>
      <c r="P128" s="80" t="str">
        <f>IF(Master[[#This Row],[Inventory Type - Lookup Picker]]="","",Master[[#This Row],[Inventory Type - Lookup Picker]])</f>
        <v>SD</v>
      </c>
      <c r="Q128" s="45" t="str">
        <f t="shared" si="16"/>
        <v>Mike has</v>
      </c>
      <c r="R128" s="56">
        <f>IF(Master[[#This Row],[Latitude -decimal degrees]]="","",Master[[#This Row],[Latitude -decimal degrees]])</f>
        <v>42.166969999999999</v>
      </c>
      <c r="S128" s="56">
        <f>IF(Master[[#This Row],[Longitude -decimal degrees]]="","",Master[[#This Row],[Longitude -decimal degrees]])</f>
        <v>-110.83566</v>
      </c>
      <c r="T128" s="30" t="str">
        <f>IF(Master[[#This Row],[Parent Inventory]]="","",Master[[#This Row],[Parent Inventory]])</f>
        <v/>
      </c>
      <c r="U128" s="30">
        <f>IF(Master[[#This Row],[Hundred Seed Weight -gram]]="","",Master[[#This Row],[Hundred Seed Weight -gram]])</f>
        <v>1.3325</v>
      </c>
      <c r="V128" s="30" t="str">
        <f>IF(Master[[#This Row],[Note (Inventory)]]="","",Master[[#This Row],[Note (Inventory)]])</f>
        <v/>
      </c>
    </row>
    <row r="129" spans="1:22" x14ac:dyDescent="0.25">
      <c r="A129" s="30"/>
      <c r="B129" s="151" t="str">
        <f>IF(Master[[#This Row],[Inventory Prefix]]="","",Master[[#This Row],[Inventory Prefix]])</f>
        <v>W6</v>
      </c>
      <c r="C129" s="151" t="str">
        <f>IF(Master[[#This Row],[Inventory Number]]="","",Master[[#This Row],[Inventory Number]])</f>
        <v/>
      </c>
      <c r="D129" s="78" t="str">
        <f>IF(Master[[#This Row],[Inventory Suffix]]="","",Master[[#This Row],[Inventory Suffix]])</f>
        <v/>
      </c>
      <c r="E129" s="30" t="str">
        <f>IF(Master[[#This Row],[Inventory Type - Lookup Picker]]="","",Master[[#This Row],[Inventory Type - Lookup Picker]])</f>
        <v>SD</v>
      </c>
      <c r="F129" s="151" t="str">
        <f>Master[[#This Row],[Accession Prefix (NPGS)]]&amp;" "&amp;Master[[#This Row],[Accession Number -Assigned]]</f>
        <v>W6 59715</v>
      </c>
      <c r="G129" s="78" t="str">
        <f>IF(Master[[#This Row],[Inventory Maintenance Policy]]="","",Master[[#This Row],[Inventory Maintenance Policy]])</f>
        <v>w6_native</v>
      </c>
      <c r="H129" s="30" t="str">
        <f>IF(Master[[#This Row],[Inventory Maintenance Site -W6]]="","",Master[[#This Row],[Inventory Maintenance Site -W6]])</f>
        <v>W6</v>
      </c>
      <c r="I129" s="30" t="str">
        <f>IF(RIGHT(TEXT(Inventory[[#This Row],[Inventory Suffix]],"00"),2)="01","Y",IF(RIGHT(TEXT(Inventory[[#This Row],[Inventory Suffix]],"00"),2)="c1","Y",IF(RIGHT(TEXT(Inventory[[#This Row],[Inventory Suffix]],"00"),2)="m1","Y","N")))</f>
        <v>N</v>
      </c>
      <c r="J129" s="30" t="str">
        <f>IF(Inventory[[#This Row],[Inventory Type]]="SD","Y",IF(Inventory[[#This Row],[Inventory Type]]="LV","Y","N"))</f>
        <v>Y</v>
      </c>
      <c r="K129" s="30" t="str">
        <f t="shared" si="17"/>
        <v>N</v>
      </c>
      <c r="L129" s="30" t="str">
        <f t="shared" si="14"/>
        <v>Original lot received</v>
      </c>
      <c r="M129" s="30" t="str">
        <f t="shared" si="15"/>
        <v>ORIG from SOS Project</v>
      </c>
      <c r="N129" s="80">
        <f>ROUNDDOWN(Master[[#This Row],[Quantity On Hand]],0)</f>
        <v>0</v>
      </c>
      <c r="O129" s="78" t="str">
        <f>IF(Master[[#This Row],[Quantity On Hand Units -''count'' or ''packet'']]="","",Master[[#This Row],[Quantity On Hand Units -''count'' or ''packet'']])</f>
        <v/>
      </c>
      <c r="P129" s="80" t="str">
        <f>IF(Master[[#This Row],[Inventory Type - Lookup Picker]]="","",Master[[#This Row],[Inventory Type - Lookup Picker]])</f>
        <v>SD</v>
      </c>
      <c r="Q129" s="45" t="str">
        <f t="shared" si="16"/>
        <v>Mike has</v>
      </c>
      <c r="R129" s="56">
        <f>IF(Master[[#This Row],[Latitude -decimal degrees]]="","",Master[[#This Row],[Latitude -decimal degrees]])</f>
        <v>41.892189999999999</v>
      </c>
      <c r="S129" s="56">
        <f>IF(Master[[#This Row],[Longitude -decimal degrees]]="","",Master[[#This Row],[Longitude -decimal degrees]])</f>
        <v>-110.63723</v>
      </c>
      <c r="T129" s="30" t="str">
        <f>IF(Master[[#This Row],[Parent Inventory]]="","",Master[[#This Row],[Parent Inventory]])</f>
        <v/>
      </c>
      <c r="U129" s="30">
        <f>IF(Master[[#This Row],[Hundred Seed Weight -gram]]="","",Master[[#This Row],[Hundred Seed Weight -gram]])</f>
        <v>0.13350000000000001</v>
      </c>
      <c r="V129" s="30" t="str">
        <f>IF(Master[[#This Row],[Note (Inventory)]]="","",Master[[#This Row],[Note (Inventory)]])</f>
        <v/>
      </c>
    </row>
    <row r="130" spans="1:22" x14ac:dyDescent="0.25">
      <c r="A130" s="30"/>
      <c r="B130" s="151" t="str">
        <f>IF(Master[[#This Row],[Inventory Prefix]]="","",Master[[#This Row],[Inventory Prefix]])</f>
        <v>W6</v>
      </c>
      <c r="C130" s="151" t="str">
        <f>IF(Master[[#This Row],[Inventory Number]]="","",Master[[#This Row],[Inventory Number]])</f>
        <v/>
      </c>
      <c r="D130" s="78" t="str">
        <f>IF(Master[[#This Row],[Inventory Suffix]]="","",Master[[#This Row],[Inventory Suffix]])</f>
        <v/>
      </c>
      <c r="E130" s="30" t="str">
        <f>IF(Master[[#This Row],[Inventory Type - Lookup Picker]]="","",Master[[#This Row],[Inventory Type - Lookup Picker]])</f>
        <v>SD</v>
      </c>
      <c r="F130" s="151" t="str">
        <f>Master[[#This Row],[Accession Prefix (NPGS)]]&amp;" "&amp;Master[[#This Row],[Accession Number -Assigned]]</f>
        <v>W6 59716</v>
      </c>
      <c r="G130" s="78" t="str">
        <f>IF(Master[[#This Row],[Inventory Maintenance Policy]]="","",Master[[#This Row],[Inventory Maintenance Policy]])</f>
        <v>w6_native</v>
      </c>
      <c r="H130" s="30" t="str">
        <f>IF(Master[[#This Row],[Inventory Maintenance Site -W6]]="","",Master[[#This Row],[Inventory Maintenance Site -W6]])</f>
        <v>W6</v>
      </c>
      <c r="I130" s="30" t="str">
        <f>IF(RIGHT(TEXT(Inventory[[#This Row],[Inventory Suffix]],"00"),2)="01","Y",IF(RIGHT(TEXT(Inventory[[#This Row],[Inventory Suffix]],"00"),2)="c1","Y",IF(RIGHT(TEXT(Inventory[[#This Row],[Inventory Suffix]],"00"),2)="m1","Y","N")))</f>
        <v>N</v>
      </c>
      <c r="J130" s="30" t="str">
        <f>IF(Inventory[[#This Row],[Inventory Type]]="SD","Y",IF(Inventory[[#This Row],[Inventory Type]]="LV","Y","N"))</f>
        <v>Y</v>
      </c>
      <c r="K130" s="30" t="str">
        <f t="shared" si="17"/>
        <v>N</v>
      </c>
      <c r="L130" s="30" t="str">
        <f t="shared" ref="L130:L161" si="18">"Original lot received"</f>
        <v>Original lot received</v>
      </c>
      <c r="M130" s="30" t="str">
        <f t="shared" ref="M130:M161" si="19">"ORIG from SOS Project"</f>
        <v>ORIG from SOS Project</v>
      </c>
      <c r="N130" s="80">
        <f>ROUNDDOWN(Master[[#This Row],[Quantity On Hand]],0)</f>
        <v>0</v>
      </c>
      <c r="O130" s="78" t="str">
        <f>IF(Master[[#This Row],[Quantity On Hand Units -''count'' or ''packet'']]="","",Master[[#This Row],[Quantity On Hand Units -''count'' or ''packet'']])</f>
        <v/>
      </c>
      <c r="P130" s="80" t="str">
        <f>IF(Master[[#This Row],[Inventory Type - Lookup Picker]]="","",Master[[#This Row],[Inventory Type - Lookup Picker]])</f>
        <v>SD</v>
      </c>
      <c r="Q130" s="45" t="str">
        <f t="shared" ref="Q130:Q161" si="20">"Mike has"</f>
        <v>Mike has</v>
      </c>
      <c r="R130" s="56">
        <f>IF(Master[[#This Row],[Latitude -decimal degrees]]="","",Master[[#This Row],[Latitude -decimal degrees]])</f>
        <v>41.765470000000001</v>
      </c>
      <c r="S130" s="56">
        <f>IF(Master[[#This Row],[Longitude -decimal degrees]]="","",Master[[#This Row],[Longitude -decimal degrees]])</f>
        <v>-110.8428</v>
      </c>
      <c r="T130" s="30" t="str">
        <f>IF(Master[[#This Row],[Parent Inventory]]="","",Master[[#This Row],[Parent Inventory]])</f>
        <v/>
      </c>
      <c r="U130" s="30">
        <f>IF(Master[[#This Row],[Hundred Seed Weight -gram]]="","",Master[[#This Row],[Hundred Seed Weight -gram]])</f>
        <v>4.5999999999999999E-3</v>
      </c>
      <c r="V130" s="30" t="str">
        <f>IF(Master[[#This Row],[Note (Inventory)]]="","",Master[[#This Row],[Note (Inventory)]])</f>
        <v/>
      </c>
    </row>
    <row r="131" spans="1:22" x14ac:dyDescent="0.25">
      <c r="A131" s="30"/>
      <c r="B131" s="151" t="str">
        <f>IF(Master[[#This Row],[Inventory Prefix]]="","",Master[[#This Row],[Inventory Prefix]])</f>
        <v>W6</v>
      </c>
      <c r="C131" s="151" t="str">
        <f>IF(Master[[#This Row],[Inventory Number]]="","",Master[[#This Row],[Inventory Number]])</f>
        <v/>
      </c>
      <c r="D131" s="78" t="str">
        <f>IF(Master[[#This Row],[Inventory Suffix]]="","",Master[[#This Row],[Inventory Suffix]])</f>
        <v/>
      </c>
      <c r="E131" s="30" t="str">
        <f>IF(Master[[#This Row],[Inventory Type - Lookup Picker]]="","",Master[[#This Row],[Inventory Type - Lookup Picker]])</f>
        <v>SD</v>
      </c>
      <c r="F131" s="151" t="str">
        <f>Master[[#This Row],[Accession Prefix (NPGS)]]&amp;" "&amp;Master[[#This Row],[Accession Number -Assigned]]</f>
        <v>W6 59717</v>
      </c>
      <c r="G131" s="78" t="str">
        <f>IF(Master[[#This Row],[Inventory Maintenance Policy]]="","",Master[[#This Row],[Inventory Maintenance Policy]])</f>
        <v>w6_native</v>
      </c>
      <c r="H131" s="30" t="str">
        <f>IF(Master[[#This Row],[Inventory Maintenance Site -W6]]="","",Master[[#This Row],[Inventory Maintenance Site -W6]])</f>
        <v>W6</v>
      </c>
      <c r="I131" s="30" t="str">
        <f>IF(RIGHT(TEXT(Inventory[[#This Row],[Inventory Suffix]],"00"),2)="01","Y",IF(RIGHT(TEXT(Inventory[[#This Row],[Inventory Suffix]],"00"),2)="c1","Y",IF(RIGHT(TEXT(Inventory[[#This Row],[Inventory Suffix]],"00"),2)="m1","Y","N")))</f>
        <v>N</v>
      </c>
      <c r="J131" s="30" t="str">
        <f>IF(Inventory[[#This Row],[Inventory Type]]="SD","Y",IF(Inventory[[#This Row],[Inventory Type]]="LV","Y","N"))</f>
        <v>Y</v>
      </c>
      <c r="K131" s="30" t="str">
        <f t="shared" si="17"/>
        <v>N</v>
      </c>
      <c r="L131" s="30" t="str">
        <f t="shared" si="18"/>
        <v>Original lot received</v>
      </c>
      <c r="M131" s="30" t="str">
        <f t="shared" si="19"/>
        <v>ORIG from SOS Project</v>
      </c>
      <c r="N131" s="80">
        <f>ROUNDDOWN(Master[[#This Row],[Quantity On Hand]],0)</f>
        <v>0</v>
      </c>
      <c r="O131" s="78" t="str">
        <f>IF(Master[[#This Row],[Quantity On Hand Units -''count'' or ''packet'']]="","",Master[[#This Row],[Quantity On Hand Units -''count'' or ''packet'']])</f>
        <v/>
      </c>
      <c r="P131" s="80" t="str">
        <f>IF(Master[[#This Row],[Inventory Type - Lookup Picker]]="","",Master[[#This Row],[Inventory Type - Lookup Picker]])</f>
        <v>SD</v>
      </c>
      <c r="Q131" s="45" t="str">
        <f t="shared" si="20"/>
        <v>Mike has</v>
      </c>
      <c r="R131" s="56">
        <f>IF(Master[[#This Row],[Latitude -decimal degrees]]="","",Master[[#This Row],[Latitude -decimal degrees]])</f>
        <v>41.988709999999998</v>
      </c>
      <c r="S131" s="56">
        <f>IF(Master[[#This Row],[Longitude -decimal degrees]]="","",Master[[#This Row],[Longitude -decimal degrees]])</f>
        <v>-110.52948000000001</v>
      </c>
      <c r="T131" s="30" t="str">
        <f>IF(Master[[#This Row],[Parent Inventory]]="","",Master[[#This Row],[Parent Inventory]])</f>
        <v/>
      </c>
      <c r="U131" s="30">
        <f>IF(Master[[#This Row],[Hundred Seed Weight -gram]]="","",Master[[#This Row],[Hundred Seed Weight -gram]])</f>
        <v>0.11799999999999999</v>
      </c>
      <c r="V131" s="30" t="str">
        <f>IF(Master[[#This Row],[Note (Inventory)]]="","",Master[[#This Row],[Note (Inventory)]])</f>
        <v/>
      </c>
    </row>
    <row r="132" spans="1:22" x14ac:dyDescent="0.25">
      <c r="A132" s="30"/>
      <c r="B132" s="151" t="str">
        <f>IF(Master[[#This Row],[Inventory Prefix]]="","",Master[[#This Row],[Inventory Prefix]])</f>
        <v>W6</v>
      </c>
      <c r="C132" s="151" t="str">
        <f>IF(Master[[#This Row],[Inventory Number]]="","",Master[[#This Row],[Inventory Number]])</f>
        <v/>
      </c>
      <c r="D132" s="78" t="str">
        <f>IF(Master[[#This Row],[Inventory Suffix]]="","",Master[[#This Row],[Inventory Suffix]])</f>
        <v/>
      </c>
      <c r="E132" s="30" t="str">
        <f>IF(Master[[#This Row],[Inventory Type - Lookup Picker]]="","",Master[[#This Row],[Inventory Type - Lookup Picker]])</f>
        <v>SD</v>
      </c>
      <c r="F132" s="151" t="str">
        <f>Master[[#This Row],[Accession Prefix (NPGS)]]&amp;" "&amp;Master[[#This Row],[Accession Number -Assigned]]</f>
        <v>W6 59718</v>
      </c>
      <c r="G132" s="78" t="str">
        <f>IF(Master[[#This Row],[Inventory Maintenance Policy]]="","",Master[[#This Row],[Inventory Maintenance Policy]])</f>
        <v>w6_native</v>
      </c>
      <c r="H132" s="30" t="str">
        <f>IF(Master[[#This Row],[Inventory Maintenance Site -W6]]="","",Master[[#This Row],[Inventory Maintenance Site -W6]])</f>
        <v>W6</v>
      </c>
      <c r="I132" s="30" t="str">
        <f>IF(RIGHT(TEXT(Inventory[[#This Row],[Inventory Suffix]],"00"),2)="01","Y",IF(RIGHT(TEXT(Inventory[[#This Row],[Inventory Suffix]],"00"),2)="c1","Y",IF(RIGHT(TEXT(Inventory[[#This Row],[Inventory Suffix]],"00"),2)="m1","Y","N")))</f>
        <v>N</v>
      </c>
      <c r="J132" s="30" t="str">
        <f>IF(Inventory[[#This Row],[Inventory Type]]="SD","Y",IF(Inventory[[#This Row],[Inventory Type]]="LV","Y","N"))</f>
        <v>Y</v>
      </c>
      <c r="K132" s="30" t="str">
        <f t="shared" si="17"/>
        <v>N</v>
      </c>
      <c r="L132" s="30" t="str">
        <f t="shared" si="18"/>
        <v>Original lot received</v>
      </c>
      <c r="M132" s="30" t="str">
        <f t="shared" si="19"/>
        <v>ORIG from SOS Project</v>
      </c>
      <c r="N132" s="80">
        <f>ROUNDDOWN(Master[[#This Row],[Quantity On Hand]],0)</f>
        <v>0</v>
      </c>
      <c r="O132" s="78" t="str">
        <f>IF(Master[[#This Row],[Quantity On Hand Units -''count'' or ''packet'']]="","",Master[[#This Row],[Quantity On Hand Units -''count'' or ''packet'']])</f>
        <v/>
      </c>
      <c r="P132" s="80" t="str">
        <f>IF(Master[[#This Row],[Inventory Type - Lookup Picker]]="","",Master[[#This Row],[Inventory Type - Lookup Picker]])</f>
        <v>SD</v>
      </c>
      <c r="Q132" s="45" t="str">
        <f t="shared" si="20"/>
        <v>Mike has</v>
      </c>
      <c r="R132" s="56">
        <f>IF(Master[[#This Row],[Latitude -decimal degrees]]="","",Master[[#This Row],[Latitude -decimal degrees]])</f>
        <v>42.006639999999997</v>
      </c>
      <c r="S132" s="56">
        <f>IF(Master[[#This Row],[Longitude -decimal degrees]]="","",Master[[#This Row],[Longitude -decimal degrees]])</f>
        <v>-110.56185000000001</v>
      </c>
      <c r="T132" s="30" t="str">
        <f>IF(Master[[#This Row],[Parent Inventory]]="","",Master[[#This Row],[Parent Inventory]])</f>
        <v/>
      </c>
      <c r="U132" s="30">
        <f>IF(Master[[#This Row],[Hundred Seed Weight -gram]]="","",Master[[#This Row],[Hundred Seed Weight -gram]])</f>
        <v>1.11E-2</v>
      </c>
      <c r="V132" s="30" t="str">
        <f>IF(Master[[#This Row],[Note (Inventory)]]="","",Master[[#This Row],[Note (Inventory)]])</f>
        <v/>
      </c>
    </row>
    <row r="133" spans="1:22" x14ac:dyDescent="0.25">
      <c r="A133" s="30"/>
      <c r="B133" s="151" t="str">
        <f>IF(Master[[#This Row],[Inventory Prefix]]="","",Master[[#This Row],[Inventory Prefix]])</f>
        <v>W6</v>
      </c>
      <c r="C133" s="151" t="str">
        <f>IF(Master[[#This Row],[Inventory Number]]="","",Master[[#This Row],[Inventory Number]])</f>
        <v/>
      </c>
      <c r="D133" s="78" t="str">
        <f>IF(Master[[#This Row],[Inventory Suffix]]="","",Master[[#This Row],[Inventory Suffix]])</f>
        <v/>
      </c>
      <c r="E133" s="30" t="str">
        <f>IF(Master[[#This Row],[Inventory Type - Lookup Picker]]="","",Master[[#This Row],[Inventory Type - Lookup Picker]])</f>
        <v>SD</v>
      </c>
      <c r="F133" s="151" t="str">
        <f>Master[[#This Row],[Accession Prefix (NPGS)]]&amp;" "&amp;Master[[#This Row],[Accession Number -Assigned]]</f>
        <v>W6 59719</v>
      </c>
      <c r="G133" s="78" t="str">
        <f>IF(Master[[#This Row],[Inventory Maintenance Policy]]="","",Master[[#This Row],[Inventory Maintenance Policy]])</f>
        <v>w6_native</v>
      </c>
      <c r="H133" s="30" t="str">
        <f>IF(Master[[#This Row],[Inventory Maintenance Site -W6]]="","",Master[[#This Row],[Inventory Maintenance Site -W6]])</f>
        <v>W6</v>
      </c>
      <c r="I133" s="30" t="str">
        <f>IF(RIGHT(TEXT(Inventory[[#This Row],[Inventory Suffix]],"00"),2)="01","Y",IF(RIGHT(TEXT(Inventory[[#This Row],[Inventory Suffix]],"00"),2)="c1","Y",IF(RIGHT(TEXT(Inventory[[#This Row],[Inventory Suffix]],"00"),2)="m1","Y","N")))</f>
        <v>N</v>
      </c>
      <c r="J133" s="30" t="str">
        <f>IF(Inventory[[#This Row],[Inventory Type]]="SD","Y",IF(Inventory[[#This Row],[Inventory Type]]="LV","Y","N"))</f>
        <v>Y</v>
      </c>
      <c r="K133" s="30" t="str">
        <f t="shared" si="17"/>
        <v>N</v>
      </c>
      <c r="L133" s="30" t="str">
        <f t="shared" si="18"/>
        <v>Original lot received</v>
      </c>
      <c r="M133" s="30" t="str">
        <f t="shared" si="19"/>
        <v>ORIG from SOS Project</v>
      </c>
      <c r="N133" s="80">
        <f>ROUNDDOWN(Master[[#This Row],[Quantity On Hand]],0)</f>
        <v>0</v>
      </c>
      <c r="O133" s="78" t="str">
        <f>IF(Master[[#This Row],[Quantity On Hand Units -''count'' or ''packet'']]="","",Master[[#This Row],[Quantity On Hand Units -''count'' or ''packet'']])</f>
        <v/>
      </c>
      <c r="P133" s="80" t="str">
        <f>IF(Master[[#This Row],[Inventory Type - Lookup Picker]]="","",Master[[#This Row],[Inventory Type - Lookup Picker]])</f>
        <v>SD</v>
      </c>
      <c r="Q133" s="45" t="str">
        <f t="shared" si="20"/>
        <v>Mike has</v>
      </c>
      <c r="R133" s="56">
        <f>IF(Master[[#This Row],[Latitude -decimal degrees]]="","",Master[[#This Row],[Latitude -decimal degrees]])</f>
        <v>42.007860000000001</v>
      </c>
      <c r="S133" s="56">
        <f>IF(Master[[#This Row],[Longitude -decimal degrees]]="","",Master[[#This Row],[Longitude -decimal degrees]])</f>
        <v>-110.56079</v>
      </c>
      <c r="T133" s="30" t="str">
        <f>IF(Master[[#This Row],[Parent Inventory]]="","",Master[[#This Row],[Parent Inventory]])</f>
        <v/>
      </c>
      <c r="U133" s="30">
        <f>IF(Master[[#This Row],[Hundred Seed Weight -gram]]="","",Master[[#This Row],[Hundred Seed Weight -gram]])</f>
        <v>1.0699999999999999E-2</v>
      </c>
      <c r="V133" s="30" t="str">
        <f>IF(Master[[#This Row],[Note (Inventory)]]="","",Master[[#This Row],[Note (Inventory)]])</f>
        <v/>
      </c>
    </row>
    <row r="134" spans="1:22" x14ac:dyDescent="0.25">
      <c r="A134" s="30"/>
      <c r="B134" s="151" t="str">
        <f>IF(Master[[#This Row],[Inventory Prefix]]="","",Master[[#This Row],[Inventory Prefix]])</f>
        <v>W6</v>
      </c>
      <c r="C134" s="151" t="str">
        <f>IF(Master[[#This Row],[Inventory Number]]="","",Master[[#This Row],[Inventory Number]])</f>
        <v/>
      </c>
      <c r="D134" s="78" t="str">
        <f>IF(Master[[#This Row],[Inventory Suffix]]="","",Master[[#This Row],[Inventory Suffix]])</f>
        <v/>
      </c>
      <c r="E134" s="30" t="str">
        <f>IF(Master[[#This Row],[Inventory Type - Lookup Picker]]="","",Master[[#This Row],[Inventory Type - Lookup Picker]])</f>
        <v>SD</v>
      </c>
      <c r="F134" s="151" t="str">
        <f>Master[[#This Row],[Accession Prefix (NPGS)]]&amp;" "&amp;Master[[#This Row],[Accession Number -Assigned]]</f>
        <v>W6 59720</v>
      </c>
      <c r="G134" s="78" t="str">
        <f>IF(Master[[#This Row],[Inventory Maintenance Policy]]="","",Master[[#This Row],[Inventory Maintenance Policy]])</f>
        <v>w6_native</v>
      </c>
      <c r="H134" s="30" t="str">
        <f>IF(Master[[#This Row],[Inventory Maintenance Site -W6]]="","",Master[[#This Row],[Inventory Maintenance Site -W6]])</f>
        <v>W6</v>
      </c>
      <c r="I134" s="30" t="str">
        <f>IF(RIGHT(TEXT(Inventory[[#This Row],[Inventory Suffix]],"00"),2)="01","Y",IF(RIGHT(TEXT(Inventory[[#This Row],[Inventory Suffix]],"00"),2)="c1","Y",IF(RIGHT(TEXT(Inventory[[#This Row],[Inventory Suffix]],"00"),2)="m1","Y","N")))</f>
        <v>N</v>
      </c>
      <c r="J134" s="30" t="str">
        <f>IF(Inventory[[#This Row],[Inventory Type]]="SD","Y",IF(Inventory[[#This Row],[Inventory Type]]="LV","Y","N"))</f>
        <v>Y</v>
      </c>
      <c r="K134" s="30" t="str">
        <f t="shared" si="17"/>
        <v>N</v>
      </c>
      <c r="L134" s="30" t="str">
        <f t="shared" si="18"/>
        <v>Original lot received</v>
      </c>
      <c r="M134" s="30" t="str">
        <f t="shared" si="19"/>
        <v>ORIG from SOS Project</v>
      </c>
      <c r="N134" s="80">
        <f>ROUNDDOWN(Master[[#This Row],[Quantity On Hand]],0)</f>
        <v>0</v>
      </c>
      <c r="O134" s="78" t="str">
        <f>IF(Master[[#This Row],[Quantity On Hand Units -''count'' or ''packet'']]="","",Master[[#This Row],[Quantity On Hand Units -''count'' or ''packet'']])</f>
        <v/>
      </c>
      <c r="P134" s="80" t="str">
        <f>IF(Master[[#This Row],[Inventory Type - Lookup Picker]]="","",Master[[#This Row],[Inventory Type - Lookup Picker]])</f>
        <v>SD</v>
      </c>
      <c r="Q134" s="45" t="str">
        <f t="shared" si="20"/>
        <v>Mike has</v>
      </c>
      <c r="R134" s="56">
        <f>IF(Master[[#This Row],[Latitude -decimal degrees]]="","",Master[[#This Row],[Latitude -decimal degrees]])</f>
        <v>41.996690000000001</v>
      </c>
      <c r="S134" s="56">
        <f>IF(Master[[#This Row],[Longitude -decimal degrees]]="","",Master[[#This Row],[Longitude -decimal degrees]])</f>
        <v>-110.57847</v>
      </c>
      <c r="T134" s="30" t="str">
        <f>IF(Master[[#This Row],[Parent Inventory]]="","",Master[[#This Row],[Parent Inventory]])</f>
        <v/>
      </c>
      <c r="U134" s="30">
        <f>IF(Master[[#This Row],[Hundred Seed Weight -gram]]="","",Master[[#This Row],[Hundred Seed Weight -gram]])</f>
        <v>1.52E-2</v>
      </c>
      <c r="V134" s="30" t="str">
        <f>IF(Master[[#This Row],[Note (Inventory)]]="","",Master[[#This Row],[Note (Inventory)]])</f>
        <v/>
      </c>
    </row>
    <row r="135" spans="1:22" x14ac:dyDescent="0.25">
      <c r="A135" s="30"/>
      <c r="B135" s="151" t="str">
        <f>IF(Master[[#This Row],[Inventory Prefix]]="","",Master[[#This Row],[Inventory Prefix]])</f>
        <v>W6</v>
      </c>
      <c r="C135" s="151" t="str">
        <f>IF(Master[[#This Row],[Inventory Number]]="","",Master[[#This Row],[Inventory Number]])</f>
        <v/>
      </c>
      <c r="D135" s="78" t="str">
        <f>IF(Master[[#This Row],[Inventory Suffix]]="","",Master[[#This Row],[Inventory Suffix]])</f>
        <v/>
      </c>
      <c r="E135" s="30" t="str">
        <f>IF(Master[[#This Row],[Inventory Type - Lookup Picker]]="","",Master[[#This Row],[Inventory Type - Lookup Picker]])</f>
        <v>SD</v>
      </c>
      <c r="F135" s="151" t="str">
        <f>Master[[#This Row],[Accession Prefix (NPGS)]]&amp;" "&amp;Master[[#This Row],[Accession Number -Assigned]]</f>
        <v>W6 59721</v>
      </c>
      <c r="G135" s="78" t="str">
        <f>IF(Master[[#This Row],[Inventory Maintenance Policy]]="","",Master[[#This Row],[Inventory Maintenance Policy]])</f>
        <v>w6_native</v>
      </c>
      <c r="H135" s="30" t="str">
        <f>IF(Master[[#This Row],[Inventory Maintenance Site -W6]]="","",Master[[#This Row],[Inventory Maintenance Site -W6]])</f>
        <v>W6</v>
      </c>
      <c r="I135" s="30" t="str">
        <f>IF(RIGHT(TEXT(Inventory[[#This Row],[Inventory Suffix]],"00"),2)="01","Y",IF(RIGHT(TEXT(Inventory[[#This Row],[Inventory Suffix]],"00"),2)="c1","Y",IF(RIGHT(TEXT(Inventory[[#This Row],[Inventory Suffix]],"00"),2)="m1","Y","N")))</f>
        <v>N</v>
      </c>
      <c r="J135" s="30" t="str">
        <f>IF(Inventory[[#This Row],[Inventory Type]]="SD","Y",IF(Inventory[[#This Row],[Inventory Type]]="LV","Y","N"))</f>
        <v>Y</v>
      </c>
      <c r="K135" s="30" t="str">
        <f t="shared" si="17"/>
        <v>N</v>
      </c>
      <c r="L135" s="30" t="str">
        <f t="shared" si="18"/>
        <v>Original lot received</v>
      </c>
      <c r="M135" s="30" t="str">
        <f t="shared" si="19"/>
        <v>ORIG from SOS Project</v>
      </c>
      <c r="N135" s="80">
        <f>ROUNDDOWN(Master[[#This Row],[Quantity On Hand]],0)</f>
        <v>0</v>
      </c>
      <c r="O135" s="78" t="str">
        <f>IF(Master[[#This Row],[Quantity On Hand Units -''count'' or ''packet'']]="","",Master[[#This Row],[Quantity On Hand Units -''count'' or ''packet'']])</f>
        <v/>
      </c>
      <c r="P135" s="80" t="str">
        <f>IF(Master[[#This Row],[Inventory Type - Lookup Picker]]="","",Master[[#This Row],[Inventory Type - Lookup Picker]])</f>
        <v>SD</v>
      </c>
      <c r="Q135" s="45" t="str">
        <f t="shared" si="20"/>
        <v>Mike has</v>
      </c>
      <c r="R135" s="56">
        <f>IF(Master[[#This Row],[Latitude -decimal degrees]]="","",Master[[#This Row],[Latitude -decimal degrees]])</f>
        <v>41.843609999999998</v>
      </c>
      <c r="S135" s="56">
        <f>IF(Master[[#This Row],[Longitude -decimal degrees]]="","",Master[[#This Row],[Longitude -decimal degrees]])</f>
        <v>-110.90468</v>
      </c>
      <c r="T135" s="30" t="str">
        <f>IF(Master[[#This Row],[Parent Inventory]]="","",Master[[#This Row],[Parent Inventory]])</f>
        <v/>
      </c>
      <c r="U135" s="30">
        <f>IF(Master[[#This Row],[Hundred Seed Weight -gram]]="","",Master[[#This Row],[Hundred Seed Weight -gram]])</f>
        <v>1.11E-2</v>
      </c>
      <c r="V135" s="30" t="str">
        <f>IF(Master[[#This Row],[Note (Inventory)]]="","",Master[[#This Row],[Note (Inventory)]])</f>
        <v/>
      </c>
    </row>
    <row r="136" spans="1:22" x14ac:dyDescent="0.25">
      <c r="A136" s="30"/>
      <c r="B136" s="151" t="str">
        <f>IF(Master[[#This Row],[Inventory Prefix]]="","",Master[[#This Row],[Inventory Prefix]])</f>
        <v>W6</v>
      </c>
      <c r="C136" s="151" t="str">
        <f>IF(Master[[#This Row],[Inventory Number]]="","",Master[[#This Row],[Inventory Number]])</f>
        <v/>
      </c>
      <c r="D136" s="78" t="str">
        <f>IF(Master[[#This Row],[Inventory Suffix]]="","",Master[[#This Row],[Inventory Suffix]])</f>
        <v/>
      </c>
      <c r="E136" s="30" t="str">
        <f>IF(Master[[#This Row],[Inventory Type - Lookup Picker]]="","",Master[[#This Row],[Inventory Type - Lookup Picker]])</f>
        <v>SD</v>
      </c>
      <c r="F136" s="151" t="str">
        <f>Master[[#This Row],[Accession Prefix (NPGS)]]&amp;" "&amp;Master[[#This Row],[Accession Number -Assigned]]</f>
        <v>W6 59722</v>
      </c>
      <c r="G136" s="78" t="str">
        <f>IF(Master[[#This Row],[Inventory Maintenance Policy]]="","",Master[[#This Row],[Inventory Maintenance Policy]])</f>
        <v>w6_native</v>
      </c>
      <c r="H136" s="30" t="str">
        <f>IF(Master[[#This Row],[Inventory Maintenance Site -W6]]="","",Master[[#This Row],[Inventory Maintenance Site -W6]])</f>
        <v>W6</v>
      </c>
      <c r="I136" s="30" t="str">
        <f>IF(RIGHT(TEXT(Inventory[[#This Row],[Inventory Suffix]],"00"),2)="01","Y",IF(RIGHT(TEXT(Inventory[[#This Row],[Inventory Suffix]],"00"),2)="c1","Y",IF(RIGHT(TEXT(Inventory[[#This Row],[Inventory Suffix]],"00"),2)="m1","Y","N")))</f>
        <v>N</v>
      </c>
      <c r="J136" s="30" t="str">
        <f>IF(Inventory[[#This Row],[Inventory Type]]="SD","Y",IF(Inventory[[#This Row],[Inventory Type]]="LV","Y","N"))</f>
        <v>Y</v>
      </c>
      <c r="K136" s="30" t="str">
        <f t="shared" si="17"/>
        <v>N</v>
      </c>
      <c r="L136" s="30" t="str">
        <f t="shared" si="18"/>
        <v>Original lot received</v>
      </c>
      <c r="M136" s="30" t="str">
        <f t="shared" si="19"/>
        <v>ORIG from SOS Project</v>
      </c>
      <c r="N136" s="80">
        <f>ROUNDDOWN(Master[[#This Row],[Quantity On Hand]],0)</f>
        <v>0</v>
      </c>
      <c r="O136" s="78" t="str">
        <f>IF(Master[[#This Row],[Quantity On Hand Units -''count'' or ''packet'']]="","",Master[[#This Row],[Quantity On Hand Units -''count'' or ''packet'']])</f>
        <v/>
      </c>
      <c r="P136" s="80" t="str">
        <f>IF(Master[[#This Row],[Inventory Type - Lookup Picker]]="","",Master[[#This Row],[Inventory Type - Lookup Picker]])</f>
        <v>SD</v>
      </c>
      <c r="Q136" s="45" t="str">
        <f t="shared" si="20"/>
        <v>Mike has</v>
      </c>
      <c r="R136" s="56">
        <f>IF(Master[[#This Row],[Latitude -decimal degrees]]="","",Master[[#This Row],[Latitude -decimal degrees]])</f>
        <v>41.904130000000002</v>
      </c>
      <c r="S136" s="56">
        <f>IF(Master[[#This Row],[Longitude -decimal degrees]]="","",Master[[#This Row],[Longitude -decimal degrees]])</f>
        <v>-110.41144</v>
      </c>
      <c r="T136" s="30" t="str">
        <f>IF(Master[[#This Row],[Parent Inventory]]="","",Master[[#This Row],[Parent Inventory]])</f>
        <v/>
      </c>
      <c r="U136" s="30">
        <f>IF(Master[[#This Row],[Hundred Seed Weight -gram]]="","",Master[[#This Row],[Hundred Seed Weight -gram]])</f>
        <v>9.7000000000000003E-3</v>
      </c>
      <c r="V136" s="30" t="str">
        <f>IF(Master[[#This Row],[Note (Inventory)]]="","",Master[[#This Row],[Note (Inventory)]])</f>
        <v/>
      </c>
    </row>
    <row r="137" spans="1:22" x14ac:dyDescent="0.25">
      <c r="A137" s="30"/>
      <c r="B137" s="151" t="str">
        <f>IF(Master[[#This Row],[Inventory Prefix]]="","",Master[[#This Row],[Inventory Prefix]])</f>
        <v>W6</v>
      </c>
      <c r="C137" s="151" t="str">
        <f>IF(Master[[#This Row],[Inventory Number]]="","",Master[[#This Row],[Inventory Number]])</f>
        <v/>
      </c>
      <c r="D137" s="78" t="str">
        <f>IF(Master[[#This Row],[Inventory Suffix]]="","",Master[[#This Row],[Inventory Suffix]])</f>
        <v/>
      </c>
      <c r="E137" s="30" t="str">
        <f>IF(Master[[#This Row],[Inventory Type - Lookup Picker]]="","",Master[[#This Row],[Inventory Type - Lookup Picker]])</f>
        <v>SD</v>
      </c>
      <c r="F137" s="151" t="str">
        <f>Master[[#This Row],[Accession Prefix (NPGS)]]&amp;" "&amp;Master[[#This Row],[Accession Number -Assigned]]</f>
        <v>W6 59723</v>
      </c>
      <c r="G137" s="78" t="str">
        <f>IF(Master[[#This Row],[Inventory Maintenance Policy]]="","",Master[[#This Row],[Inventory Maintenance Policy]])</f>
        <v>w6_native</v>
      </c>
      <c r="H137" s="30" t="str">
        <f>IF(Master[[#This Row],[Inventory Maintenance Site -W6]]="","",Master[[#This Row],[Inventory Maintenance Site -W6]])</f>
        <v>W6</v>
      </c>
      <c r="I137" s="30" t="str">
        <f>IF(RIGHT(TEXT(Inventory[[#This Row],[Inventory Suffix]],"00"),2)="01","Y",IF(RIGHT(TEXT(Inventory[[#This Row],[Inventory Suffix]],"00"),2)="c1","Y",IF(RIGHT(TEXT(Inventory[[#This Row],[Inventory Suffix]],"00"),2)="m1","Y","N")))</f>
        <v>N</v>
      </c>
      <c r="J137" s="30" t="str">
        <f>IF(Inventory[[#This Row],[Inventory Type]]="SD","Y",IF(Inventory[[#This Row],[Inventory Type]]="LV","Y","N"))</f>
        <v>Y</v>
      </c>
      <c r="K137" s="30" t="str">
        <f t="shared" si="17"/>
        <v>N</v>
      </c>
      <c r="L137" s="30" t="str">
        <f t="shared" si="18"/>
        <v>Original lot received</v>
      </c>
      <c r="M137" s="30" t="str">
        <f t="shared" si="19"/>
        <v>ORIG from SOS Project</v>
      </c>
      <c r="N137" s="80">
        <f>ROUNDDOWN(Master[[#This Row],[Quantity On Hand]],0)</f>
        <v>0</v>
      </c>
      <c r="O137" s="78" t="str">
        <f>IF(Master[[#This Row],[Quantity On Hand Units -''count'' or ''packet'']]="","",Master[[#This Row],[Quantity On Hand Units -''count'' or ''packet'']])</f>
        <v/>
      </c>
      <c r="P137" s="80" t="str">
        <f>IF(Master[[#This Row],[Inventory Type - Lookup Picker]]="","",Master[[#This Row],[Inventory Type - Lookup Picker]])</f>
        <v>SD</v>
      </c>
      <c r="Q137" s="45" t="str">
        <f t="shared" si="20"/>
        <v>Mike has</v>
      </c>
      <c r="R137" s="56">
        <f>IF(Master[[#This Row],[Latitude -decimal degrees]]="","",Master[[#This Row],[Latitude -decimal degrees]])</f>
        <v>42.005969999999998</v>
      </c>
      <c r="S137" s="56">
        <f>IF(Master[[#This Row],[Longitude -decimal degrees]]="","",Master[[#This Row],[Longitude -decimal degrees]])</f>
        <v>-110.55083</v>
      </c>
      <c r="T137" s="30" t="str">
        <f>IF(Master[[#This Row],[Parent Inventory]]="","",Master[[#This Row],[Parent Inventory]])</f>
        <v/>
      </c>
      <c r="U137" s="30">
        <f>IF(Master[[#This Row],[Hundred Seed Weight -gram]]="","",Master[[#This Row],[Hundred Seed Weight -gram]])</f>
        <v>0.06</v>
      </c>
      <c r="V137" s="30" t="str">
        <f>IF(Master[[#This Row],[Note (Inventory)]]="","",Master[[#This Row],[Note (Inventory)]])</f>
        <v/>
      </c>
    </row>
    <row r="138" spans="1:22" x14ac:dyDescent="0.25">
      <c r="A138" s="30"/>
      <c r="B138" s="151" t="str">
        <f>IF(Master[[#This Row],[Inventory Prefix]]="","",Master[[#This Row],[Inventory Prefix]])</f>
        <v>W6</v>
      </c>
      <c r="C138" s="151" t="str">
        <f>IF(Master[[#This Row],[Inventory Number]]="","",Master[[#This Row],[Inventory Number]])</f>
        <v/>
      </c>
      <c r="D138" s="78" t="str">
        <f>IF(Master[[#This Row],[Inventory Suffix]]="","",Master[[#This Row],[Inventory Suffix]])</f>
        <v/>
      </c>
      <c r="E138" s="30" t="str">
        <f>IF(Master[[#This Row],[Inventory Type - Lookup Picker]]="","",Master[[#This Row],[Inventory Type - Lookup Picker]])</f>
        <v>SD</v>
      </c>
      <c r="F138" s="151" t="str">
        <f>Master[[#This Row],[Accession Prefix (NPGS)]]&amp;" "&amp;Master[[#This Row],[Accession Number -Assigned]]</f>
        <v>W6 59724</v>
      </c>
      <c r="G138" s="78" t="str">
        <f>IF(Master[[#This Row],[Inventory Maintenance Policy]]="","",Master[[#This Row],[Inventory Maintenance Policy]])</f>
        <v>w6_native</v>
      </c>
      <c r="H138" s="30" t="str">
        <f>IF(Master[[#This Row],[Inventory Maintenance Site -W6]]="","",Master[[#This Row],[Inventory Maintenance Site -W6]])</f>
        <v>W6</v>
      </c>
      <c r="I138" s="30" t="str">
        <f>IF(RIGHT(TEXT(Inventory[[#This Row],[Inventory Suffix]],"00"),2)="01","Y",IF(RIGHT(TEXT(Inventory[[#This Row],[Inventory Suffix]],"00"),2)="c1","Y",IF(RIGHT(TEXT(Inventory[[#This Row],[Inventory Suffix]],"00"),2)="m1","Y","N")))</f>
        <v>N</v>
      </c>
      <c r="J138" s="30" t="str">
        <f>IF(Inventory[[#This Row],[Inventory Type]]="SD","Y",IF(Inventory[[#This Row],[Inventory Type]]="LV","Y","N"))</f>
        <v>Y</v>
      </c>
      <c r="K138" s="30" t="str">
        <f t="shared" si="17"/>
        <v>N</v>
      </c>
      <c r="L138" s="30" t="str">
        <f t="shared" si="18"/>
        <v>Original lot received</v>
      </c>
      <c r="M138" s="30" t="str">
        <f t="shared" si="19"/>
        <v>ORIG from SOS Project</v>
      </c>
      <c r="N138" s="80">
        <f>ROUNDDOWN(Master[[#This Row],[Quantity On Hand]],0)</f>
        <v>0</v>
      </c>
      <c r="O138" s="78" t="str">
        <f>IF(Master[[#This Row],[Quantity On Hand Units -''count'' or ''packet'']]="","",Master[[#This Row],[Quantity On Hand Units -''count'' or ''packet'']])</f>
        <v/>
      </c>
      <c r="P138" s="80" t="str">
        <f>IF(Master[[#This Row],[Inventory Type - Lookup Picker]]="","",Master[[#This Row],[Inventory Type - Lookup Picker]])</f>
        <v>SD</v>
      </c>
      <c r="Q138" s="45" t="str">
        <f t="shared" si="20"/>
        <v>Mike has</v>
      </c>
      <c r="R138" s="56">
        <f>IF(Master[[#This Row],[Latitude -decimal degrees]]="","",Master[[#This Row],[Latitude -decimal degrees]])</f>
        <v>41.988329999999998</v>
      </c>
      <c r="S138" s="56">
        <f>IF(Master[[#This Row],[Longitude -decimal degrees]]="","",Master[[#This Row],[Longitude -decimal degrees]])</f>
        <v>-110.52561</v>
      </c>
      <c r="T138" s="30" t="str">
        <f>IF(Master[[#This Row],[Parent Inventory]]="","",Master[[#This Row],[Parent Inventory]])</f>
        <v/>
      </c>
      <c r="U138" s="30">
        <f>IF(Master[[#This Row],[Hundred Seed Weight -gram]]="","",Master[[#This Row],[Hundred Seed Weight -gram]])</f>
        <v>1.55E-2</v>
      </c>
      <c r="V138" s="30" t="str">
        <f>IF(Master[[#This Row],[Note (Inventory)]]="","",Master[[#This Row],[Note (Inventory)]])</f>
        <v/>
      </c>
    </row>
    <row r="139" spans="1:22" x14ac:dyDescent="0.25">
      <c r="A139" s="30"/>
      <c r="B139" s="151" t="str">
        <f>IF(Master[[#This Row],[Inventory Prefix]]="","",Master[[#This Row],[Inventory Prefix]])</f>
        <v>W6</v>
      </c>
      <c r="C139" s="151" t="str">
        <f>IF(Master[[#This Row],[Inventory Number]]="","",Master[[#This Row],[Inventory Number]])</f>
        <v/>
      </c>
      <c r="D139" s="78" t="str">
        <f>IF(Master[[#This Row],[Inventory Suffix]]="","",Master[[#This Row],[Inventory Suffix]])</f>
        <v/>
      </c>
      <c r="E139" s="30" t="str">
        <f>IF(Master[[#This Row],[Inventory Type - Lookup Picker]]="","",Master[[#This Row],[Inventory Type - Lookup Picker]])</f>
        <v>SD</v>
      </c>
      <c r="F139" s="151" t="str">
        <f>Master[[#This Row],[Accession Prefix (NPGS)]]&amp;" "&amp;Master[[#This Row],[Accession Number -Assigned]]</f>
        <v>W6 59725</v>
      </c>
      <c r="G139" s="78" t="str">
        <f>IF(Master[[#This Row],[Inventory Maintenance Policy]]="","",Master[[#This Row],[Inventory Maintenance Policy]])</f>
        <v>w6_native</v>
      </c>
      <c r="H139" s="30" t="str">
        <f>IF(Master[[#This Row],[Inventory Maintenance Site -W6]]="","",Master[[#This Row],[Inventory Maintenance Site -W6]])</f>
        <v>W6</v>
      </c>
      <c r="I139" s="30" t="str">
        <f>IF(RIGHT(TEXT(Inventory[[#This Row],[Inventory Suffix]],"00"),2)="01","Y",IF(RIGHT(TEXT(Inventory[[#This Row],[Inventory Suffix]],"00"),2)="c1","Y",IF(RIGHT(TEXT(Inventory[[#This Row],[Inventory Suffix]],"00"),2)="m1","Y","N")))</f>
        <v>N</v>
      </c>
      <c r="J139" s="30" t="str">
        <f>IF(Inventory[[#This Row],[Inventory Type]]="SD","Y",IF(Inventory[[#This Row],[Inventory Type]]="LV","Y","N"))</f>
        <v>Y</v>
      </c>
      <c r="K139" s="30" t="str">
        <f t="shared" si="17"/>
        <v>N</v>
      </c>
      <c r="L139" s="30" t="str">
        <f t="shared" si="18"/>
        <v>Original lot received</v>
      </c>
      <c r="M139" s="30" t="str">
        <f t="shared" si="19"/>
        <v>ORIG from SOS Project</v>
      </c>
      <c r="N139" s="80">
        <f>ROUNDDOWN(Master[[#This Row],[Quantity On Hand]],0)</f>
        <v>0</v>
      </c>
      <c r="O139" s="78" t="str">
        <f>IF(Master[[#This Row],[Quantity On Hand Units -''count'' or ''packet'']]="","",Master[[#This Row],[Quantity On Hand Units -''count'' or ''packet'']])</f>
        <v/>
      </c>
      <c r="P139" s="80" t="str">
        <f>IF(Master[[#This Row],[Inventory Type - Lookup Picker]]="","",Master[[#This Row],[Inventory Type - Lookup Picker]])</f>
        <v>SD</v>
      </c>
      <c r="Q139" s="45" t="str">
        <f t="shared" si="20"/>
        <v>Mike has</v>
      </c>
      <c r="R139" s="56">
        <f>IF(Master[[#This Row],[Latitude -decimal degrees]]="","",Master[[#This Row],[Latitude -decimal degrees]])</f>
        <v>41.990609999999997</v>
      </c>
      <c r="S139" s="56">
        <f>IF(Master[[#This Row],[Longitude -decimal degrees]]="","",Master[[#This Row],[Longitude -decimal degrees]])</f>
        <v>-110.52633</v>
      </c>
      <c r="T139" s="30" t="str">
        <f>IF(Master[[#This Row],[Parent Inventory]]="","",Master[[#This Row],[Parent Inventory]])</f>
        <v/>
      </c>
      <c r="U139" s="30">
        <f>IF(Master[[#This Row],[Hundred Seed Weight -gram]]="","",Master[[#This Row],[Hundred Seed Weight -gram]])</f>
        <v>1.0200000000000001E-2</v>
      </c>
      <c r="V139" s="30" t="str">
        <f>IF(Master[[#This Row],[Note (Inventory)]]="","",Master[[#This Row],[Note (Inventory)]])</f>
        <v/>
      </c>
    </row>
    <row r="140" spans="1:22" x14ac:dyDescent="0.25">
      <c r="A140" s="30"/>
      <c r="B140" s="151" t="str">
        <f>IF(Master[[#This Row],[Inventory Prefix]]="","",Master[[#This Row],[Inventory Prefix]])</f>
        <v>W6</v>
      </c>
      <c r="C140" s="151" t="str">
        <f>IF(Master[[#This Row],[Inventory Number]]="","",Master[[#This Row],[Inventory Number]])</f>
        <v/>
      </c>
      <c r="D140" s="78" t="str">
        <f>IF(Master[[#This Row],[Inventory Suffix]]="","",Master[[#This Row],[Inventory Suffix]])</f>
        <v/>
      </c>
      <c r="E140" s="30" t="str">
        <f>IF(Master[[#This Row],[Inventory Type - Lookup Picker]]="","",Master[[#This Row],[Inventory Type - Lookup Picker]])</f>
        <v>SD</v>
      </c>
      <c r="F140" s="151" t="str">
        <f>Master[[#This Row],[Accession Prefix (NPGS)]]&amp;" "&amp;Master[[#This Row],[Accession Number -Assigned]]</f>
        <v>W6 59726</v>
      </c>
      <c r="G140" s="78" t="str">
        <f>IF(Master[[#This Row],[Inventory Maintenance Policy]]="","",Master[[#This Row],[Inventory Maintenance Policy]])</f>
        <v>w6_native</v>
      </c>
      <c r="H140" s="30" t="str">
        <f>IF(Master[[#This Row],[Inventory Maintenance Site -W6]]="","",Master[[#This Row],[Inventory Maintenance Site -W6]])</f>
        <v>W6</v>
      </c>
      <c r="I140" s="30" t="str">
        <f>IF(RIGHT(TEXT(Inventory[[#This Row],[Inventory Suffix]],"00"),2)="01","Y",IF(RIGHT(TEXT(Inventory[[#This Row],[Inventory Suffix]],"00"),2)="c1","Y",IF(RIGHT(TEXT(Inventory[[#This Row],[Inventory Suffix]],"00"),2)="m1","Y","N")))</f>
        <v>N</v>
      </c>
      <c r="J140" s="30" t="str">
        <f>IF(Inventory[[#This Row],[Inventory Type]]="SD","Y",IF(Inventory[[#This Row],[Inventory Type]]="LV","Y","N"))</f>
        <v>Y</v>
      </c>
      <c r="K140" s="30" t="str">
        <f t="shared" si="17"/>
        <v>N</v>
      </c>
      <c r="L140" s="30" t="str">
        <f t="shared" si="18"/>
        <v>Original lot received</v>
      </c>
      <c r="M140" s="30" t="str">
        <f t="shared" si="19"/>
        <v>ORIG from SOS Project</v>
      </c>
      <c r="N140" s="80">
        <f>ROUNDDOWN(Master[[#This Row],[Quantity On Hand]],0)</f>
        <v>0</v>
      </c>
      <c r="O140" s="78" t="str">
        <f>IF(Master[[#This Row],[Quantity On Hand Units -''count'' or ''packet'']]="","",Master[[#This Row],[Quantity On Hand Units -''count'' or ''packet'']])</f>
        <v/>
      </c>
      <c r="P140" s="80" t="str">
        <f>IF(Master[[#This Row],[Inventory Type - Lookup Picker]]="","",Master[[#This Row],[Inventory Type - Lookup Picker]])</f>
        <v>SD</v>
      </c>
      <c r="Q140" s="45" t="str">
        <f t="shared" si="20"/>
        <v>Mike has</v>
      </c>
      <c r="R140" s="56">
        <f>IF(Master[[#This Row],[Latitude -decimal degrees]]="","",Master[[#This Row],[Latitude -decimal degrees]])</f>
        <v>42.239330000000002</v>
      </c>
      <c r="S140" s="56">
        <f>IF(Master[[#This Row],[Longitude -decimal degrees]]="","",Master[[#This Row],[Longitude -decimal degrees]])</f>
        <v>-110.85616</v>
      </c>
      <c r="T140" s="30" t="str">
        <f>IF(Master[[#This Row],[Parent Inventory]]="","",Master[[#This Row],[Parent Inventory]])</f>
        <v/>
      </c>
      <c r="U140" s="30">
        <f>IF(Master[[#This Row],[Hundred Seed Weight -gram]]="","",Master[[#This Row],[Hundred Seed Weight -gram]])</f>
        <v>1.01E-2</v>
      </c>
      <c r="V140" s="30" t="str">
        <f>IF(Master[[#This Row],[Note (Inventory)]]="","",Master[[#This Row],[Note (Inventory)]])</f>
        <v/>
      </c>
    </row>
    <row r="141" spans="1:22" x14ac:dyDescent="0.25">
      <c r="A141" s="30"/>
      <c r="B141" s="151" t="str">
        <f>IF(Master[[#This Row],[Inventory Prefix]]="","",Master[[#This Row],[Inventory Prefix]])</f>
        <v>W6</v>
      </c>
      <c r="C141" s="151" t="str">
        <f>IF(Master[[#This Row],[Inventory Number]]="","",Master[[#This Row],[Inventory Number]])</f>
        <v/>
      </c>
      <c r="D141" s="78" t="str">
        <f>IF(Master[[#This Row],[Inventory Suffix]]="","",Master[[#This Row],[Inventory Suffix]])</f>
        <v/>
      </c>
      <c r="E141" s="30" t="str">
        <f>IF(Master[[#This Row],[Inventory Type - Lookup Picker]]="","",Master[[#This Row],[Inventory Type - Lookup Picker]])</f>
        <v>SD</v>
      </c>
      <c r="F141" s="151" t="str">
        <f>Master[[#This Row],[Accession Prefix (NPGS)]]&amp;" "&amp;Master[[#This Row],[Accession Number -Assigned]]</f>
        <v>W6 59727</v>
      </c>
      <c r="G141" s="78" t="str">
        <f>IF(Master[[#This Row],[Inventory Maintenance Policy]]="","",Master[[#This Row],[Inventory Maintenance Policy]])</f>
        <v>w6_native</v>
      </c>
      <c r="H141" s="30" t="str">
        <f>IF(Master[[#This Row],[Inventory Maintenance Site -W6]]="","",Master[[#This Row],[Inventory Maintenance Site -W6]])</f>
        <v>W6</v>
      </c>
      <c r="I141" s="30" t="str">
        <f>IF(RIGHT(TEXT(Inventory[[#This Row],[Inventory Suffix]],"00"),2)="01","Y",IF(RIGHT(TEXT(Inventory[[#This Row],[Inventory Suffix]],"00"),2)="c1","Y",IF(RIGHT(TEXT(Inventory[[#This Row],[Inventory Suffix]],"00"),2)="m1","Y","N")))</f>
        <v>N</v>
      </c>
      <c r="J141" s="30" t="str">
        <f>IF(Inventory[[#This Row],[Inventory Type]]="SD","Y",IF(Inventory[[#This Row],[Inventory Type]]="LV","Y","N"))</f>
        <v>Y</v>
      </c>
      <c r="K141" s="30" t="str">
        <f t="shared" si="17"/>
        <v>N</v>
      </c>
      <c r="L141" s="30" t="str">
        <f t="shared" si="18"/>
        <v>Original lot received</v>
      </c>
      <c r="M141" s="30" t="str">
        <f t="shared" si="19"/>
        <v>ORIG from SOS Project</v>
      </c>
      <c r="N141" s="80">
        <f>ROUNDDOWN(Master[[#This Row],[Quantity On Hand]],0)</f>
        <v>0</v>
      </c>
      <c r="O141" s="78" t="str">
        <f>IF(Master[[#This Row],[Quantity On Hand Units -''count'' or ''packet'']]="","",Master[[#This Row],[Quantity On Hand Units -''count'' or ''packet'']])</f>
        <v/>
      </c>
      <c r="P141" s="80" t="str">
        <f>IF(Master[[#This Row],[Inventory Type - Lookup Picker]]="","",Master[[#This Row],[Inventory Type - Lookup Picker]])</f>
        <v>SD</v>
      </c>
      <c r="Q141" s="45" t="str">
        <f t="shared" si="20"/>
        <v>Mike has</v>
      </c>
      <c r="R141" s="56">
        <f>IF(Master[[#This Row],[Latitude -decimal degrees]]="","",Master[[#This Row],[Latitude -decimal degrees]])</f>
        <v>42.239359999999998</v>
      </c>
      <c r="S141" s="56">
        <f>IF(Master[[#This Row],[Longitude -decimal degrees]]="","",Master[[#This Row],[Longitude -decimal degrees]])</f>
        <v>-110.85605</v>
      </c>
      <c r="T141" s="30" t="str">
        <f>IF(Master[[#This Row],[Parent Inventory]]="","",Master[[#This Row],[Parent Inventory]])</f>
        <v/>
      </c>
      <c r="U141" s="30">
        <f>IF(Master[[#This Row],[Hundred Seed Weight -gram]]="","",Master[[#This Row],[Hundred Seed Weight -gram]])</f>
        <v>1.95E-2</v>
      </c>
      <c r="V141" s="30" t="str">
        <f>IF(Master[[#This Row],[Note (Inventory)]]="","",Master[[#This Row],[Note (Inventory)]])</f>
        <v/>
      </c>
    </row>
    <row r="142" spans="1:22" x14ac:dyDescent="0.25">
      <c r="A142" s="30"/>
      <c r="B142" s="151" t="str">
        <f>IF(Master[[#This Row],[Inventory Prefix]]="","",Master[[#This Row],[Inventory Prefix]])</f>
        <v>W6</v>
      </c>
      <c r="C142" s="151" t="str">
        <f>IF(Master[[#This Row],[Inventory Number]]="","",Master[[#This Row],[Inventory Number]])</f>
        <v/>
      </c>
      <c r="D142" s="78" t="str">
        <f>IF(Master[[#This Row],[Inventory Suffix]]="","",Master[[#This Row],[Inventory Suffix]])</f>
        <v/>
      </c>
      <c r="E142" s="30" t="str">
        <f>IF(Master[[#This Row],[Inventory Type - Lookup Picker]]="","",Master[[#This Row],[Inventory Type - Lookup Picker]])</f>
        <v>SD</v>
      </c>
      <c r="F142" s="151" t="str">
        <f>Master[[#This Row],[Accession Prefix (NPGS)]]&amp;" "&amp;Master[[#This Row],[Accession Number -Assigned]]</f>
        <v>W6 59728</v>
      </c>
      <c r="G142" s="78" t="str">
        <f>IF(Master[[#This Row],[Inventory Maintenance Policy]]="","",Master[[#This Row],[Inventory Maintenance Policy]])</f>
        <v>w6_native</v>
      </c>
      <c r="H142" s="30" t="str">
        <f>IF(Master[[#This Row],[Inventory Maintenance Site -W6]]="","",Master[[#This Row],[Inventory Maintenance Site -W6]])</f>
        <v>W6</v>
      </c>
      <c r="I142" s="30" t="str">
        <f>IF(RIGHT(TEXT(Inventory[[#This Row],[Inventory Suffix]],"00"),2)="01","Y",IF(RIGHT(TEXT(Inventory[[#This Row],[Inventory Suffix]],"00"),2)="c1","Y",IF(RIGHT(TEXT(Inventory[[#This Row],[Inventory Suffix]],"00"),2)="m1","Y","N")))</f>
        <v>N</v>
      </c>
      <c r="J142" s="30" t="str">
        <f>IF(Inventory[[#This Row],[Inventory Type]]="SD","Y",IF(Inventory[[#This Row],[Inventory Type]]="LV","Y","N"))</f>
        <v>Y</v>
      </c>
      <c r="K142" s="30" t="str">
        <f t="shared" si="17"/>
        <v>N</v>
      </c>
      <c r="L142" s="30" t="str">
        <f t="shared" si="18"/>
        <v>Original lot received</v>
      </c>
      <c r="M142" s="30" t="str">
        <f t="shared" si="19"/>
        <v>ORIG from SOS Project</v>
      </c>
      <c r="N142" s="80">
        <f>ROUNDDOWN(Master[[#This Row],[Quantity On Hand]],0)</f>
        <v>0</v>
      </c>
      <c r="O142" s="78" t="str">
        <f>IF(Master[[#This Row],[Quantity On Hand Units -''count'' or ''packet'']]="","",Master[[#This Row],[Quantity On Hand Units -''count'' or ''packet'']])</f>
        <v/>
      </c>
      <c r="P142" s="80" t="str">
        <f>IF(Master[[#This Row],[Inventory Type - Lookup Picker]]="","",Master[[#This Row],[Inventory Type - Lookup Picker]])</f>
        <v>SD</v>
      </c>
      <c r="Q142" s="45" t="str">
        <f t="shared" si="20"/>
        <v>Mike has</v>
      </c>
      <c r="R142" s="56">
        <f>IF(Master[[#This Row],[Latitude -decimal degrees]]="","",Master[[#This Row],[Latitude -decimal degrees]])</f>
        <v>41.843359999999997</v>
      </c>
      <c r="S142" s="56">
        <f>IF(Master[[#This Row],[Longitude -decimal degrees]]="","",Master[[#This Row],[Longitude -decimal degrees]])</f>
        <v>-110.90519</v>
      </c>
      <c r="T142" s="30" t="str">
        <f>IF(Master[[#This Row],[Parent Inventory]]="","",Master[[#This Row],[Parent Inventory]])</f>
        <v/>
      </c>
      <c r="U142" s="30">
        <f>IF(Master[[#This Row],[Hundred Seed Weight -gram]]="","",Master[[#This Row],[Hundred Seed Weight -gram]])</f>
        <v>1.8499999999999999E-2</v>
      </c>
      <c r="V142" s="30" t="str">
        <f>IF(Master[[#This Row],[Note (Inventory)]]="","",Master[[#This Row],[Note (Inventory)]])</f>
        <v/>
      </c>
    </row>
    <row r="143" spans="1:22" x14ac:dyDescent="0.25">
      <c r="A143" s="30"/>
      <c r="B143" s="151" t="str">
        <f>IF(Master[[#This Row],[Inventory Prefix]]="","",Master[[#This Row],[Inventory Prefix]])</f>
        <v>W6</v>
      </c>
      <c r="C143" s="151" t="str">
        <f>IF(Master[[#This Row],[Inventory Number]]="","",Master[[#This Row],[Inventory Number]])</f>
        <v/>
      </c>
      <c r="D143" s="78" t="str">
        <f>IF(Master[[#This Row],[Inventory Suffix]]="","",Master[[#This Row],[Inventory Suffix]])</f>
        <v/>
      </c>
      <c r="E143" s="30" t="str">
        <f>IF(Master[[#This Row],[Inventory Type - Lookup Picker]]="","",Master[[#This Row],[Inventory Type - Lookup Picker]])</f>
        <v>SD</v>
      </c>
      <c r="F143" s="151" t="str">
        <f>Master[[#This Row],[Accession Prefix (NPGS)]]&amp;" "&amp;Master[[#This Row],[Accession Number -Assigned]]</f>
        <v>W6 59729</v>
      </c>
      <c r="G143" s="78" t="str">
        <f>IF(Master[[#This Row],[Inventory Maintenance Policy]]="","",Master[[#This Row],[Inventory Maintenance Policy]])</f>
        <v>w6_native</v>
      </c>
      <c r="H143" s="30" t="str">
        <f>IF(Master[[#This Row],[Inventory Maintenance Site -W6]]="","",Master[[#This Row],[Inventory Maintenance Site -W6]])</f>
        <v>W6</v>
      </c>
      <c r="I143" s="30" t="str">
        <f>IF(RIGHT(TEXT(Inventory[[#This Row],[Inventory Suffix]],"00"),2)="01","Y",IF(RIGHT(TEXT(Inventory[[#This Row],[Inventory Suffix]],"00"),2)="c1","Y",IF(RIGHT(TEXT(Inventory[[#This Row],[Inventory Suffix]],"00"),2)="m1","Y","N")))</f>
        <v>N</v>
      </c>
      <c r="J143" s="30" t="str">
        <f>IF(Inventory[[#This Row],[Inventory Type]]="SD","Y",IF(Inventory[[#This Row],[Inventory Type]]="LV","Y","N"))</f>
        <v>Y</v>
      </c>
      <c r="K143" s="30" t="str">
        <f t="shared" si="17"/>
        <v>N</v>
      </c>
      <c r="L143" s="30" t="str">
        <f t="shared" si="18"/>
        <v>Original lot received</v>
      </c>
      <c r="M143" s="30" t="str">
        <f t="shared" si="19"/>
        <v>ORIG from SOS Project</v>
      </c>
      <c r="N143" s="80">
        <f>ROUNDDOWN(Master[[#This Row],[Quantity On Hand]],0)</f>
        <v>0</v>
      </c>
      <c r="O143" s="78" t="str">
        <f>IF(Master[[#This Row],[Quantity On Hand Units -''count'' or ''packet'']]="","",Master[[#This Row],[Quantity On Hand Units -''count'' or ''packet'']])</f>
        <v/>
      </c>
      <c r="P143" s="80" t="str">
        <f>IF(Master[[#This Row],[Inventory Type - Lookup Picker]]="","",Master[[#This Row],[Inventory Type - Lookup Picker]])</f>
        <v>SD</v>
      </c>
      <c r="Q143" s="45" t="str">
        <f t="shared" si="20"/>
        <v>Mike has</v>
      </c>
      <c r="R143" s="56">
        <f>IF(Master[[#This Row],[Latitude -decimal degrees]]="","",Master[[#This Row],[Latitude -decimal degrees]])</f>
        <v>41.862409999999997</v>
      </c>
      <c r="S143" s="56">
        <f>IF(Master[[#This Row],[Longitude -decimal degrees]]="","",Master[[#This Row],[Longitude -decimal degrees]])</f>
        <v>-110.88722</v>
      </c>
      <c r="T143" s="30" t="str">
        <f>IF(Master[[#This Row],[Parent Inventory]]="","",Master[[#This Row],[Parent Inventory]])</f>
        <v/>
      </c>
      <c r="U143" s="30">
        <f>IF(Master[[#This Row],[Hundred Seed Weight -gram]]="","",Master[[#This Row],[Hundred Seed Weight -gram]])</f>
        <v>1.21E-2</v>
      </c>
      <c r="V143" s="30" t="str">
        <f>IF(Master[[#This Row],[Note (Inventory)]]="","",Master[[#This Row],[Note (Inventory)]])</f>
        <v/>
      </c>
    </row>
    <row r="144" spans="1:22" x14ac:dyDescent="0.25">
      <c r="A144" s="30"/>
      <c r="B144" s="151" t="str">
        <f>IF(Master[[#This Row],[Inventory Prefix]]="","",Master[[#This Row],[Inventory Prefix]])</f>
        <v>W6</v>
      </c>
      <c r="C144" s="151" t="str">
        <f>IF(Master[[#This Row],[Inventory Number]]="","",Master[[#This Row],[Inventory Number]])</f>
        <v/>
      </c>
      <c r="D144" s="78" t="str">
        <f>IF(Master[[#This Row],[Inventory Suffix]]="","",Master[[#This Row],[Inventory Suffix]])</f>
        <v/>
      </c>
      <c r="E144" s="30" t="str">
        <f>IF(Master[[#This Row],[Inventory Type - Lookup Picker]]="","",Master[[#This Row],[Inventory Type - Lookup Picker]])</f>
        <v>SD</v>
      </c>
      <c r="F144" s="151" t="str">
        <f>Master[[#This Row],[Accession Prefix (NPGS)]]&amp;" "&amp;Master[[#This Row],[Accession Number -Assigned]]</f>
        <v>W6 59730</v>
      </c>
      <c r="G144" s="78" t="str">
        <f>IF(Master[[#This Row],[Inventory Maintenance Policy]]="","",Master[[#This Row],[Inventory Maintenance Policy]])</f>
        <v>w6_native</v>
      </c>
      <c r="H144" s="30" t="str">
        <f>IF(Master[[#This Row],[Inventory Maintenance Site -W6]]="","",Master[[#This Row],[Inventory Maintenance Site -W6]])</f>
        <v>W6</v>
      </c>
      <c r="I144" s="30" t="str">
        <f>IF(RIGHT(TEXT(Inventory[[#This Row],[Inventory Suffix]],"00"),2)="01","Y",IF(RIGHT(TEXT(Inventory[[#This Row],[Inventory Suffix]],"00"),2)="c1","Y",IF(RIGHT(TEXT(Inventory[[#This Row],[Inventory Suffix]],"00"),2)="m1","Y","N")))</f>
        <v>N</v>
      </c>
      <c r="J144" s="30" t="str">
        <f>IF(Inventory[[#This Row],[Inventory Type]]="SD","Y",IF(Inventory[[#This Row],[Inventory Type]]="LV","Y","N"))</f>
        <v>Y</v>
      </c>
      <c r="K144" s="30" t="str">
        <f t="shared" si="17"/>
        <v>N</v>
      </c>
      <c r="L144" s="30" t="str">
        <f t="shared" si="18"/>
        <v>Original lot received</v>
      </c>
      <c r="M144" s="30" t="str">
        <f t="shared" si="19"/>
        <v>ORIG from SOS Project</v>
      </c>
      <c r="N144" s="80">
        <f>ROUNDDOWN(Master[[#This Row],[Quantity On Hand]],0)</f>
        <v>0</v>
      </c>
      <c r="O144" s="78" t="str">
        <f>IF(Master[[#This Row],[Quantity On Hand Units -''count'' or ''packet'']]="","",Master[[#This Row],[Quantity On Hand Units -''count'' or ''packet'']])</f>
        <v/>
      </c>
      <c r="P144" s="80" t="str">
        <f>IF(Master[[#This Row],[Inventory Type - Lookup Picker]]="","",Master[[#This Row],[Inventory Type - Lookup Picker]])</f>
        <v>SD</v>
      </c>
      <c r="Q144" s="45" t="str">
        <f t="shared" si="20"/>
        <v>Mike has</v>
      </c>
      <c r="R144" s="56">
        <f>IF(Master[[#This Row],[Latitude -decimal degrees]]="","",Master[[#This Row],[Latitude -decimal degrees]])</f>
        <v>41.853050000000003</v>
      </c>
      <c r="S144" s="56">
        <f>IF(Master[[#This Row],[Longitude -decimal degrees]]="","",Master[[#This Row],[Longitude -decimal degrees]])</f>
        <v>-110.80336</v>
      </c>
      <c r="T144" s="30" t="str">
        <f>IF(Master[[#This Row],[Parent Inventory]]="","",Master[[#This Row],[Parent Inventory]])</f>
        <v/>
      </c>
      <c r="U144" s="30">
        <f>IF(Master[[#This Row],[Hundred Seed Weight -gram]]="","",Master[[#This Row],[Hundred Seed Weight -gram]])</f>
        <v>1.6899999999999998E-2</v>
      </c>
      <c r="V144" s="30" t="str">
        <f>IF(Master[[#This Row],[Note (Inventory)]]="","",Master[[#This Row],[Note (Inventory)]])</f>
        <v/>
      </c>
    </row>
    <row r="145" spans="1:22" x14ac:dyDescent="0.25">
      <c r="A145" s="30"/>
      <c r="B145" s="151" t="str">
        <f>IF(Master[[#This Row],[Inventory Prefix]]="","",Master[[#This Row],[Inventory Prefix]])</f>
        <v>W6</v>
      </c>
      <c r="C145" s="151" t="str">
        <f>IF(Master[[#This Row],[Inventory Number]]="","",Master[[#This Row],[Inventory Number]])</f>
        <v/>
      </c>
      <c r="D145" s="78" t="str">
        <f>IF(Master[[#This Row],[Inventory Suffix]]="","",Master[[#This Row],[Inventory Suffix]])</f>
        <v/>
      </c>
      <c r="E145" s="30" t="str">
        <f>IF(Master[[#This Row],[Inventory Type - Lookup Picker]]="","",Master[[#This Row],[Inventory Type - Lookup Picker]])</f>
        <v>SD</v>
      </c>
      <c r="F145" s="151" t="str">
        <f>Master[[#This Row],[Accession Prefix (NPGS)]]&amp;" "&amp;Master[[#This Row],[Accession Number -Assigned]]</f>
        <v>W6 59731</v>
      </c>
      <c r="G145" s="78" t="str">
        <f>IF(Master[[#This Row],[Inventory Maintenance Policy]]="","",Master[[#This Row],[Inventory Maintenance Policy]])</f>
        <v>w6_native</v>
      </c>
      <c r="H145" s="30" t="str">
        <f>IF(Master[[#This Row],[Inventory Maintenance Site -W6]]="","",Master[[#This Row],[Inventory Maintenance Site -W6]])</f>
        <v>W6</v>
      </c>
      <c r="I145" s="30" t="str">
        <f>IF(RIGHT(TEXT(Inventory[[#This Row],[Inventory Suffix]],"00"),2)="01","Y",IF(RIGHT(TEXT(Inventory[[#This Row],[Inventory Suffix]],"00"),2)="c1","Y",IF(RIGHT(TEXT(Inventory[[#This Row],[Inventory Suffix]],"00"),2)="m1","Y","N")))</f>
        <v>N</v>
      </c>
      <c r="J145" s="30" t="str">
        <f>IF(Inventory[[#This Row],[Inventory Type]]="SD","Y",IF(Inventory[[#This Row],[Inventory Type]]="LV","Y","N"))</f>
        <v>Y</v>
      </c>
      <c r="K145" s="30" t="str">
        <f t="shared" si="17"/>
        <v>N</v>
      </c>
      <c r="L145" s="30" t="str">
        <f t="shared" si="18"/>
        <v>Original lot received</v>
      </c>
      <c r="M145" s="30" t="str">
        <f t="shared" si="19"/>
        <v>ORIG from SOS Project</v>
      </c>
      <c r="N145" s="80">
        <f>ROUNDDOWN(Master[[#This Row],[Quantity On Hand]],0)</f>
        <v>0</v>
      </c>
      <c r="O145" s="78" t="str">
        <f>IF(Master[[#This Row],[Quantity On Hand Units -''count'' or ''packet'']]="","",Master[[#This Row],[Quantity On Hand Units -''count'' or ''packet'']])</f>
        <v/>
      </c>
      <c r="P145" s="80" t="str">
        <f>IF(Master[[#This Row],[Inventory Type - Lookup Picker]]="","",Master[[#This Row],[Inventory Type - Lookup Picker]])</f>
        <v>SD</v>
      </c>
      <c r="Q145" s="45" t="str">
        <f t="shared" si="20"/>
        <v>Mike has</v>
      </c>
      <c r="R145" s="56">
        <f>IF(Master[[#This Row],[Latitude -decimal degrees]]="","",Master[[#This Row],[Latitude -decimal degrees]])</f>
        <v>41.855359999999997</v>
      </c>
      <c r="S145" s="56">
        <f>IF(Master[[#This Row],[Longitude -decimal degrees]]="","",Master[[#This Row],[Longitude -decimal degrees]])</f>
        <v>-110.80172</v>
      </c>
      <c r="T145" s="30" t="str">
        <f>IF(Master[[#This Row],[Parent Inventory]]="","",Master[[#This Row],[Parent Inventory]])</f>
        <v/>
      </c>
      <c r="U145" s="30">
        <f>IF(Master[[#This Row],[Hundred Seed Weight -gram]]="","",Master[[#This Row],[Hundred Seed Weight -gram]])</f>
        <v>1.0699999999999999E-2</v>
      </c>
      <c r="V145" s="30" t="str">
        <f>IF(Master[[#This Row],[Note (Inventory)]]="","",Master[[#This Row],[Note (Inventory)]])</f>
        <v/>
      </c>
    </row>
    <row r="146" spans="1:22" x14ac:dyDescent="0.25">
      <c r="A146" s="30"/>
      <c r="B146" s="151" t="str">
        <f>IF(Master[[#This Row],[Inventory Prefix]]="","",Master[[#This Row],[Inventory Prefix]])</f>
        <v>W6</v>
      </c>
      <c r="C146" s="151" t="str">
        <f>IF(Master[[#This Row],[Inventory Number]]="","",Master[[#This Row],[Inventory Number]])</f>
        <v/>
      </c>
      <c r="D146" s="78" t="str">
        <f>IF(Master[[#This Row],[Inventory Suffix]]="","",Master[[#This Row],[Inventory Suffix]])</f>
        <v/>
      </c>
      <c r="E146" s="30" t="str">
        <f>IF(Master[[#This Row],[Inventory Type - Lookup Picker]]="","",Master[[#This Row],[Inventory Type - Lookup Picker]])</f>
        <v>SD</v>
      </c>
      <c r="F146" s="151" t="str">
        <f>Master[[#This Row],[Accession Prefix (NPGS)]]&amp;" "&amp;Master[[#This Row],[Accession Number -Assigned]]</f>
        <v>W6 59732</v>
      </c>
      <c r="G146" s="78" t="str">
        <f>IF(Master[[#This Row],[Inventory Maintenance Policy]]="","",Master[[#This Row],[Inventory Maintenance Policy]])</f>
        <v>w6_native</v>
      </c>
      <c r="H146" s="30" t="str">
        <f>IF(Master[[#This Row],[Inventory Maintenance Site -W6]]="","",Master[[#This Row],[Inventory Maintenance Site -W6]])</f>
        <v>W6</v>
      </c>
      <c r="I146" s="30" t="str">
        <f>IF(RIGHT(TEXT(Inventory[[#This Row],[Inventory Suffix]],"00"),2)="01","Y",IF(RIGHT(TEXT(Inventory[[#This Row],[Inventory Suffix]],"00"),2)="c1","Y",IF(RIGHT(TEXT(Inventory[[#This Row],[Inventory Suffix]],"00"),2)="m1","Y","N")))</f>
        <v>N</v>
      </c>
      <c r="J146" s="30" t="str">
        <f>IF(Inventory[[#This Row],[Inventory Type]]="SD","Y",IF(Inventory[[#This Row],[Inventory Type]]="LV","Y","N"))</f>
        <v>Y</v>
      </c>
      <c r="K146" s="30" t="str">
        <f t="shared" si="17"/>
        <v>N</v>
      </c>
      <c r="L146" s="30" t="str">
        <f t="shared" si="18"/>
        <v>Original lot received</v>
      </c>
      <c r="M146" s="30" t="str">
        <f t="shared" si="19"/>
        <v>ORIG from SOS Project</v>
      </c>
      <c r="N146" s="80">
        <f>ROUNDDOWN(Master[[#This Row],[Quantity On Hand]],0)</f>
        <v>0</v>
      </c>
      <c r="O146" s="78" t="str">
        <f>IF(Master[[#This Row],[Quantity On Hand Units -''count'' or ''packet'']]="","",Master[[#This Row],[Quantity On Hand Units -''count'' or ''packet'']])</f>
        <v/>
      </c>
      <c r="P146" s="80" t="str">
        <f>IF(Master[[#This Row],[Inventory Type - Lookup Picker]]="","",Master[[#This Row],[Inventory Type - Lookup Picker]])</f>
        <v>SD</v>
      </c>
      <c r="Q146" s="45" t="str">
        <f t="shared" si="20"/>
        <v>Mike has</v>
      </c>
      <c r="R146" s="56">
        <f>IF(Master[[#This Row],[Latitude -decimal degrees]]="","",Master[[#This Row],[Latitude -decimal degrees]])</f>
        <v>42.108440000000002</v>
      </c>
      <c r="S146" s="56">
        <f>IF(Master[[#This Row],[Longitude -decimal degrees]]="","",Master[[#This Row],[Longitude -decimal degrees]])</f>
        <v>-110.82561</v>
      </c>
      <c r="T146" s="30" t="str">
        <f>IF(Master[[#This Row],[Parent Inventory]]="","",Master[[#This Row],[Parent Inventory]])</f>
        <v/>
      </c>
      <c r="U146" s="30">
        <f>IF(Master[[#This Row],[Hundred Seed Weight -gram]]="","",Master[[#This Row],[Hundred Seed Weight -gram]])</f>
        <v>1.15E-2</v>
      </c>
      <c r="V146" s="30" t="str">
        <f>IF(Master[[#This Row],[Note (Inventory)]]="","",Master[[#This Row],[Note (Inventory)]])</f>
        <v/>
      </c>
    </row>
    <row r="147" spans="1:22" x14ac:dyDescent="0.25">
      <c r="A147" s="30"/>
      <c r="B147" s="151" t="str">
        <f>IF(Master[[#This Row],[Inventory Prefix]]="","",Master[[#This Row],[Inventory Prefix]])</f>
        <v>W6</v>
      </c>
      <c r="C147" s="151" t="str">
        <f>IF(Master[[#This Row],[Inventory Number]]="","",Master[[#This Row],[Inventory Number]])</f>
        <v/>
      </c>
      <c r="D147" s="78" t="str">
        <f>IF(Master[[#This Row],[Inventory Suffix]]="","",Master[[#This Row],[Inventory Suffix]])</f>
        <v/>
      </c>
      <c r="E147" s="30" t="str">
        <f>IF(Master[[#This Row],[Inventory Type - Lookup Picker]]="","",Master[[#This Row],[Inventory Type - Lookup Picker]])</f>
        <v>SD</v>
      </c>
      <c r="F147" s="151" t="str">
        <f>Master[[#This Row],[Accession Prefix (NPGS)]]&amp;" "&amp;Master[[#This Row],[Accession Number -Assigned]]</f>
        <v>W6 59733</v>
      </c>
      <c r="G147" s="78" t="str">
        <f>IF(Master[[#This Row],[Inventory Maintenance Policy]]="","",Master[[#This Row],[Inventory Maintenance Policy]])</f>
        <v>w6_native</v>
      </c>
      <c r="H147" s="30" t="str">
        <f>IF(Master[[#This Row],[Inventory Maintenance Site -W6]]="","",Master[[#This Row],[Inventory Maintenance Site -W6]])</f>
        <v>W6</v>
      </c>
      <c r="I147" s="30" t="str">
        <f>IF(RIGHT(TEXT(Inventory[[#This Row],[Inventory Suffix]],"00"),2)="01","Y",IF(RIGHT(TEXT(Inventory[[#This Row],[Inventory Suffix]],"00"),2)="c1","Y",IF(RIGHT(TEXT(Inventory[[#This Row],[Inventory Suffix]],"00"),2)="m1","Y","N")))</f>
        <v>N</v>
      </c>
      <c r="J147" s="30" t="str">
        <f>IF(Inventory[[#This Row],[Inventory Type]]="SD","Y",IF(Inventory[[#This Row],[Inventory Type]]="LV","Y","N"))</f>
        <v>Y</v>
      </c>
      <c r="K147" s="30" t="str">
        <f t="shared" si="17"/>
        <v>N</v>
      </c>
      <c r="L147" s="30" t="str">
        <f t="shared" si="18"/>
        <v>Original lot received</v>
      </c>
      <c r="M147" s="30" t="str">
        <f t="shared" si="19"/>
        <v>ORIG from SOS Project</v>
      </c>
      <c r="N147" s="80">
        <f>ROUNDDOWN(Master[[#This Row],[Quantity On Hand]],0)</f>
        <v>0</v>
      </c>
      <c r="O147" s="78" t="str">
        <f>IF(Master[[#This Row],[Quantity On Hand Units -''count'' or ''packet'']]="","",Master[[#This Row],[Quantity On Hand Units -''count'' or ''packet'']])</f>
        <v/>
      </c>
      <c r="P147" s="80" t="str">
        <f>IF(Master[[#This Row],[Inventory Type - Lookup Picker]]="","",Master[[#This Row],[Inventory Type - Lookup Picker]])</f>
        <v>SD</v>
      </c>
      <c r="Q147" s="45" t="str">
        <f t="shared" si="20"/>
        <v>Mike has</v>
      </c>
      <c r="R147" s="56">
        <f>IF(Master[[#This Row],[Latitude -decimal degrees]]="","",Master[[#This Row],[Latitude -decimal degrees]])</f>
        <v>42.108440000000002</v>
      </c>
      <c r="S147" s="56">
        <f>IF(Master[[#This Row],[Longitude -decimal degrees]]="","",Master[[#This Row],[Longitude -decimal degrees]])</f>
        <v>-110.82561</v>
      </c>
      <c r="T147" s="30" t="str">
        <f>IF(Master[[#This Row],[Parent Inventory]]="","",Master[[#This Row],[Parent Inventory]])</f>
        <v/>
      </c>
      <c r="U147" s="30">
        <f>IF(Master[[#This Row],[Hundred Seed Weight -gram]]="","",Master[[#This Row],[Hundred Seed Weight -gram]])</f>
        <v>1.4500000000000001E-2</v>
      </c>
      <c r="V147" s="30" t="str">
        <f>IF(Master[[#This Row],[Note (Inventory)]]="","",Master[[#This Row],[Note (Inventory)]])</f>
        <v/>
      </c>
    </row>
    <row r="148" spans="1:22" x14ac:dyDescent="0.25">
      <c r="A148" s="30"/>
      <c r="B148" s="151" t="str">
        <f>IF(Master[[#This Row],[Inventory Prefix]]="","",Master[[#This Row],[Inventory Prefix]])</f>
        <v>W6</v>
      </c>
      <c r="C148" s="151" t="str">
        <f>IF(Master[[#This Row],[Inventory Number]]="","",Master[[#This Row],[Inventory Number]])</f>
        <v/>
      </c>
      <c r="D148" s="78" t="str">
        <f>IF(Master[[#This Row],[Inventory Suffix]]="","",Master[[#This Row],[Inventory Suffix]])</f>
        <v/>
      </c>
      <c r="E148" s="30" t="str">
        <f>IF(Master[[#This Row],[Inventory Type - Lookup Picker]]="","",Master[[#This Row],[Inventory Type - Lookup Picker]])</f>
        <v>SD</v>
      </c>
      <c r="F148" s="151" t="str">
        <f>Master[[#This Row],[Accession Prefix (NPGS)]]&amp;" "&amp;Master[[#This Row],[Accession Number -Assigned]]</f>
        <v>W6 59734</v>
      </c>
      <c r="G148" s="78" t="str">
        <f>IF(Master[[#This Row],[Inventory Maintenance Policy]]="","",Master[[#This Row],[Inventory Maintenance Policy]])</f>
        <v>w6_native</v>
      </c>
      <c r="H148" s="30" t="str">
        <f>IF(Master[[#This Row],[Inventory Maintenance Site -W6]]="","",Master[[#This Row],[Inventory Maintenance Site -W6]])</f>
        <v>W6</v>
      </c>
      <c r="I148" s="30" t="str">
        <f>IF(RIGHT(TEXT(Inventory[[#This Row],[Inventory Suffix]],"00"),2)="01","Y",IF(RIGHT(TEXT(Inventory[[#This Row],[Inventory Suffix]],"00"),2)="c1","Y",IF(RIGHT(TEXT(Inventory[[#This Row],[Inventory Suffix]],"00"),2)="m1","Y","N")))</f>
        <v>N</v>
      </c>
      <c r="J148" s="30" t="str">
        <f>IF(Inventory[[#This Row],[Inventory Type]]="SD","Y",IF(Inventory[[#This Row],[Inventory Type]]="LV","Y","N"))</f>
        <v>Y</v>
      </c>
      <c r="K148" s="30" t="str">
        <f t="shared" si="17"/>
        <v>N</v>
      </c>
      <c r="L148" s="30" t="str">
        <f t="shared" si="18"/>
        <v>Original lot received</v>
      </c>
      <c r="M148" s="30" t="str">
        <f t="shared" si="19"/>
        <v>ORIG from SOS Project</v>
      </c>
      <c r="N148" s="80">
        <f>ROUNDDOWN(Master[[#This Row],[Quantity On Hand]],0)</f>
        <v>0</v>
      </c>
      <c r="O148" s="78" t="str">
        <f>IF(Master[[#This Row],[Quantity On Hand Units -''count'' or ''packet'']]="","",Master[[#This Row],[Quantity On Hand Units -''count'' or ''packet'']])</f>
        <v/>
      </c>
      <c r="P148" s="80" t="str">
        <f>IF(Master[[#This Row],[Inventory Type - Lookup Picker]]="","",Master[[#This Row],[Inventory Type - Lookup Picker]])</f>
        <v>SD</v>
      </c>
      <c r="Q148" s="45" t="str">
        <f t="shared" si="20"/>
        <v>Mike has</v>
      </c>
      <c r="R148" s="56">
        <f>IF(Master[[#This Row],[Latitude -decimal degrees]]="","",Master[[#This Row],[Latitude -decimal degrees]])</f>
        <v>42.108440000000002</v>
      </c>
      <c r="S148" s="56">
        <f>IF(Master[[#This Row],[Longitude -decimal degrees]]="","",Master[[#This Row],[Longitude -decimal degrees]])</f>
        <v>-110.82561</v>
      </c>
      <c r="T148" s="30" t="str">
        <f>IF(Master[[#This Row],[Parent Inventory]]="","",Master[[#This Row],[Parent Inventory]])</f>
        <v/>
      </c>
      <c r="U148" s="30">
        <f>IF(Master[[#This Row],[Hundred Seed Weight -gram]]="","",Master[[#This Row],[Hundred Seed Weight -gram]])</f>
        <v>0.16470000000000001</v>
      </c>
      <c r="V148" s="30" t="str">
        <f>IF(Master[[#This Row],[Note (Inventory)]]="","",Master[[#This Row],[Note (Inventory)]])</f>
        <v/>
      </c>
    </row>
    <row r="149" spans="1:22" x14ac:dyDescent="0.25">
      <c r="A149" s="30"/>
      <c r="B149" s="151" t="str">
        <f>IF(Master[[#This Row],[Inventory Prefix]]="","",Master[[#This Row],[Inventory Prefix]])</f>
        <v>W6</v>
      </c>
      <c r="C149" s="151" t="str">
        <f>IF(Master[[#This Row],[Inventory Number]]="","",Master[[#This Row],[Inventory Number]])</f>
        <v/>
      </c>
      <c r="D149" s="78" t="str">
        <f>IF(Master[[#This Row],[Inventory Suffix]]="","",Master[[#This Row],[Inventory Suffix]])</f>
        <v/>
      </c>
      <c r="E149" s="30" t="str">
        <f>IF(Master[[#This Row],[Inventory Type - Lookup Picker]]="","",Master[[#This Row],[Inventory Type - Lookup Picker]])</f>
        <v>SD</v>
      </c>
      <c r="F149" s="151" t="str">
        <f>Master[[#This Row],[Accession Prefix (NPGS)]]&amp;" "&amp;Master[[#This Row],[Accession Number -Assigned]]</f>
        <v>W6 59735</v>
      </c>
      <c r="G149" s="78" t="str">
        <f>IF(Master[[#This Row],[Inventory Maintenance Policy]]="","",Master[[#This Row],[Inventory Maintenance Policy]])</f>
        <v>w6_native</v>
      </c>
      <c r="H149" s="30" t="str">
        <f>IF(Master[[#This Row],[Inventory Maintenance Site -W6]]="","",Master[[#This Row],[Inventory Maintenance Site -W6]])</f>
        <v>W6</v>
      </c>
      <c r="I149" s="30" t="str">
        <f>IF(RIGHT(TEXT(Inventory[[#This Row],[Inventory Suffix]],"00"),2)="01","Y",IF(RIGHT(TEXT(Inventory[[#This Row],[Inventory Suffix]],"00"),2)="c1","Y",IF(RIGHT(TEXT(Inventory[[#This Row],[Inventory Suffix]],"00"),2)="m1","Y","N")))</f>
        <v>N</v>
      </c>
      <c r="J149" s="30" t="str">
        <f>IF(Inventory[[#This Row],[Inventory Type]]="SD","Y",IF(Inventory[[#This Row],[Inventory Type]]="LV","Y","N"))</f>
        <v>Y</v>
      </c>
      <c r="K149" s="30" t="str">
        <f t="shared" si="17"/>
        <v>N</v>
      </c>
      <c r="L149" s="30" t="str">
        <f t="shared" si="18"/>
        <v>Original lot received</v>
      </c>
      <c r="M149" s="30" t="str">
        <f t="shared" si="19"/>
        <v>ORIG from SOS Project</v>
      </c>
      <c r="N149" s="80">
        <f>ROUNDDOWN(Master[[#This Row],[Quantity On Hand]],0)</f>
        <v>0</v>
      </c>
      <c r="O149" s="78" t="str">
        <f>IF(Master[[#This Row],[Quantity On Hand Units -''count'' or ''packet'']]="","",Master[[#This Row],[Quantity On Hand Units -''count'' or ''packet'']])</f>
        <v/>
      </c>
      <c r="P149" s="80" t="str">
        <f>IF(Master[[#This Row],[Inventory Type - Lookup Picker]]="","",Master[[#This Row],[Inventory Type - Lookup Picker]])</f>
        <v>SD</v>
      </c>
      <c r="Q149" s="45" t="str">
        <f t="shared" si="20"/>
        <v>Mike has</v>
      </c>
      <c r="R149" s="56">
        <f>IF(Master[[#This Row],[Latitude -decimal degrees]]="","",Master[[#This Row],[Latitude -decimal degrees]])</f>
        <v>41.638649999999998</v>
      </c>
      <c r="S149" s="56">
        <f>IF(Master[[#This Row],[Longitude -decimal degrees]]="","",Master[[#This Row],[Longitude -decimal degrees]])</f>
        <v>-110.11857000000001</v>
      </c>
      <c r="T149" s="30" t="str">
        <f>IF(Master[[#This Row],[Parent Inventory]]="","",Master[[#This Row],[Parent Inventory]])</f>
        <v/>
      </c>
      <c r="U149" s="30">
        <f>IF(Master[[#This Row],[Hundred Seed Weight -gram]]="","",Master[[#This Row],[Hundred Seed Weight -gram]])</f>
        <v>0.2059</v>
      </c>
      <c r="V149" s="30" t="str">
        <f>IF(Master[[#This Row],[Note (Inventory)]]="","",Master[[#This Row],[Note (Inventory)]])</f>
        <v/>
      </c>
    </row>
    <row r="150" spans="1:22" x14ac:dyDescent="0.25">
      <c r="A150" s="30"/>
      <c r="B150" s="151" t="str">
        <f>IF(Master[[#This Row],[Inventory Prefix]]="","",Master[[#This Row],[Inventory Prefix]])</f>
        <v>W6</v>
      </c>
      <c r="C150" s="151" t="str">
        <f>IF(Master[[#This Row],[Inventory Number]]="","",Master[[#This Row],[Inventory Number]])</f>
        <v/>
      </c>
      <c r="D150" s="78" t="str">
        <f>IF(Master[[#This Row],[Inventory Suffix]]="","",Master[[#This Row],[Inventory Suffix]])</f>
        <v/>
      </c>
      <c r="E150" s="30" t="str">
        <f>IF(Master[[#This Row],[Inventory Type - Lookup Picker]]="","",Master[[#This Row],[Inventory Type - Lookup Picker]])</f>
        <v>SD</v>
      </c>
      <c r="F150" s="151" t="str">
        <f>Master[[#This Row],[Accession Prefix (NPGS)]]&amp;" "&amp;Master[[#This Row],[Accession Number -Assigned]]</f>
        <v>W6 59736</v>
      </c>
      <c r="G150" s="78" t="str">
        <f>IF(Master[[#This Row],[Inventory Maintenance Policy]]="","",Master[[#This Row],[Inventory Maintenance Policy]])</f>
        <v>w6_native</v>
      </c>
      <c r="H150" s="30" t="str">
        <f>IF(Master[[#This Row],[Inventory Maintenance Site -W6]]="","",Master[[#This Row],[Inventory Maintenance Site -W6]])</f>
        <v>W6</v>
      </c>
      <c r="I150" s="30" t="str">
        <f>IF(RIGHT(TEXT(Inventory[[#This Row],[Inventory Suffix]],"00"),2)="01","Y",IF(RIGHT(TEXT(Inventory[[#This Row],[Inventory Suffix]],"00"),2)="c1","Y",IF(RIGHT(TEXT(Inventory[[#This Row],[Inventory Suffix]],"00"),2)="m1","Y","N")))</f>
        <v>N</v>
      </c>
      <c r="J150" s="30" t="str">
        <f>IF(Inventory[[#This Row],[Inventory Type]]="SD","Y",IF(Inventory[[#This Row],[Inventory Type]]="LV","Y","N"))</f>
        <v>Y</v>
      </c>
      <c r="K150" s="30" t="str">
        <f t="shared" ref="K150:K181" si="21">"N"</f>
        <v>N</v>
      </c>
      <c r="L150" s="30" t="str">
        <f t="shared" si="18"/>
        <v>Original lot received</v>
      </c>
      <c r="M150" s="30" t="str">
        <f t="shared" si="19"/>
        <v>ORIG from SOS Project</v>
      </c>
      <c r="N150" s="80">
        <f>ROUNDDOWN(Master[[#This Row],[Quantity On Hand]],0)</f>
        <v>0</v>
      </c>
      <c r="O150" s="78" t="str">
        <f>IF(Master[[#This Row],[Quantity On Hand Units -''count'' or ''packet'']]="","",Master[[#This Row],[Quantity On Hand Units -''count'' or ''packet'']])</f>
        <v/>
      </c>
      <c r="P150" s="80" t="str">
        <f>IF(Master[[#This Row],[Inventory Type - Lookup Picker]]="","",Master[[#This Row],[Inventory Type - Lookup Picker]])</f>
        <v>SD</v>
      </c>
      <c r="Q150" s="45" t="str">
        <f t="shared" si="20"/>
        <v>Mike has</v>
      </c>
      <c r="R150" s="56">
        <f>IF(Master[[#This Row],[Latitude -decimal degrees]]="","",Master[[#This Row],[Latitude -decimal degrees]])</f>
        <v>41.001910000000002</v>
      </c>
      <c r="S150" s="56">
        <f>IF(Master[[#This Row],[Longitude -decimal degrees]]="","",Master[[#This Row],[Longitude -decimal degrees]])</f>
        <v>-110.5895</v>
      </c>
      <c r="T150" s="30" t="str">
        <f>IF(Master[[#This Row],[Parent Inventory]]="","",Master[[#This Row],[Parent Inventory]])</f>
        <v/>
      </c>
      <c r="U150" s="30">
        <f>IF(Master[[#This Row],[Hundred Seed Weight -gram]]="","",Master[[#This Row],[Hundred Seed Weight -gram]])</f>
        <v>1.2800000000000001E-2</v>
      </c>
      <c r="V150" s="30" t="str">
        <f>IF(Master[[#This Row],[Note (Inventory)]]="","",Master[[#This Row],[Note (Inventory)]])</f>
        <v/>
      </c>
    </row>
    <row r="151" spans="1:22" x14ac:dyDescent="0.25">
      <c r="A151" s="30"/>
      <c r="B151" s="151" t="str">
        <f>IF(Master[[#This Row],[Inventory Prefix]]="","",Master[[#This Row],[Inventory Prefix]])</f>
        <v>W6</v>
      </c>
      <c r="C151" s="151" t="str">
        <f>IF(Master[[#This Row],[Inventory Number]]="","",Master[[#This Row],[Inventory Number]])</f>
        <v/>
      </c>
      <c r="D151" s="78" t="str">
        <f>IF(Master[[#This Row],[Inventory Suffix]]="","",Master[[#This Row],[Inventory Suffix]])</f>
        <v/>
      </c>
      <c r="E151" s="30" t="str">
        <f>IF(Master[[#This Row],[Inventory Type - Lookup Picker]]="","",Master[[#This Row],[Inventory Type - Lookup Picker]])</f>
        <v>SD</v>
      </c>
      <c r="F151" s="151" t="str">
        <f>Master[[#This Row],[Accession Prefix (NPGS)]]&amp;" "&amp;Master[[#This Row],[Accession Number -Assigned]]</f>
        <v>W6 59737</v>
      </c>
      <c r="G151" s="78" t="str">
        <f>IF(Master[[#This Row],[Inventory Maintenance Policy]]="","",Master[[#This Row],[Inventory Maintenance Policy]])</f>
        <v>w6_native</v>
      </c>
      <c r="H151" s="30" t="str">
        <f>IF(Master[[#This Row],[Inventory Maintenance Site -W6]]="","",Master[[#This Row],[Inventory Maintenance Site -W6]])</f>
        <v>W6</v>
      </c>
      <c r="I151" s="30" t="str">
        <f>IF(RIGHT(TEXT(Inventory[[#This Row],[Inventory Suffix]],"00"),2)="01","Y",IF(RIGHT(TEXT(Inventory[[#This Row],[Inventory Suffix]],"00"),2)="c1","Y",IF(RIGHT(TEXT(Inventory[[#This Row],[Inventory Suffix]],"00"),2)="m1","Y","N")))</f>
        <v>N</v>
      </c>
      <c r="J151" s="30" t="str">
        <f>IF(Inventory[[#This Row],[Inventory Type]]="SD","Y",IF(Inventory[[#This Row],[Inventory Type]]="LV","Y","N"))</f>
        <v>Y</v>
      </c>
      <c r="K151" s="30" t="str">
        <f t="shared" si="21"/>
        <v>N</v>
      </c>
      <c r="L151" s="30" t="str">
        <f t="shared" si="18"/>
        <v>Original lot received</v>
      </c>
      <c r="M151" s="30" t="str">
        <f t="shared" si="19"/>
        <v>ORIG from SOS Project</v>
      </c>
      <c r="N151" s="80">
        <f>ROUNDDOWN(Master[[#This Row],[Quantity On Hand]],0)</f>
        <v>0</v>
      </c>
      <c r="O151" s="78" t="str">
        <f>IF(Master[[#This Row],[Quantity On Hand Units -''count'' or ''packet'']]="","",Master[[#This Row],[Quantity On Hand Units -''count'' or ''packet'']])</f>
        <v/>
      </c>
      <c r="P151" s="80" t="str">
        <f>IF(Master[[#This Row],[Inventory Type - Lookup Picker]]="","",Master[[#This Row],[Inventory Type - Lookup Picker]])</f>
        <v>SD</v>
      </c>
      <c r="Q151" s="45" t="str">
        <f t="shared" si="20"/>
        <v>Mike has</v>
      </c>
      <c r="R151" s="56">
        <f>IF(Master[[#This Row],[Latitude -decimal degrees]]="","",Master[[#This Row],[Latitude -decimal degrees]])</f>
        <v>41.862180000000002</v>
      </c>
      <c r="S151" s="56">
        <f>IF(Master[[#This Row],[Longitude -decimal degrees]]="","",Master[[#This Row],[Longitude -decimal degrees]])</f>
        <v>-110.45403</v>
      </c>
      <c r="T151" s="30" t="str">
        <f>IF(Master[[#This Row],[Parent Inventory]]="","",Master[[#This Row],[Parent Inventory]])</f>
        <v/>
      </c>
      <c r="U151" s="30">
        <f>IF(Master[[#This Row],[Hundred Seed Weight -gram]]="","",Master[[#This Row],[Hundred Seed Weight -gram]])</f>
        <v>0.30230000000000001</v>
      </c>
      <c r="V151" s="30" t="str">
        <f>IF(Master[[#This Row],[Note (Inventory)]]="","",Master[[#This Row],[Note (Inventory)]])</f>
        <v/>
      </c>
    </row>
    <row r="152" spans="1:22" x14ac:dyDescent="0.25">
      <c r="A152" s="30"/>
      <c r="B152" s="151" t="str">
        <f>IF(Master[[#This Row],[Inventory Prefix]]="","",Master[[#This Row],[Inventory Prefix]])</f>
        <v/>
      </c>
      <c r="C152" s="151" t="str">
        <f>IF(Master[[#This Row],[Inventory Number]]="","",Master[[#This Row],[Inventory Number]])</f>
        <v/>
      </c>
      <c r="D152" s="78" t="str">
        <f>IF(Master[[#This Row],[Inventory Suffix]]="","",Master[[#This Row],[Inventory Suffix]])</f>
        <v/>
      </c>
      <c r="E152" s="30" t="str">
        <f>IF(Master[[#This Row],[Inventory Type - Lookup Picker]]="","",Master[[#This Row],[Inventory Type - Lookup Picker]])</f>
        <v/>
      </c>
      <c r="F152" s="151" t="str">
        <f>Master[[#This Row],[Accession Prefix (NPGS)]]&amp;" "&amp;Master[[#This Row],[Accession Number -Assigned]]</f>
        <v xml:space="preserve"> </v>
      </c>
      <c r="G152" s="78" t="str">
        <f>IF(Master[[#This Row],[Inventory Maintenance Policy]]="","",Master[[#This Row],[Inventory Maintenance Policy]])</f>
        <v/>
      </c>
      <c r="H152" s="30" t="str">
        <f>IF(Master[[#This Row],[Inventory Maintenance Site -W6]]="","",Master[[#This Row],[Inventory Maintenance Site -W6]])</f>
        <v/>
      </c>
      <c r="I152" s="30" t="str">
        <f>IF(RIGHT(TEXT(Inventory[[#This Row],[Inventory Suffix]],"00"),2)="01","Y",IF(RIGHT(TEXT(Inventory[[#This Row],[Inventory Suffix]],"00"),2)="c1","Y",IF(RIGHT(TEXT(Inventory[[#This Row],[Inventory Suffix]],"00"),2)="m1","Y","N")))</f>
        <v>N</v>
      </c>
      <c r="J152" s="30" t="str">
        <f>IF(Inventory[[#This Row],[Inventory Type]]="SD","Y",IF(Inventory[[#This Row],[Inventory Type]]="LV","Y","N"))</f>
        <v>N</v>
      </c>
      <c r="K152" s="30" t="str">
        <f t="shared" si="21"/>
        <v>N</v>
      </c>
      <c r="L152" s="30" t="str">
        <f t="shared" si="18"/>
        <v>Original lot received</v>
      </c>
      <c r="M152" s="30" t="str">
        <f t="shared" si="19"/>
        <v>ORIG from SOS Project</v>
      </c>
      <c r="N152" s="80">
        <f>ROUNDDOWN(Master[[#This Row],[Quantity On Hand]],0)</f>
        <v>0</v>
      </c>
      <c r="O152" s="78" t="str">
        <f>IF(Master[[#This Row],[Quantity On Hand Units -''count'' or ''packet'']]="","",Master[[#This Row],[Quantity On Hand Units -''count'' or ''packet'']])</f>
        <v/>
      </c>
      <c r="P152" s="80" t="str">
        <f>IF(Master[[#This Row],[Inventory Type - Lookup Picker]]="","",Master[[#This Row],[Inventory Type - Lookup Picker]])</f>
        <v/>
      </c>
      <c r="Q152" s="45" t="str">
        <f t="shared" si="20"/>
        <v>Mike has</v>
      </c>
      <c r="R152" s="56" t="str">
        <f>IF(Master[[#This Row],[Latitude -decimal degrees]]="","",Master[[#This Row],[Latitude -decimal degrees]])</f>
        <v/>
      </c>
      <c r="S152" s="56" t="str">
        <f>IF(Master[[#This Row],[Longitude -decimal degrees]]="","",Master[[#This Row],[Longitude -decimal degrees]])</f>
        <v/>
      </c>
      <c r="T152" s="30" t="str">
        <f>IF(Master[[#This Row],[Parent Inventory]]="","",Master[[#This Row],[Parent Inventory]])</f>
        <v/>
      </c>
      <c r="U152" s="30" t="str">
        <f>IF(Master[[#This Row],[Hundred Seed Weight -gram]]="","",Master[[#This Row],[Hundred Seed Weight -gram]])</f>
        <v/>
      </c>
      <c r="V152" s="30" t="str">
        <f>IF(Master[[#This Row],[Note (Inventory)]]="","",Master[[#This Row],[Note (Inventory)]])</f>
        <v/>
      </c>
    </row>
    <row r="153" spans="1:22" x14ac:dyDescent="0.25">
      <c r="A153" s="30"/>
      <c r="B153" s="151" t="str">
        <f>IF(Master[[#This Row],[Inventory Prefix]]="","",Master[[#This Row],[Inventory Prefix]])</f>
        <v/>
      </c>
      <c r="C153" s="151" t="str">
        <f>IF(Master[[#This Row],[Inventory Number]]="","",Master[[#This Row],[Inventory Number]])</f>
        <v/>
      </c>
      <c r="D153" s="78" t="str">
        <f>IF(Master[[#This Row],[Inventory Suffix]]="","",Master[[#This Row],[Inventory Suffix]])</f>
        <v/>
      </c>
      <c r="E153" s="30" t="str">
        <f>IF(Master[[#This Row],[Inventory Type - Lookup Picker]]="","",Master[[#This Row],[Inventory Type - Lookup Picker]])</f>
        <v/>
      </c>
      <c r="F153" s="151" t="str">
        <f>Master[[#This Row],[Accession Prefix (NPGS)]]&amp;" "&amp;Master[[#This Row],[Accession Number -Assigned]]</f>
        <v xml:space="preserve"> </v>
      </c>
      <c r="G153" s="78" t="str">
        <f>IF(Master[[#This Row],[Inventory Maintenance Policy]]="","",Master[[#This Row],[Inventory Maintenance Policy]])</f>
        <v/>
      </c>
      <c r="H153" s="30" t="str">
        <f>IF(Master[[#This Row],[Inventory Maintenance Site -W6]]="","",Master[[#This Row],[Inventory Maintenance Site -W6]])</f>
        <v/>
      </c>
      <c r="I153" s="30" t="str">
        <f>IF(RIGHT(TEXT(Inventory[[#This Row],[Inventory Suffix]],"00"),2)="01","Y",IF(RIGHT(TEXT(Inventory[[#This Row],[Inventory Suffix]],"00"),2)="c1","Y",IF(RIGHT(TEXT(Inventory[[#This Row],[Inventory Suffix]],"00"),2)="m1","Y","N")))</f>
        <v>N</v>
      </c>
      <c r="J153" s="30" t="str">
        <f>IF(Inventory[[#This Row],[Inventory Type]]="SD","Y",IF(Inventory[[#This Row],[Inventory Type]]="LV","Y","N"))</f>
        <v>N</v>
      </c>
      <c r="K153" s="30" t="str">
        <f t="shared" si="21"/>
        <v>N</v>
      </c>
      <c r="L153" s="30" t="str">
        <f t="shared" si="18"/>
        <v>Original lot received</v>
      </c>
      <c r="M153" s="30" t="str">
        <f t="shared" si="19"/>
        <v>ORIG from SOS Project</v>
      </c>
      <c r="N153" s="80">
        <f>ROUNDDOWN(Master[[#This Row],[Quantity On Hand]],0)</f>
        <v>0</v>
      </c>
      <c r="O153" s="78" t="str">
        <f>IF(Master[[#This Row],[Quantity On Hand Units -''count'' or ''packet'']]="","",Master[[#This Row],[Quantity On Hand Units -''count'' or ''packet'']])</f>
        <v/>
      </c>
      <c r="P153" s="80" t="str">
        <f>IF(Master[[#This Row],[Inventory Type - Lookup Picker]]="","",Master[[#This Row],[Inventory Type - Lookup Picker]])</f>
        <v/>
      </c>
      <c r="Q153" s="45" t="str">
        <f t="shared" si="20"/>
        <v>Mike has</v>
      </c>
      <c r="R153" s="56" t="str">
        <f>IF(Master[[#This Row],[Latitude -decimal degrees]]="","",Master[[#This Row],[Latitude -decimal degrees]])</f>
        <v/>
      </c>
      <c r="S153" s="56" t="str">
        <f>IF(Master[[#This Row],[Longitude -decimal degrees]]="","",Master[[#This Row],[Longitude -decimal degrees]])</f>
        <v/>
      </c>
      <c r="T153" s="30" t="str">
        <f>IF(Master[[#This Row],[Parent Inventory]]="","",Master[[#This Row],[Parent Inventory]])</f>
        <v/>
      </c>
      <c r="U153" s="30" t="str">
        <f>IF(Master[[#This Row],[Hundred Seed Weight -gram]]="","",Master[[#This Row],[Hundred Seed Weight -gram]])</f>
        <v/>
      </c>
      <c r="V153" s="30" t="str">
        <f>IF(Master[[#This Row],[Note (Inventory)]]="","",Master[[#This Row],[Note (Inventory)]])</f>
        <v/>
      </c>
    </row>
    <row r="154" spans="1:22" x14ac:dyDescent="0.25">
      <c r="A154" s="30"/>
      <c r="B154" s="151" t="str">
        <f>IF(Master[[#This Row],[Inventory Prefix]]="","",Master[[#This Row],[Inventory Prefix]])</f>
        <v/>
      </c>
      <c r="C154" s="151" t="str">
        <f>IF(Master[[#This Row],[Inventory Number]]="","",Master[[#This Row],[Inventory Number]])</f>
        <v/>
      </c>
      <c r="D154" s="78" t="str">
        <f>IF(Master[[#This Row],[Inventory Suffix]]="","",Master[[#This Row],[Inventory Suffix]])</f>
        <v/>
      </c>
      <c r="E154" s="30" t="str">
        <f>IF(Master[[#This Row],[Inventory Type - Lookup Picker]]="","",Master[[#This Row],[Inventory Type - Lookup Picker]])</f>
        <v/>
      </c>
      <c r="F154" s="151" t="str">
        <f>Master[[#This Row],[Accession Prefix (NPGS)]]&amp;" "&amp;Master[[#This Row],[Accession Number -Assigned]]</f>
        <v xml:space="preserve"> </v>
      </c>
      <c r="G154" s="78" t="str">
        <f>IF(Master[[#This Row],[Inventory Maintenance Policy]]="","",Master[[#This Row],[Inventory Maintenance Policy]])</f>
        <v/>
      </c>
      <c r="H154" s="30" t="str">
        <f>IF(Master[[#This Row],[Inventory Maintenance Site -W6]]="","",Master[[#This Row],[Inventory Maintenance Site -W6]])</f>
        <v/>
      </c>
      <c r="I154" s="30" t="str">
        <f>IF(RIGHT(TEXT(Inventory[[#This Row],[Inventory Suffix]],"00"),2)="01","Y",IF(RIGHT(TEXT(Inventory[[#This Row],[Inventory Suffix]],"00"),2)="c1","Y",IF(RIGHT(TEXT(Inventory[[#This Row],[Inventory Suffix]],"00"),2)="m1","Y","N")))</f>
        <v>N</v>
      </c>
      <c r="J154" s="30" t="str">
        <f>IF(Inventory[[#This Row],[Inventory Type]]="SD","Y",IF(Inventory[[#This Row],[Inventory Type]]="LV","Y","N"))</f>
        <v>N</v>
      </c>
      <c r="K154" s="30" t="str">
        <f t="shared" si="21"/>
        <v>N</v>
      </c>
      <c r="L154" s="30" t="str">
        <f t="shared" si="18"/>
        <v>Original lot received</v>
      </c>
      <c r="M154" s="30" t="str">
        <f t="shared" si="19"/>
        <v>ORIG from SOS Project</v>
      </c>
      <c r="N154" s="80">
        <f>ROUNDDOWN(Master[[#This Row],[Quantity On Hand]],0)</f>
        <v>0</v>
      </c>
      <c r="O154" s="78" t="str">
        <f>IF(Master[[#This Row],[Quantity On Hand Units -''count'' or ''packet'']]="","",Master[[#This Row],[Quantity On Hand Units -''count'' or ''packet'']])</f>
        <v/>
      </c>
      <c r="P154" s="80" t="str">
        <f>IF(Master[[#This Row],[Inventory Type - Lookup Picker]]="","",Master[[#This Row],[Inventory Type - Lookup Picker]])</f>
        <v/>
      </c>
      <c r="Q154" s="45" t="str">
        <f t="shared" si="20"/>
        <v>Mike has</v>
      </c>
      <c r="R154" s="56" t="str">
        <f>IF(Master[[#This Row],[Latitude -decimal degrees]]="","",Master[[#This Row],[Latitude -decimal degrees]])</f>
        <v/>
      </c>
      <c r="S154" s="56" t="str">
        <f>IF(Master[[#This Row],[Longitude -decimal degrees]]="","",Master[[#This Row],[Longitude -decimal degrees]])</f>
        <v/>
      </c>
      <c r="T154" s="30" t="str">
        <f>IF(Master[[#This Row],[Parent Inventory]]="","",Master[[#This Row],[Parent Inventory]])</f>
        <v/>
      </c>
      <c r="U154" s="30" t="str">
        <f>IF(Master[[#This Row],[Hundred Seed Weight -gram]]="","",Master[[#This Row],[Hundred Seed Weight -gram]])</f>
        <v/>
      </c>
      <c r="V154" s="30" t="str">
        <f>IF(Master[[#This Row],[Note (Inventory)]]="","",Master[[#This Row],[Note (Inventory)]])</f>
        <v/>
      </c>
    </row>
    <row r="155" spans="1:22" x14ac:dyDescent="0.25">
      <c r="A155" s="30"/>
      <c r="B155" s="151" t="str">
        <f>IF(Master[[#This Row],[Inventory Prefix]]="","",Master[[#This Row],[Inventory Prefix]])</f>
        <v/>
      </c>
      <c r="C155" s="151" t="str">
        <f>IF(Master[[#This Row],[Inventory Number]]="","",Master[[#This Row],[Inventory Number]])</f>
        <v/>
      </c>
      <c r="D155" s="78" t="str">
        <f>IF(Master[[#This Row],[Inventory Suffix]]="","",Master[[#This Row],[Inventory Suffix]])</f>
        <v/>
      </c>
      <c r="E155" s="30" t="str">
        <f>IF(Master[[#This Row],[Inventory Type - Lookup Picker]]="","",Master[[#This Row],[Inventory Type - Lookup Picker]])</f>
        <v/>
      </c>
      <c r="F155" s="151" t="str">
        <f>Master[[#This Row],[Accession Prefix (NPGS)]]&amp;" "&amp;Master[[#This Row],[Accession Number -Assigned]]</f>
        <v xml:space="preserve"> </v>
      </c>
      <c r="G155" s="78" t="str">
        <f>IF(Master[[#This Row],[Inventory Maintenance Policy]]="","",Master[[#This Row],[Inventory Maintenance Policy]])</f>
        <v/>
      </c>
      <c r="H155" s="30" t="str">
        <f>IF(Master[[#This Row],[Inventory Maintenance Site -W6]]="","",Master[[#This Row],[Inventory Maintenance Site -W6]])</f>
        <v/>
      </c>
      <c r="I155" s="30" t="str">
        <f>IF(RIGHT(TEXT(Inventory[[#This Row],[Inventory Suffix]],"00"),2)="01","Y",IF(RIGHT(TEXT(Inventory[[#This Row],[Inventory Suffix]],"00"),2)="c1","Y",IF(RIGHT(TEXT(Inventory[[#This Row],[Inventory Suffix]],"00"),2)="m1","Y","N")))</f>
        <v>N</v>
      </c>
      <c r="J155" s="30" t="str">
        <f>IF(Inventory[[#This Row],[Inventory Type]]="SD","Y",IF(Inventory[[#This Row],[Inventory Type]]="LV","Y","N"))</f>
        <v>N</v>
      </c>
      <c r="K155" s="30" t="str">
        <f t="shared" si="21"/>
        <v>N</v>
      </c>
      <c r="L155" s="30" t="str">
        <f t="shared" si="18"/>
        <v>Original lot received</v>
      </c>
      <c r="M155" s="30" t="str">
        <f t="shared" si="19"/>
        <v>ORIG from SOS Project</v>
      </c>
      <c r="N155" s="80">
        <f>ROUNDDOWN(Master[[#This Row],[Quantity On Hand]],0)</f>
        <v>0</v>
      </c>
      <c r="O155" s="78" t="str">
        <f>IF(Master[[#This Row],[Quantity On Hand Units -''count'' or ''packet'']]="","",Master[[#This Row],[Quantity On Hand Units -''count'' or ''packet'']])</f>
        <v/>
      </c>
      <c r="P155" s="80" t="str">
        <f>IF(Master[[#This Row],[Inventory Type - Lookup Picker]]="","",Master[[#This Row],[Inventory Type - Lookup Picker]])</f>
        <v/>
      </c>
      <c r="Q155" s="45" t="str">
        <f t="shared" si="20"/>
        <v>Mike has</v>
      </c>
      <c r="R155" s="56" t="str">
        <f>IF(Master[[#This Row],[Latitude -decimal degrees]]="","",Master[[#This Row],[Latitude -decimal degrees]])</f>
        <v/>
      </c>
      <c r="S155" s="56" t="str">
        <f>IF(Master[[#This Row],[Longitude -decimal degrees]]="","",Master[[#This Row],[Longitude -decimal degrees]])</f>
        <v/>
      </c>
      <c r="T155" s="30" t="str">
        <f>IF(Master[[#This Row],[Parent Inventory]]="","",Master[[#This Row],[Parent Inventory]])</f>
        <v/>
      </c>
      <c r="U155" s="30" t="str">
        <f>IF(Master[[#This Row],[Hundred Seed Weight -gram]]="","",Master[[#This Row],[Hundred Seed Weight -gram]])</f>
        <v/>
      </c>
      <c r="V155" s="30" t="str">
        <f>IF(Master[[#This Row],[Note (Inventory)]]="","",Master[[#This Row],[Note (Inventory)]])</f>
        <v/>
      </c>
    </row>
    <row r="156" spans="1:22" x14ac:dyDescent="0.25">
      <c r="A156" s="30"/>
      <c r="B156" s="151" t="str">
        <f>IF(Master[[#This Row],[Inventory Prefix]]="","",Master[[#This Row],[Inventory Prefix]])</f>
        <v/>
      </c>
      <c r="C156" s="151" t="str">
        <f>IF(Master[[#This Row],[Inventory Number]]="","",Master[[#This Row],[Inventory Number]])</f>
        <v/>
      </c>
      <c r="D156" s="78" t="str">
        <f>IF(Master[[#This Row],[Inventory Suffix]]="","",Master[[#This Row],[Inventory Suffix]])</f>
        <v/>
      </c>
      <c r="E156" s="30" t="str">
        <f>IF(Master[[#This Row],[Inventory Type - Lookup Picker]]="","",Master[[#This Row],[Inventory Type - Lookup Picker]])</f>
        <v/>
      </c>
      <c r="F156" s="151" t="str">
        <f>Master[[#This Row],[Accession Prefix (NPGS)]]&amp;" "&amp;Master[[#This Row],[Accession Number -Assigned]]</f>
        <v xml:space="preserve"> </v>
      </c>
      <c r="G156" s="78" t="str">
        <f>IF(Master[[#This Row],[Inventory Maintenance Policy]]="","",Master[[#This Row],[Inventory Maintenance Policy]])</f>
        <v/>
      </c>
      <c r="H156" s="30" t="str">
        <f>IF(Master[[#This Row],[Inventory Maintenance Site -W6]]="","",Master[[#This Row],[Inventory Maintenance Site -W6]])</f>
        <v/>
      </c>
      <c r="I156" s="30" t="str">
        <f>IF(RIGHT(TEXT(Inventory[[#This Row],[Inventory Suffix]],"00"),2)="01","Y",IF(RIGHT(TEXT(Inventory[[#This Row],[Inventory Suffix]],"00"),2)="c1","Y",IF(RIGHT(TEXT(Inventory[[#This Row],[Inventory Suffix]],"00"),2)="m1","Y","N")))</f>
        <v>N</v>
      </c>
      <c r="J156" s="30" t="str">
        <f>IF(Inventory[[#This Row],[Inventory Type]]="SD","Y",IF(Inventory[[#This Row],[Inventory Type]]="LV","Y","N"))</f>
        <v>N</v>
      </c>
      <c r="K156" s="30" t="str">
        <f t="shared" si="21"/>
        <v>N</v>
      </c>
      <c r="L156" s="30" t="str">
        <f t="shared" si="18"/>
        <v>Original lot received</v>
      </c>
      <c r="M156" s="30" t="str">
        <f t="shared" si="19"/>
        <v>ORIG from SOS Project</v>
      </c>
      <c r="N156" s="80">
        <f>ROUNDDOWN(Master[[#This Row],[Quantity On Hand]],0)</f>
        <v>0</v>
      </c>
      <c r="O156" s="78" t="str">
        <f>IF(Master[[#This Row],[Quantity On Hand Units -''count'' or ''packet'']]="","",Master[[#This Row],[Quantity On Hand Units -''count'' or ''packet'']])</f>
        <v/>
      </c>
      <c r="P156" s="80" t="str">
        <f>IF(Master[[#This Row],[Inventory Type - Lookup Picker]]="","",Master[[#This Row],[Inventory Type - Lookup Picker]])</f>
        <v/>
      </c>
      <c r="Q156" s="45" t="str">
        <f t="shared" si="20"/>
        <v>Mike has</v>
      </c>
      <c r="R156" s="56" t="str">
        <f>IF(Master[[#This Row],[Latitude -decimal degrees]]="","",Master[[#This Row],[Latitude -decimal degrees]])</f>
        <v/>
      </c>
      <c r="S156" s="56" t="str">
        <f>IF(Master[[#This Row],[Longitude -decimal degrees]]="","",Master[[#This Row],[Longitude -decimal degrees]])</f>
        <v/>
      </c>
      <c r="T156" s="30" t="str">
        <f>IF(Master[[#This Row],[Parent Inventory]]="","",Master[[#This Row],[Parent Inventory]])</f>
        <v/>
      </c>
      <c r="U156" s="30" t="str">
        <f>IF(Master[[#This Row],[Hundred Seed Weight -gram]]="","",Master[[#This Row],[Hundred Seed Weight -gram]])</f>
        <v/>
      </c>
      <c r="V156" s="30" t="str">
        <f>IF(Master[[#This Row],[Note (Inventory)]]="","",Master[[#This Row],[Note (Inventory)]])</f>
        <v/>
      </c>
    </row>
    <row r="157" spans="1:22" x14ac:dyDescent="0.25">
      <c r="A157" s="30"/>
      <c r="B157" s="151" t="str">
        <f>IF(Master[[#This Row],[Inventory Prefix]]="","",Master[[#This Row],[Inventory Prefix]])</f>
        <v/>
      </c>
      <c r="C157" s="151" t="str">
        <f>IF(Master[[#This Row],[Inventory Number]]="","",Master[[#This Row],[Inventory Number]])</f>
        <v/>
      </c>
      <c r="D157" s="78" t="str">
        <f>IF(Master[[#This Row],[Inventory Suffix]]="","",Master[[#This Row],[Inventory Suffix]])</f>
        <v/>
      </c>
      <c r="E157" s="30" t="str">
        <f>IF(Master[[#This Row],[Inventory Type - Lookup Picker]]="","",Master[[#This Row],[Inventory Type - Lookup Picker]])</f>
        <v/>
      </c>
      <c r="F157" s="151" t="str">
        <f>Master[[#This Row],[Accession Prefix (NPGS)]]&amp;" "&amp;Master[[#This Row],[Accession Number -Assigned]]</f>
        <v xml:space="preserve"> </v>
      </c>
      <c r="G157" s="78" t="str">
        <f>IF(Master[[#This Row],[Inventory Maintenance Policy]]="","",Master[[#This Row],[Inventory Maintenance Policy]])</f>
        <v/>
      </c>
      <c r="H157" s="30" t="str">
        <f>IF(Master[[#This Row],[Inventory Maintenance Site -W6]]="","",Master[[#This Row],[Inventory Maintenance Site -W6]])</f>
        <v/>
      </c>
      <c r="I157" s="30" t="str">
        <f>IF(RIGHT(TEXT(Inventory[[#This Row],[Inventory Suffix]],"00"),2)="01","Y",IF(RIGHT(TEXT(Inventory[[#This Row],[Inventory Suffix]],"00"),2)="c1","Y",IF(RIGHT(TEXT(Inventory[[#This Row],[Inventory Suffix]],"00"),2)="m1","Y","N")))</f>
        <v>N</v>
      </c>
      <c r="J157" s="30" t="str">
        <f>IF(Inventory[[#This Row],[Inventory Type]]="SD","Y",IF(Inventory[[#This Row],[Inventory Type]]="LV","Y","N"))</f>
        <v>N</v>
      </c>
      <c r="K157" s="30" t="str">
        <f t="shared" si="21"/>
        <v>N</v>
      </c>
      <c r="L157" s="30" t="str">
        <f t="shared" si="18"/>
        <v>Original lot received</v>
      </c>
      <c r="M157" s="30" t="str">
        <f t="shared" si="19"/>
        <v>ORIG from SOS Project</v>
      </c>
      <c r="N157" s="80">
        <f>ROUNDDOWN(Master[[#This Row],[Quantity On Hand]],0)</f>
        <v>0</v>
      </c>
      <c r="O157" s="78" t="str">
        <f>IF(Master[[#This Row],[Quantity On Hand Units -''count'' or ''packet'']]="","",Master[[#This Row],[Quantity On Hand Units -''count'' or ''packet'']])</f>
        <v/>
      </c>
      <c r="P157" s="80" t="str">
        <f>IF(Master[[#This Row],[Inventory Type - Lookup Picker]]="","",Master[[#This Row],[Inventory Type - Lookup Picker]])</f>
        <v/>
      </c>
      <c r="Q157" s="45" t="str">
        <f t="shared" si="20"/>
        <v>Mike has</v>
      </c>
      <c r="R157" s="56" t="str">
        <f>IF(Master[[#This Row],[Latitude -decimal degrees]]="","",Master[[#This Row],[Latitude -decimal degrees]])</f>
        <v/>
      </c>
      <c r="S157" s="56" t="str">
        <f>IF(Master[[#This Row],[Longitude -decimal degrees]]="","",Master[[#This Row],[Longitude -decimal degrees]])</f>
        <v/>
      </c>
      <c r="T157" s="30" t="str">
        <f>IF(Master[[#This Row],[Parent Inventory]]="","",Master[[#This Row],[Parent Inventory]])</f>
        <v/>
      </c>
      <c r="U157" s="30" t="str">
        <f>IF(Master[[#This Row],[Hundred Seed Weight -gram]]="","",Master[[#This Row],[Hundred Seed Weight -gram]])</f>
        <v/>
      </c>
      <c r="V157" s="30" t="str">
        <f>IF(Master[[#This Row],[Note (Inventory)]]="","",Master[[#This Row],[Note (Inventory)]])</f>
        <v/>
      </c>
    </row>
    <row r="158" spans="1:22" x14ac:dyDescent="0.25">
      <c r="A158" s="30"/>
      <c r="B158" s="151" t="str">
        <f>IF(Master[[#This Row],[Inventory Prefix]]="","",Master[[#This Row],[Inventory Prefix]])</f>
        <v/>
      </c>
      <c r="C158" s="151" t="str">
        <f>IF(Master[[#This Row],[Inventory Number]]="","",Master[[#This Row],[Inventory Number]])</f>
        <v/>
      </c>
      <c r="D158" s="78" t="str">
        <f>IF(Master[[#This Row],[Inventory Suffix]]="","",Master[[#This Row],[Inventory Suffix]])</f>
        <v/>
      </c>
      <c r="E158" s="30" t="str">
        <f>IF(Master[[#This Row],[Inventory Type - Lookup Picker]]="","",Master[[#This Row],[Inventory Type - Lookup Picker]])</f>
        <v/>
      </c>
      <c r="F158" s="151" t="str">
        <f>Master[[#This Row],[Accession Prefix (NPGS)]]&amp;" "&amp;Master[[#This Row],[Accession Number -Assigned]]</f>
        <v xml:space="preserve"> </v>
      </c>
      <c r="G158" s="78" t="str">
        <f>IF(Master[[#This Row],[Inventory Maintenance Policy]]="","",Master[[#This Row],[Inventory Maintenance Policy]])</f>
        <v/>
      </c>
      <c r="H158" s="30" t="str">
        <f>IF(Master[[#This Row],[Inventory Maintenance Site -W6]]="","",Master[[#This Row],[Inventory Maintenance Site -W6]])</f>
        <v/>
      </c>
      <c r="I158" s="30" t="str">
        <f>IF(RIGHT(TEXT(Inventory[[#This Row],[Inventory Suffix]],"00"),2)="01","Y",IF(RIGHT(TEXT(Inventory[[#This Row],[Inventory Suffix]],"00"),2)="c1","Y",IF(RIGHT(TEXT(Inventory[[#This Row],[Inventory Suffix]],"00"),2)="m1","Y","N")))</f>
        <v>N</v>
      </c>
      <c r="J158" s="30" t="str">
        <f>IF(Inventory[[#This Row],[Inventory Type]]="SD","Y",IF(Inventory[[#This Row],[Inventory Type]]="LV","Y","N"))</f>
        <v>N</v>
      </c>
      <c r="K158" s="30" t="str">
        <f t="shared" si="21"/>
        <v>N</v>
      </c>
      <c r="L158" s="30" t="str">
        <f t="shared" si="18"/>
        <v>Original lot received</v>
      </c>
      <c r="M158" s="30" t="str">
        <f t="shared" si="19"/>
        <v>ORIG from SOS Project</v>
      </c>
      <c r="N158" s="80">
        <f>ROUNDDOWN(Master[[#This Row],[Quantity On Hand]],0)</f>
        <v>0</v>
      </c>
      <c r="O158" s="78" t="str">
        <f>IF(Master[[#This Row],[Quantity On Hand Units -''count'' or ''packet'']]="","",Master[[#This Row],[Quantity On Hand Units -''count'' or ''packet'']])</f>
        <v/>
      </c>
      <c r="P158" s="80" t="str">
        <f>IF(Master[[#This Row],[Inventory Type - Lookup Picker]]="","",Master[[#This Row],[Inventory Type - Lookup Picker]])</f>
        <v/>
      </c>
      <c r="Q158" s="45" t="str">
        <f t="shared" si="20"/>
        <v>Mike has</v>
      </c>
      <c r="R158" s="56" t="str">
        <f>IF(Master[[#This Row],[Latitude -decimal degrees]]="","",Master[[#This Row],[Latitude -decimal degrees]])</f>
        <v/>
      </c>
      <c r="S158" s="56" t="str">
        <f>IF(Master[[#This Row],[Longitude -decimal degrees]]="","",Master[[#This Row],[Longitude -decimal degrees]])</f>
        <v/>
      </c>
      <c r="T158" s="30" t="str">
        <f>IF(Master[[#This Row],[Parent Inventory]]="","",Master[[#This Row],[Parent Inventory]])</f>
        <v/>
      </c>
      <c r="U158" s="30" t="str">
        <f>IF(Master[[#This Row],[Hundred Seed Weight -gram]]="","",Master[[#This Row],[Hundred Seed Weight -gram]])</f>
        <v/>
      </c>
      <c r="V158" s="30" t="str">
        <f>IF(Master[[#This Row],[Note (Inventory)]]="","",Master[[#This Row],[Note (Inventory)]])</f>
        <v/>
      </c>
    </row>
    <row r="159" spans="1:22" x14ac:dyDescent="0.25">
      <c r="A159" s="30"/>
      <c r="B159" s="151" t="str">
        <f>IF(Master[[#This Row],[Inventory Prefix]]="","",Master[[#This Row],[Inventory Prefix]])</f>
        <v/>
      </c>
      <c r="C159" s="151" t="str">
        <f>IF(Master[[#This Row],[Inventory Number]]="","",Master[[#This Row],[Inventory Number]])</f>
        <v/>
      </c>
      <c r="D159" s="78" t="str">
        <f>IF(Master[[#This Row],[Inventory Suffix]]="","",Master[[#This Row],[Inventory Suffix]])</f>
        <v/>
      </c>
      <c r="E159" s="30" t="str">
        <f>IF(Master[[#This Row],[Inventory Type - Lookup Picker]]="","",Master[[#This Row],[Inventory Type - Lookup Picker]])</f>
        <v/>
      </c>
      <c r="F159" s="151" t="str">
        <f>Master[[#This Row],[Accession Prefix (NPGS)]]&amp;" "&amp;Master[[#This Row],[Accession Number -Assigned]]</f>
        <v xml:space="preserve"> </v>
      </c>
      <c r="G159" s="78" t="str">
        <f>IF(Master[[#This Row],[Inventory Maintenance Policy]]="","",Master[[#This Row],[Inventory Maintenance Policy]])</f>
        <v/>
      </c>
      <c r="H159" s="30" t="str">
        <f>IF(Master[[#This Row],[Inventory Maintenance Site -W6]]="","",Master[[#This Row],[Inventory Maintenance Site -W6]])</f>
        <v/>
      </c>
      <c r="I159" s="30" t="str">
        <f>IF(RIGHT(TEXT(Inventory[[#This Row],[Inventory Suffix]],"00"),2)="01","Y",IF(RIGHT(TEXT(Inventory[[#This Row],[Inventory Suffix]],"00"),2)="c1","Y",IF(RIGHT(TEXT(Inventory[[#This Row],[Inventory Suffix]],"00"),2)="m1","Y","N")))</f>
        <v>N</v>
      </c>
      <c r="J159" s="30" t="str">
        <f>IF(Inventory[[#This Row],[Inventory Type]]="SD","Y",IF(Inventory[[#This Row],[Inventory Type]]="LV","Y","N"))</f>
        <v>N</v>
      </c>
      <c r="K159" s="30" t="str">
        <f t="shared" si="21"/>
        <v>N</v>
      </c>
      <c r="L159" s="30" t="str">
        <f t="shared" si="18"/>
        <v>Original lot received</v>
      </c>
      <c r="M159" s="30" t="str">
        <f t="shared" si="19"/>
        <v>ORIG from SOS Project</v>
      </c>
      <c r="N159" s="80">
        <f>ROUNDDOWN(Master[[#This Row],[Quantity On Hand]],0)</f>
        <v>0</v>
      </c>
      <c r="O159" s="78" t="str">
        <f>IF(Master[[#This Row],[Quantity On Hand Units -''count'' or ''packet'']]="","",Master[[#This Row],[Quantity On Hand Units -''count'' or ''packet'']])</f>
        <v/>
      </c>
      <c r="P159" s="80" t="str">
        <f>IF(Master[[#This Row],[Inventory Type - Lookup Picker]]="","",Master[[#This Row],[Inventory Type - Lookup Picker]])</f>
        <v/>
      </c>
      <c r="Q159" s="45" t="str">
        <f t="shared" si="20"/>
        <v>Mike has</v>
      </c>
      <c r="R159" s="56" t="str">
        <f>IF(Master[[#This Row],[Latitude -decimal degrees]]="","",Master[[#This Row],[Latitude -decimal degrees]])</f>
        <v/>
      </c>
      <c r="S159" s="56" t="str">
        <f>IF(Master[[#This Row],[Longitude -decimal degrees]]="","",Master[[#This Row],[Longitude -decimal degrees]])</f>
        <v/>
      </c>
      <c r="T159" s="30" t="str">
        <f>IF(Master[[#This Row],[Parent Inventory]]="","",Master[[#This Row],[Parent Inventory]])</f>
        <v/>
      </c>
      <c r="U159" s="30" t="str">
        <f>IF(Master[[#This Row],[Hundred Seed Weight -gram]]="","",Master[[#This Row],[Hundred Seed Weight -gram]])</f>
        <v/>
      </c>
      <c r="V159" s="30" t="str">
        <f>IF(Master[[#This Row],[Note (Inventory)]]="","",Master[[#This Row],[Note (Inventory)]])</f>
        <v/>
      </c>
    </row>
    <row r="160" spans="1:22" x14ac:dyDescent="0.25">
      <c r="A160" s="30"/>
      <c r="B160" s="151" t="str">
        <f>IF(Master[[#This Row],[Inventory Prefix]]="","",Master[[#This Row],[Inventory Prefix]])</f>
        <v/>
      </c>
      <c r="C160" s="151" t="str">
        <f>IF(Master[[#This Row],[Inventory Number]]="","",Master[[#This Row],[Inventory Number]])</f>
        <v/>
      </c>
      <c r="D160" s="78" t="str">
        <f>IF(Master[[#This Row],[Inventory Suffix]]="","",Master[[#This Row],[Inventory Suffix]])</f>
        <v/>
      </c>
      <c r="E160" s="30" t="str">
        <f>IF(Master[[#This Row],[Inventory Type - Lookup Picker]]="","",Master[[#This Row],[Inventory Type - Lookup Picker]])</f>
        <v/>
      </c>
      <c r="F160" s="151" t="str">
        <f>Master[[#This Row],[Accession Prefix (NPGS)]]&amp;" "&amp;Master[[#This Row],[Accession Number -Assigned]]</f>
        <v xml:space="preserve"> </v>
      </c>
      <c r="G160" s="78" t="str">
        <f>IF(Master[[#This Row],[Inventory Maintenance Policy]]="","",Master[[#This Row],[Inventory Maintenance Policy]])</f>
        <v/>
      </c>
      <c r="H160" s="30" t="str">
        <f>IF(Master[[#This Row],[Inventory Maintenance Site -W6]]="","",Master[[#This Row],[Inventory Maintenance Site -W6]])</f>
        <v/>
      </c>
      <c r="I160" s="30" t="str">
        <f>IF(RIGHT(TEXT(Inventory[[#This Row],[Inventory Suffix]],"00"),2)="01","Y",IF(RIGHT(TEXT(Inventory[[#This Row],[Inventory Suffix]],"00"),2)="c1","Y",IF(RIGHT(TEXT(Inventory[[#This Row],[Inventory Suffix]],"00"),2)="m1","Y","N")))</f>
        <v>N</v>
      </c>
      <c r="J160" s="30" t="str">
        <f>IF(Inventory[[#This Row],[Inventory Type]]="SD","Y",IF(Inventory[[#This Row],[Inventory Type]]="LV","Y","N"))</f>
        <v>N</v>
      </c>
      <c r="K160" s="30" t="str">
        <f t="shared" si="21"/>
        <v>N</v>
      </c>
      <c r="L160" s="30" t="str">
        <f t="shared" si="18"/>
        <v>Original lot received</v>
      </c>
      <c r="M160" s="30" t="str">
        <f t="shared" si="19"/>
        <v>ORIG from SOS Project</v>
      </c>
      <c r="N160" s="80">
        <f>ROUNDDOWN(Master[[#This Row],[Quantity On Hand]],0)</f>
        <v>0</v>
      </c>
      <c r="O160" s="78" t="str">
        <f>IF(Master[[#This Row],[Quantity On Hand Units -''count'' or ''packet'']]="","",Master[[#This Row],[Quantity On Hand Units -''count'' or ''packet'']])</f>
        <v/>
      </c>
      <c r="P160" s="80" t="str">
        <f>IF(Master[[#This Row],[Inventory Type - Lookup Picker]]="","",Master[[#This Row],[Inventory Type - Lookup Picker]])</f>
        <v/>
      </c>
      <c r="Q160" s="45" t="str">
        <f t="shared" si="20"/>
        <v>Mike has</v>
      </c>
      <c r="R160" s="56" t="str">
        <f>IF(Master[[#This Row],[Latitude -decimal degrees]]="","",Master[[#This Row],[Latitude -decimal degrees]])</f>
        <v/>
      </c>
      <c r="S160" s="56" t="str">
        <f>IF(Master[[#This Row],[Longitude -decimal degrees]]="","",Master[[#This Row],[Longitude -decimal degrees]])</f>
        <v/>
      </c>
      <c r="T160" s="30" t="str">
        <f>IF(Master[[#This Row],[Parent Inventory]]="","",Master[[#This Row],[Parent Inventory]])</f>
        <v/>
      </c>
      <c r="U160" s="30" t="str">
        <f>IF(Master[[#This Row],[Hundred Seed Weight -gram]]="","",Master[[#This Row],[Hundred Seed Weight -gram]])</f>
        <v/>
      </c>
      <c r="V160" s="30" t="str">
        <f>IF(Master[[#This Row],[Note (Inventory)]]="","",Master[[#This Row],[Note (Inventory)]])</f>
        <v/>
      </c>
    </row>
    <row r="161" spans="1:22" x14ac:dyDescent="0.25">
      <c r="A161" s="30"/>
      <c r="B161" s="151" t="str">
        <f>IF(Master[[#This Row],[Inventory Prefix]]="","",Master[[#This Row],[Inventory Prefix]])</f>
        <v/>
      </c>
      <c r="C161" s="151" t="str">
        <f>IF(Master[[#This Row],[Inventory Number]]="","",Master[[#This Row],[Inventory Number]])</f>
        <v/>
      </c>
      <c r="D161" s="78" t="str">
        <f>IF(Master[[#This Row],[Inventory Suffix]]="","",Master[[#This Row],[Inventory Suffix]])</f>
        <v/>
      </c>
      <c r="E161" s="30" t="str">
        <f>IF(Master[[#This Row],[Inventory Type - Lookup Picker]]="","",Master[[#This Row],[Inventory Type - Lookup Picker]])</f>
        <v/>
      </c>
      <c r="F161" s="151" t="str">
        <f>Master[[#This Row],[Accession Prefix (NPGS)]]&amp;" "&amp;Master[[#This Row],[Accession Number -Assigned]]</f>
        <v xml:space="preserve"> </v>
      </c>
      <c r="G161" s="78" t="str">
        <f>IF(Master[[#This Row],[Inventory Maintenance Policy]]="","",Master[[#This Row],[Inventory Maintenance Policy]])</f>
        <v/>
      </c>
      <c r="H161" s="30" t="str">
        <f>IF(Master[[#This Row],[Inventory Maintenance Site -W6]]="","",Master[[#This Row],[Inventory Maintenance Site -W6]])</f>
        <v/>
      </c>
      <c r="I161" s="30" t="str">
        <f>IF(RIGHT(TEXT(Inventory[[#This Row],[Inventory Suffix]],"00"),2)="01","Y",IF(RIGHT(TEXT(Inventory[[#This Row],[Inventory Suffix]],"00"),2)="c1","Y",IF(RIGHT(TEXT(Inventory[[#This Row],[Inventory Suffix]],"00"),2)="m1","Y","N")))</f>
        <v>N</v>
      </c>
      <c r="J161" s="30" t="str">
        <f>IF(Inventory[[#This Row],[Inventory Type]]="SD","Y",IF(Inventory[[#This Row],[Inventory Type]]="LV","Y","N"))</f>
        <v>N</v>
      </c>
      <c r="K161" s="30" t="str">
        <f t="shared" si="21"/>
        <v>N</v>
      </c>
      <c r="L161" s="30" t="str">
        <f t="shared" si="18"/>
        <v>Original lot received</v>
      </c>
      <c r="M161" s="30" t="str">
        <f t="shared" si="19"/>
        <v>ORIG from SOS Project</v>
      </c>
      <c r="N161" s="80">
        <f>ROUNDDOWN(Master[[#This Row],[Quantity On Hand]],0)</f>
        <v>0</v>
      </c>
      <c r="O161" s="78" t="str">
        <f>IF(Master[[#This Row],[Quantity On Hand Units -''count'' or ''packet'']]="","",Master[[#This Row],[Quantity On Hand Units -''count'' or ''packet'']])</f>
        <v/>
      </c>
      <c r="P161" s="80" t="str">
        <f>IF(Master[[#This Row],[Inventory Type - Lookup Picker]]="","",Master[[#This Row],[Inventory Type - Lookup Picker]])</f>
        <v/>
      </c>
      <c r="Q161" s="45" t="str">
        <f t="shared" si="20"/>
        <v>Mike has</v>
      </c>
      <c r="R161" s="56" t="str">
        <f>IF(Master[[#This Row],[Latitude -decimal degrees]]="","",Master[[#This Row],[Latitude -decimal degrees]])</f>
        <v/>
      </c>
      <c r="S161" s="56" t="str">
        <f>IF(Master[[#This Row],[Longitude -decimal degrees]]="","",Master[[#This Row],[Longitude -decimal degrees]])</f>
        <v/>
      </c>
      <c r="T161" s="30" t="str">
        <f>IF(Master[[#This Row],[Parent Inventory]]="","",Master[[#This Row],[Parent Inventory]])</f>
        <v/>
      </c>
      <c r="U161" s="30" t="str">
        <f>IF(Master[[#This Row],[Hundred Seed Weight -gram]]="","",Master[[#This Row],[Hundred Seed Weight -gram]])</f>
        <v/>
      </c>
      <c r="V161" s="30" t="str">
        <f>IF(Master[[#This Row],[Note (Inventory)]]="","",Master[[#This Row],[Note (Inventory)]])</f>
        <v/>
      </c>
    </row>
    <row r="162" spans="1:22" x14ac:dyDescent="0.25">
      <c r="A162" s="30"/>
      <c r="B162" s="151" t="str">
        <f>IF(Master[[#This Row],[Inventory Prefix]]="","",Master[[#This Row],[Inventory Prefix]])</f>
        <v/>
      </c>
      <c r="C162" s="151" t="str">
        <f>IF(Master[[#This Row],[Inventory Number]]="","",Master[[#This Row],[Inventory Number]])</f>
        <v/>
      </c>
      <c r="D162" s="78" t="str">
        <f>IF(Master[[#This Row],[Inventory Suffix]]="","",Master[[#This Row],[Inventory Suffix]])</f>
        <v/>
      </c>
      <c r="E162" s="30" t="str">
        <f>IF(Master[[#This Row],[Inventory Type - Lookup Picker]]="","",Master[[#This Row],[Inventory Type - Lookup Picker]])</f>
        <v/>
      </c>
      <c r="F162" s="151" t="str">
        <f>Master[[#This Row],[Accession Prefix (NPGS)]]&amp;" "&amp;Master[[#This Row],[Accession Number -Assigned]]</f>
        <v xml:space="preserve"> </v>
      </c>
      <c r="G162" s="78" t="str">
        <f>IF(Master[[#This Row],[Inventory Maintenance Policy]]="","",Master[[#This Row],[Inventory Maintenance Policy]])</f>
        <v/>
      </c>
      <c r="H162" s="30" t="str">
        <f>IF(Master[[#This Row],[Inventory Maintenance Site -W6]]="","",Master[[#This Row],[Inventory Maintenance Site -W6]])</f>
        <v/>
      </c>
      <c r="I162" s="30" t="str">
        <f>IF(RIGHT(TEXT(Inventory[[#This Row],[Inventory Suffix]],"00"),2)="01","Y",IF(RIGHT(TEXT(Inventory[[#This Row],[Inventory Suffix]],"00"),2)="c1","Y",IF(RIGHT(TEXT(Inventory[[#This Row],[Inventory Suffix]],"00"),2)="m1","Y","N")))</f>
        <v>N</v>
      </c>
      <c r="J162" s="30" t="str">
        <f>IF(Inventory[[#This Row],[Inventory Type]]="SD","Y",IF(Inventory[[#This Row],[Inventory Type]]="LV","Y","N"))</f>
        <v>N</v>
      </c>
      <c r="K162" s="30" t="str">
        <f t="shared" si="21"/>
        <v>N</v>
      </c>
      <c r="L162" s="30" t="str">
        <f t="shared" ref="L162:L193" si="22">"Original lot received"</f>
        <v>Original lot received</v>
      </c>
      <c r="M162" s="30" t="str">
        <f t="shared" ref="M162:M193" si="23">"ORIG from SOS Project"</f>
        <v>ORIG from SOS Project</v>
      </c>
      <c r="N162" s="80">
        <f>ROUNDDOWN(Master[[#This Row],[Quantity On Hand]],0)</f>
        <v>0</v>
      </c>
      <c r="O162" s="78" t="str">
        <f>IF(Master[[#This Row],[Quantity On Hand Units -''count'' or ''packet'']]="","",Master[[#This Row],[Quantity On Hand Units -''count'' or ''packet'']])</f>
        <v/>
      </c>
      <c r="P162" s="80" t="str">
        <f>IF(Master[[#This Row],[Inventory Type - Lookup Picker]]="","",Master[[#This Row],[Inventory Type - Lookup Picker]])</f>
        <v/>
      </c>
      <c r="Q162" s="45" t="str">
        <f t="shared" ref="Q162:Q193" si="24">"Mike has"</f>
        <v>Mike has</v>
      </c>
      <c r="R162" s="56" t="str">
        <f>IF(Master[[#This Row],[Latitude -decimal degrees]]="","",Master[[#This Row],[Latitude -decimal degrees]])</f>
        <v/>
      </c>
      <c r="S162" s="56" t="str">
        <f>IF(Master[[#This Row],[Longitude -decimal degrees]]="","",Master[[#This Row],[Longitude -decimal degrees]])</f>
        <v/>
      </c>
      <c r="T162" s="30" t="str">
        <f>IF(Master[[#This Row],[Parent Inventory]]="","",Master[[#This Row],[Parent Inventory]])</f>
        <v/>
      </c>
      <c r="U162" s="30" t="str">
        <f>IF(Master[[#This Row],[Hundred Seed Weight -gram]]="","",Master[[#This Row],[Hundred Seed Weight -gram]])</f>
        <v/>
      </c>
      <c r="V162" s="30" t="str">
        <f>IF(Master[[#This Row],[Note (Inventory)]]="","",Master[[#This Row],[Note (Inventory)]])</f>
        <v/>
      </c>
    </row>
    <row r="163" spans="1:22" x14ac:dyDescent="0.25">
      <c r="A163" s="30"/>
      <c r="B163" s="151" t="str">
        <f>IF(Master[[#This Row],[Inventory Prefix]]="","",Master[[#This Row],[Inventory Prefix]])</f>
        <v/>
      </c>
      <c r="C163" s="151" t="str">
        <f>IF(Master[[#This Row],[Inventory Number]]="","",Master[[#This Row],[Inventory Number]])</f>
        <v/>
      </c>
      <c r="D163" s="78" t="str">
        <f>IF(Master[[#This Row],[Inventory Suffix]]="","",Master[[#This Row],[Inventory Suffix]])</f>
        <v/>
      </c>
      <c r="E163" s="30" t="str">
        <f>IF(Master[[#This Row],[Inventory Type - Lookup Picker]]="","",Master[[#This Row],[Inventory Type - Lookup Picker]])</f>
        <v/>
      </c>
      <c r="F163" s="151" t="str">
        <f>Master[[#This Row],[Accession Prefix (NPGS)]]&amp;" "&amp;Master[[#This Row],[Accession Number -Assigned]]</f>
        <v xml:space="preserve"> </v>
      </c>
      <c r="G163" s="78" t="str">
        <f>IF(Master[[#This Row],[Inventory Maintenance Policy]]="","",Master[[#This Row],[Inventory Maintenance Policy]])</f>
        <v/>
      </c>
      <c r="H163" s="30" t="str">
        <f>IF(Master[[#This Row],[Inventory Maintenance Site -W6]]="","",Master[[#This Row],[Inventory Maintenance Site -W6]])</f>
        <v/>
      </c>
      <c r="I163" s="30" t="str">
        <f>IF(RIGHT(TEXT(Inventory[[#This Row],[Inventory Suffix]],"00"),2)="01","Y",IF(RIGHT(TEXT(Inventory[[#This Row],[Inventory Suffix]],"00"),2)="c1","Y",IF(RIGHT(TEXT(Inventory[[#This Row],[Inventory Suffix]],"00"),2)="m1","Y","N")))</f>
        <v>N</v>
      </c>
      <c r="J163" s="30" t="str">
        <f>IF(Inventory[[#This Row],[Inventory Type]]="SD","Y",IF(Inventory[[#This Row],[Inventory Type]]="LV","Y","N"))</f>
        <v>N</v>
      </c>
      <c r="K163" s="30" t="str">
        <f t="shared" si="21"/>
        <v>N</v>
      </c>
      <c r="L163" s="30" t="str">
        <f t="shared" si="22"/>
        <v>Original lot received</v>
      </c>
      <c r="M163" s="30" t="str">
        <f t="shared" si="23"/>
        <v>ORIG from SOS Project</v>
      </c>
      <c r="N163" s="80">
        <f>ROUNDDOWN(Master[[#This Row],[Quantity On Hand]],0)</f>
        <v>0</v>
      </c>
      <c r="O163" s="78" t="str">
        <f>IF(Master[[#This Row],[Quantity On Hand Units -''count'' or ''packet'']]="","",Master[[#This Row],[Quantity On Hand Units -''count'' or ''packet'']])</f>
        <v/>
      </c>
      <c r="P163" s="80" t="str">
        <f>IF(Master[[#This Row],[Inventory Type - Lookup Picker]]="","",Master[[#This Row],[Inventory Type - Lookup Picker]])</f>
        <v/>
      </c>
      <c r="Q163" s="45" t="str">
        <f t="shared" si="24"/>
        <v>Mike has</v>
      </c>
      <c r="R163" s="56" t="str">
        <f>IF(Master[[#This Row],[Latitude -decimal degrees]]="","",Master[[#This Row],[Latitude -decimal degrees]])</f>
        <v/>
      </c>
      <c r="S163" s="56" t="str">
        <f>IF(Master[[#This Row],[Longitude -decimal degrees]]="","",Master[[#This Row],[Longitude -decimal degrees]])</f>
        <v/>
      </c>
      <c r="T163" s="30" t="str">
        <f>IF(Master[[#This Row],[Parent Inventory]]="","",Master[[#This Row],[Parent Inventory]])</f>
        <v/>
      </c>
      <c r="U163" s="30" t="str">
        <f>IF(Master[[#This Row],[Hundred Seed Weight -gram]]="","",Master[[#This Row],[Hundred Seed Weight -gram]])</f>
        <v/>
      </c>
      <c r="V163" s="30" t="str">
        <f>IF(Master[[#This Row],[Note (Inventory)]]="","",Master[[#This Row],[Note (Inventory)]])</f>
        <v/>
      </c>
    </row>
    <row r="164" spans="1:22" x14ac:dyDescent="0.25">
      <c r="A164" s="30"/>
      <c r="B164" s="151" t="str">
        <f>IF(Master[[#This Row],[Inventory Prefix]]="","",Master[[#This Row],[Inventory Prefix]])</f>
        <v/>
      </c>
      <c r="C164" s="151" t="str">
        <f>IF(Master[[#This Row],[Inventory Number]]="","",Master[[#This Row],[Inventory Number]])</f>
        <v/>
      </c>
      <c r="D164" s="78" t="str">
        <f>IF(Master[[#This Row],[Inventory Suffix]]="","",Master[[#This Row],[Inventory Suffix]])</f>
        <v/>
      </c>
      <c r="E164" s="30" t="str">
        <f>IF(Master[[#This Row],[Inventory Type - Lookup Picker]]="","",Master[[#This Row],[Inventory Type - Lookup Picker]])</f>
        <v/>
      </c>
      <c r="F164" s="151" t="str">
        <f>Master[[#This Row],[Accession Prefix (NPGS)]]&amp;" "&amp;Master[[#This Row],[Accession Number -Assigned]]</f>
        <v xml:space="preserve"> </v>
      </c>
      <c r="G164" s="78" t="str">
        <f>IF(Master[[#This Row],[Inventory Maintenance Policy]]="","",Master[[#This Row],[Inventory Maintenance Policy]])</f>
        <v/>
      </c>
      <c r="H164" s="30" t="str">
        <f>IF(Master[[#This Row],[Inventory Maintenance Site -W6]]="","",Master[[#This Row],[Inventory Maintenance Site -W6]])</f>
        <v/>
      </c>
      <c r="I164" s="30" t="str">
        <f>IF(RIGHT(TEXT(Inventory[[#This Row],[Inventory Suffix]],"00"),2)="01","Y",IF(RIGHT(TEXT(Inventory[[#This Row],[Inventory Suffix]],"00"),2)="c1","Y",IF(RIGHT(TEXT(Inventory[[#This Row],[Inventory Suffix]],"00"),2)="m1","Y","N")))</f>
        <v>N</v>
      </c>
      <c r="J164" s="30" t="str">
        <f>IF(Inventory[[#This Row],[Inventory Type]]="SD","Y",IF(Inventory[[#This Row],[Inventory Type]]="LV","Y","N"))</f>
        <v>N</v>
      </c>
      <c r="K164" s="30" t="str">
        <f t="shared" si="21"/>
        <v>N</v>
      </c>
      <c r="L164" s="30" t="str">
        <f t="shared" si="22"/>
        <v>Original lot received</v>
      </c>
      <c r="M164" s="30" t="str">
        <f t="shared" si="23"/>
        <v>ORIG from SOS Project</v>
      </c>
      <c r="N164" s="80">
        <f>ROUNDDOWN(Master[[#This Row],[Quantity On Hand]],0)</f>
        <v>0</v>
      </c>
      <c r="O164" s="78" t="str">
        <f>IF(Master[[#This Row],[Quantity On Hand Units -''count'' or ''packet'']]="","",Master[[#This Row],[Quantity On Hand Units -''count'' or ''packet'']])</f>
        <v/>
      </c>
      <c r="P164" s="80" t="str">
        <f>IF(Master[[#This Row],[Inventory Type - Lookup Picker]]="","",Master[[#This Row],[Inventory Type - Lookup Picker]])</f>
        <v/>
      </c>
      <c r="Q164" s="45" t="str">
        <f t="shared" si="24"/>
        <v>Mike has</v>
      </c>
      <c r="R164" s="56" t="str">
        <f>IF(Master[[#This Row],[Latitude -decimal degrees]]="","",Master[[#This Row],[Latitude -decimal degrees]])</f>
        <v/>
      </c>
      <c r="S164" s="56" t="str">
        <f>IF(Master[[#This Row],[Longitude -decimal degrees]]="","",Master[[#This Row],[Longitude -decimal degrees]])</f>
        <v/>
      </c>
      <c r="T164" s="30" t="str">
        <f>IF(Master[[#This Row],[Parent Inventory]]="","",Master[[#This Row],[Parent Inventory]])</f>
        <v/>
      </c>
      <c r="U164" s="30" t="str">
        <f>IF(Master[[#This Row],[Hundred Seed Weight -gram]]="","",Master[[#This Row],[Hundred Seed Weight -gram]])</f>
        <v/>
      </c>
      <c r="V164" s="30" t="str">
        <f>IF(Master[[#This Row],[Note (Inventory)]]="","",Master[[#This Row],[Note (Inventory)]])</f>
        <v/>
      </c>
    </row>
    <row r="165" spans="1:22" x14ac:dyDescent="0.25">
      <c r="A165" s="30"/>
      <c r="B165" s="151" t="str">
        <f>IF(Master[[#This Row],[Inventory Prefix]]="","",Master[[#This Row],[Inventory Prefix]])</f>
        <v/>
      </c>
      <c r="C165" s="151" t="str">
        <f>IF(Master[[#This Row],[Inventory Number]]="","",Master[[#This Row],[Inventory Number]])</f>
        <v/>
      </c>
      <c r="D165" s="78" t="str">
        <f>IF(Master[[#This Row],[Inventory Suffix]]="","",Master[[#This Row],[Inventory Suffix]])</f>
        <v/>
      </c>
      <c r="E165" s="30" t="str">
        <f>IF(Master[[#This Row],[Inventory Type - Lookup Picker]]="","",Master[[#This Row],[Inventory Type - Lookup Picker]])</f>
        <v/>
      </c>
      <c r="F165" s="151" t="str">
        <f>Master[[#This Row],[Accession Prefix (NPGS)]]&amp;" "&amp;Master[[#This Row],[Accession Number -Assigned]]</f>
        <v xml:space="preserve"> </v>
      </c>
      <c r="G165" s="78" t="str">
        <f>IF(Master[[#This Row],[Inventory Maintenance Policy]]="","",Master[[#This Row],[Inventory Maintenance Policy]])</f>
        <v/>
      </c>
      <c r="H165" s="30" t="str">
        <f>IF(Master[[#This Row],[Inventory Maintenance Site -W6]]="","",Master[[#This Row],[Inventory Maintenance Site -W6]])</f>
        <v/>
      </c>
      <c r="I165" s="30" t="str">
        <f>IF(RIGHT(TEXT(Inventory[[#This Row],[Inventory Suffix]],"00"),2)="01","Y",IF(RIGHT(TEXT(Inventory[[#This Row],[Inventory Suffix]],"00"),2)="c1","Y",IF(RIGHT(TEXT(Inventory[[#This Row],[Inventory Suffix]],"00"),2)="m1","Y","N")))</f>
        <v>N</v>
      </c>
      <c r="J165" s="30" t="str">
        <f>IF(Inventory[[#This Row],[Inventory Type]]="SD","Y",IF(Inventory[[#This Row],[Inventory Type]]="LV","Y","N"))</f>
        <v>N</v>
      </c>
      <c r="K165" s="30" t="str">
        <f t="shared" si="21"/>
        <v>N</v>
      </c>
      <c r="L165" s="30" t="str">
        <f t="shared" si="22"/>
        <v>Original lot received</v>
      </c>
      <c r="M165" s="30" t="str">
        <f t="shared" si="23"/>
        <v>ORIG from SOS Project</v>
      </c>
      <c r="N165" s="80">
        <f>ROUNDDOWN(Master[[#This Row],[Quantity On Hand]],0)</f>
        <v>0</v>
      </c>
      <c r="O165" s="78" t="str">
        <f>IF(Master[[#This Row],[Quantity On Hand Units -''count'' or ''packet'']]="","",Master[[#This Row],[Quantity On Hand Units -''count'' or ''packet'']])</f>
        <v/>
      </c>
      <c r="P165" s="80" t="str">
        <f>IF(Master[[#This Row],[Inventory Type - Lookup Picker]]="","",Master[[#This Row],[Inventory Type - Lookup Picker]])</f>
        <v/>
      </c>
      <c r="Q165" s="45" t="str">
        <f t="shared" si="24"/>
        <v>Mike has</v>
      </c>
      <c r="R165" s="56" t="str">
        <f>IF(Master[[#This Row],[Latitude -decimal degrees]]="","",Master[[#This Row],[Latitude -decimal degrees]])</f>
        <v/>
      </c>
      <c r="S165" s="56" t="str">
        <f>IF(Master[[#This Row],[Longitude -decimal degrees]]="","",Master[[#This Row],[Longitude -decimal degrees]])</f>
        <v/>
      </c>
      <c r="T165" s="30" t="str">
        <f>IF(Master[[#This Row],[Parent Inventory]]="","",Master[[#This Row],[Parent Inventory]])</f>
        <v/>
      </c>
      <c r="U165" s="30" t="str">
        <f>IF(Master[[#This Row],[Hundred Seed Weight -gram]]="","",Master[[#This Row],[Hundred Seed Weight -gram]])</f>
        <v/>
      </c>
      <c r="V165" s="30" t="str">
        <f>IF(Master[[#This Row],[Note (Inventory)]]="","",Master[[#This Row],[Note (Inventory)]])</f>
        <v/>
      </c>
    </row>
    <row r="166" spans="1:22" x14ac:dyDescent="0.25">
      <c r="A166" s="30"/>
      <c r="B166" s="151" t="str">
        <f>IF(Master[[#This Row],[Inventory Prefix]]="","",Master[[#This Row],[Inventory Prefix]])</f>
        <v/>
      </c>
      <c r="C166" s="151" t="str">
        <f>IF(Master[[#This Row],[Inventory Number]]="","",Master[[#This Row],[Inventory Number]])</f>
        <v/>
      </c>
      <c r="D166" s="78" t="str">
        <f>IF(Master[[#This Row],[Inventory Suffix]]="","",Master[[#This Row],[Inventory Suffix]])</f>
        <v/>
      </c>
      <c r="E166" s="30" t="str">
        <f>IF(Master[[#This Row],[Inventory Type - Lookup Picker]]="","",Master[[#This Row],[Inventory Type - Lookup Picker]])</f>
        <v/>
      </c>
      <c r="F166" s="151" t="str">
        <f>Master[[#This Row],[Accession Prefix (NPGS)]]&amp;" "&amp;Master[[#This Row],[Accession Number -Assigned]]</f>
        <v xml:space="preserve"> </v>
      </c>
      <c r="G166" s="78" t="str">
        <f>IF(Master[[#This Row],[Inventory Maintenance Policy]]="","",Master[[#This Row],[Inventory Maintenance Policy]])</f>
        <v/>
      </c>
      <c r="H166" s="30" t="str">
        <f>IF(Master[[#This Row],[Inventory Maintenance Site -W6]]="","",Master[[#This Row],[Inventory Maintenance Site -W6]])</f>
        <v/>
      </c>
      <c r="I166" s="30" t="str">
        <f>IF(RIGHT(TEXT(Inventory[[#This Row],[Inventory Suffix]],"00"),2)="01","Y",IF(RIGHT(TEXT(Inventory[[#This Row],[Inventory Suffix]],"00"),2)="c1","Y",IF(RIGHT(TEXT(Inventory[[#This Row],[Inventory Suffix]],"00"),2)="m1","Y","N")))</f>
        <v>N</v>
      </c>
      <c r="J166" s="30" t="str">
        <f>IF(Inventory[[#This Row],[Inventory Type]]="SD","Y",IF(Inventory[[#This Row],[Inventory Type]]="LV","Y","N"))</f>
        <v>N</v>
      </c>
      <c r="K166" s="30" t="str">
        <f t="shared" si="21"/>
        <v>N</v>
      </c>
      <c r="L166" s="30" t="str">
        <f t="shared" si="22"/>
        <v>Original lot received</v>
      </c>
      <c r="M166" s="30" t="str">
        <f t="shared" si="23"/>
        <v>ORIG from SOS Project</v>
      </c>
      <c r="N166" s="80">
        <f>ROUNDDOWN(Master[[#This Row],[Quantity On Hand]],0)</f>
        <v>0</v>
      </c>
      <c r="O166" s="78" t="str">
        <f>IF(Master[[#This Row],[Quantity On Hand Units -''count'' or ''packet'']]="","",Master[[#This Row],[Quantity On Hand Units -''count'' or ''packet'']])</f>
        <v/>
      </c>
      <c r="P166" s="80" t="str">
        <f>IF(Master[[#This Row],[Inventory Type - Lookup Picker]]="","",Master[[#This Row],[Inventory Type - Lookup Picker]])</f>
        <v/>
      </c>
      <c r="Q166" s="45" t="str">
        <f t="shared" si="24"/>
        <v>Mike has</v>
      </c>
      <c r="R166" s="56" t="str">
        <f>IF(Master[[#This Row],[Latitude -decimal degrees]]="","",Master[[#This Row],[Latitude -decimal degrees]])</f>
        <v/>
      </c>
      <c r="S166" s="56" t="str">
        <f>IF(Master[[#This Row],[Longitude -decimal degrees]]="","",Master[[#This Row],[Longitude -decimal degrees]])</f>
        <v/>
      </c>
      <c r="T166" s="30" t="str">
        <f>IF(Master[[#This Row],[Parent Inventory]]="","",Master[[#This Row],[Parent Inventory]])</f>
        <v/>
      </c>
      <c r="U166" s="30" t="str">
        <f>IF(Master[[#This Row],[Hundred Seed Weight -gram]]="","",Master[[#This Row],[Hundred Seed Weight -gram]])</f>
        <v/>
      </c>
      <c r="V166" s="30" t="str">
        <f>IF(Master[[#This Row],[Note (Inventory)]]="","",Master[[#This Row],[Note (Inventory)]])</f>
        <v/>
      </c>
    </row>
    <row r="167" spans="1:22" x14ac:dyDescent="0.25">
      <c r="A167" s="30"/>
      <c r="B167" s="151" t="str">
        <f>IF(Master[[#This Row],[Inventory Prefix]]="","",Master[[#This Row],[Inventory Prefix]])</f>
        <v/>
      </c>
      <c r="C167" s="151" t="str">
        <f>IF(Master[[#This Row],[Inventory Number]]="","",Master[[#This Row],[Inventory Number]])</f>
        <v/>
      </c>
      <c r="D167" s="78" t="str">
        <f>IF(Master[[#This Row],[Inventory Suffix]]="","",Master[[#This Row],[Inventory Suffix]])</f>
        <v/>
      </c>
      <c r="E167" s="30" t="str">
        <f>IF(Master[[#This Row],[Inventory Type - Lookup Picker]]="","",Master[[#This Row],[Inventory Type - Lookup Picker]])</f>
        <v/>
      </c>
      <c r="F167" s="151" t="str">
        <f>Master[[#This Row],[Accession Prefix (NPGS)]]&amp;" "&amp;Master[[#This Row],[Accession Number -Assigned]]</f>
        <v xml:space="preserve"> </v>
      </c>
      <c r="G167" s="78" t="str">
        <f>IF(Master[[#This Row],[Inventory Maintenance Policy]]="","",Master[[#This Row],[Inventory Maintenance Policy]])</f>
        <v/>
      </c>
      <c r="H167" s="30" t="str">
        <f>IF(Master[[#This Row],[Inventory Maintenance Site -W6]]="","",Master[[#This Row],[Inventory Maintenance Site -W6]])</f>
        <v/>
      </c>
      <c r="I167" s="30" t="str">
        <f>IF(RIGHT(TEXT(Inventory[[#This Row],[Inventory Suffix]],"00"),2)="01","Y",IF(RIGHT(TEXT(Inventory[[#This Row],[Inventory Suffix]],"00"),2)="c1","Y",IF(RIGHT(TEXT(Inventory[[#This Row],[Inventory Suffix]],"00"),2)="m1","Y","N")))</f>
        <v>N</v>
      </c>
      <c r="J167" s="30" t="str">
        <f>IF(Inventory[[#This Row],[Inventory Type]]="SD","Y",IF(Inventory[[#This Row],[Inventory Type]]="LV","Y","N"))</f>
        <v>N</v>
      </c>
      <c r="K167" s="30" t="str">
        <f t="shared" si="21"/>
        <v>N</v>
      </c>
      <c r="L167" s="30" t="str">
        <f t="shared" si="22"/>
        <v>Original lot received</v>
      </c>
      <c r="M167" s="30" t="str">
        <f t="shared" si="23"/>
        <v>ORIG from SOS Project</v>
      </c>
      <c r="N167" s="80">
        <f>ROUNDDOWN(Master[[#This Row],[Quantity On Hand]],0)</f>
        <v>0</v>
      </c>
      <c r="O167" s="78" t="str">
        <f>IF(Master[[#This Row],[Quantity On Hand Units -''count'' or ''packet'']]="","",Master[[#This Row],[Quantity On Hand Units -''count'' or ''packet'']])</f>
        <v/>
      </c>
      <c r="P167" s="80" t="str">
        <f>IF(Master[[#This Row],[Inventory Type - Lookup Picker]]="","",Master[[#This Row],[Inventory Type - Lookup Picker]])</f>
        <v/>
      </c>
      <c r="Q167" s="45" t="str">
        <f t="shared" si="24"/>
        <v>Mike has</v>
      </c>
      <c r="R167" s="56" t="str">
        <f>IF(Master[[#This Row],[Latitude -decimal degrees]]="","",Master[[#This Row],[Latitude -decimal degrees]])</f>
        <v/>
      </c>
      <c r="S167" s="56" t="str">
        <f>IF(Master[[#This Row],[Longitude -decimal degrees]]="","",Master[[#This Row],[Longitude -decimal degrees]])</f>
        <v/>
      </c>
      <c r="T167" s="30" t="str">
        <f>IF(Master[[#This Row],[Parent Inventory]]="","",Master[[#This Row],[Parent Inventory]])</f>
        <v/>
      </c>
      <c r="U167" s="30" t="str">
        <f>IF(Master[[#This Row],[Hundred Seed Weight -gram]]="","",Master[[#This Row],[Hundred Seed Weight -gram]])</f>
        <v/>
      </c>
      <c r="V167" s="30" t="str">
        <f>IF(Master[[#This Row],[Note (Inventory)]]="","",Master[[#This Row],[Note (Inventory)]])</f>
        <v/>
      </c>
    </row>
    <row r="168" spans="1:22" x14ac:dyDescent="0.25">
      <c r="A168" s="30"/>
      <c r="B168" s="151" t="str">
        <f>IF(Master[[#This Row],[Inventory Prefix]]="","",Master[[#This Row],[Inventory Prefix]])</f>
        <v/>
      </c>
      <c r="C168" s="151" t="str">
        <f>IF(Master[[#This Row],[Inventory Number]]="","",Master[[#This Row],[Inventory Number]])</f>
        <v/>
      </c>
      <c r="D168" s="78" t="str">
        <f>IF(Master[[#This Row],[Inventory Suffix]]="","",Master[[#This Row],[Inventory Suffix]])</f>
        <v/>
      </c>
      <c r="E168" s="30" t="str">
        <f>IF(Master[[#This Row],[Inventory Type - Lookup Picker]]="","",Master[[#This Row],[Inventory Type - Lookup Picker]])</f>
        <v/>
      </c>
      <c r="F168" s="151" t="str">
        <f>Master[[#This Row],[Accession Prefix (NPGS)]]&amp;" "&amp;Master[[#This Row],[Accession Number -Assigned]]</f>
        <v xml:space="preserve"> </v>
      </c>
      <c r="G168" s="78" t="str">
        <f>IF(Master[[#This Row],[Inventory Maintenance Policy]]="","",Master[[#This Row],[Inventory Maintenance Policy]])</f>
        <v/>
      </c>
      <c r="H168" s="30" t="str">
        <f>IF(Master[[#This Row],[Inventory Maintenance Site -W6]]="","",Master[[#This Row],[Inventory Maintenance Site -W6]])</f>
        <v/>
      </c>
      <c r="I168" s="30" t="str">
        <f>IF(RIGHT(TEXT(Inventory[[#This Row],[Inventory Suffix]],"00"),2)="01","Y",IF(RIGHT(TEXT(Inventory[[#This Row],[Inventory Suffix]],"00"),2)="c1","Y",IF(RIGHT(TEXT(Inventory[[#This Row],[Inventory Suffix]],"00"),2)="m1","Y","N")))</f>
        <v>N</v>
      </c>
      <c r="J168" s="30" t="str">
        <f>IF(Inventory[[#This Row],[Inventory Type]]="SD","Y",IF(Inventory[[#This Row],[Inventory Type]]="LV","Y","N"))</f>
        <v>N</v>
      </c>
      <c r="K168" s="30" t="str">
        <f t="shared" si="21"/>
        <v>N</v>
      </c>
      <c r="L168" s="30" t="str">
        <f t="shared" si="22"/>
        <v>Original lot received</v>
      </c>
      <c r="M168" s="30" t="str">
        <f t="shared" si="23"/>
        <v>ORIG from SOS Project</v>
      </c>
      <c r="N168" s="80">
        <f>ROUNDDOWN(Master[[#This Row],[Quantity On Hand]],0)</f>
        <v>0</v>
      </c>
      <c r="O168" s="78" t="str">
        <f>IF(Master[[#This Row],[Quantity On Hand Units -''count'' or ''packet'']]="","",Master[[#This Row],[Quantity On Hand Units -''count'' or ''packet'']])</f>
        <v/>
      </c>
      <c r="P168" s="80" t="str">
        <f>IF(Master[[#This Row],[Inventory Type - Lookup Picker]]="","",Master[[#This Row],[Inventory Type - Lookup Picker]])</f>
        <v/>
      </c>
      <c r="Q168" s="45" t="str">
        <f t="shared" si="24"/>
        <v>Mike has</v>
      </c>
      <c r="R168" s="56" t="str">
        <f>IF(Master[[#This Row],[Latitude -decimal degrees]]="","",Master[[#This Row],[Latitude -decimal degrees]])</f>
        <v/>
      </c>
      <c r="S168" s="56" t="str">
        <f>IF(Master[[#This Row],[Longitude -decimal degrees]]="","",Master[[#This Row],[Longitude -decimal degrees]])</f>
        <v/>
      </c>
      <c r="T168" s="30" t="str">
        <f>IF(Master[[#This Row],[Parent Inventory]]="","",Master[[#This Row],[Parent Inventory]])</f>
        <v/>
      </c>
      <c r="U168" s="30" t="str">
        <f>IF(Master[[#This Row],[Hundred Seed Weight -gram]]="","",Master[[#This Row],[Hundred Seed Weight -gram]])</f>
        <v/>
      </c>
      <c r="V168" s="30" t="str">
        <f>IF(Master[[#This Row],[Note (Inventory)]]="","",Master[[#This Row],[Note (Inventory)]])</f>
        <v/>
      </c>
    </row>
    <row r="169" spans="1:22" x14ac:dyDescent="0.25">
      <c r="A169" s="30"/>
      <c r="B169" s="151" t="str">
        <f>IF(Master[[#This Row],[Inventory Prefix]]="","",Master[[#This Row],[Inventory Prefix]])</f>
        <v/>
      </c>
      <c r="C169" s="151" t="str">
        <f>IF(Master[[#This Row],[Inventory Number]]="","",Master[[#This Row],[Inventory Number]])</f>
        <v/>
      </c>
      <c r="D169" s="78" t="str">
        <f>IF(Master[[#This Row],[Inventory Suffix]]="","",Master[[#This Row],[Inventory Suffix]])</f>
        <v/>
      </c>
      <c r="E169" s="30" t="str">
        <f>IF(Master[[#This Row],[Inventory Type - Lookup Picker]]="","",Master[[#This Row],[Inventory Type - Lookup Picker]])</f>
        <v/>
      </c>
      <c r="F169" s="151" t="str">
        <f>Master[[#This Row],[Accession Prefix (NPGS)]]&amp;" "&amp;Master[[#This Row],[Accession Number -Assigned]]</f>
        <v xml:space="preserve"> </v>
      </c>
      <c r="G169" s="78" t="str">
        <f>IF(Master[[#This Row],[Inventory Maintenance Policy]]="","",Master[[#This Row],[Inventory Maintenance Policy]])</f>
        <v/>
      </c>
      <c r="H169" s="30" t="str">
        <f>IF(Master[[#This Row],[Inventory Maintenance Site -W6]]="","",Master[[#This Row],[Inventory Maintenance Site -W6]])</f>
        <v/>
      </c>
      <c r="I169" s="30" t="str">
        <f>IF(RIGHT(TEXT(Inventory[[#This Row],[Inventory Suffix]],"00"),2)="01","Y",IF(RIGHT(TEXT(Inventory[[#This Row],[Inventory Suffix]],"00"),2)="c1","Y",IF(RIGHT(TEXT(Inventory[[#This Row],[Inventory Suffix]],"00"),2)="m1","Y","N")))</f>
        <v>N</v>
      </c>
      <c r="J169" s="30" t="str">
        <f>IF(Inventory[[#This Row],[Inventory Type]]="SD","Y",IF(Inventory[[#This Row],[Inventory Type]]="LV","Y","N"))</f>
        <v>N</v>
      </c>
      <c r="K169" s="30" t="str">
        <f t="shared" si="21"/>
        <v>N</v>
      </c>
      <c r="L169" s="30" t="str">
        <f t="shared" si="22"/>
        <v>Original lot received</v>
      </c>
      <c r="M169" s="30" t="str">
        <f t="shared" si="23"/>
        <v>ORIG from SOS Project</v>
      </c>
      <c r="N169" s="80">
        <f>ROUNDDOWN(Master[[#This Row],[Quantity On Hand]],0)</f>
        <v>0</v>
      </c>
      <c r="O169" s="78" t="str">
        <f>IF(Master[[#This Row],[Quantity On Hand Units -''count'' or ''packet'']]="","",Master[[#This Row],[Quantity On Hand Units -''count'' or ''packet'']])</f>
        <v/>
      </c>
      <c r="P169" s="80" t="str">
        <f>IF(Master[[#This Row],[Inventory Type - Lookup Picker]]="","",Master[[#This Row],[Inventory Type - Lookup Picker]])</f>
        <v/>
      </c>
      <c r="Q169" s="45" t="str">
        <f t="shared" si="24"/>
        <v>Mike has</v>
      </c>
      <c r="R169" s="56" t="str">
        <f>IF(Master[[#This Row],[Latitude -decimal degrees]]="","",Master[[#This Row],[Latitude -decimal degrees]])</f>
        <v/>
      </c>
      <c r="S169" s="56" t="str">
        <f>IF(Master[[#This Row],[Longitude -decimal degrees]]="","",Master[[#This Row],[Longitude -decimal degrees]])</f>
        <v/>
      </c>
      <c r="T169" s="30" t="str">
        <f>IF(Master[[#This Row],[Parent Inventory]]="","",Master[[#This Row],[Parent Inventory]])</f>
        <v/>
      </c>
      <c r="U169" s="30" t="str">
        <f>IF(Master[[#This Row],[Hundred Seed Weight -gram]]="","",Master[[#This Row],[Hundred Seed Weight -gram]])</f>
        <v/>
      </c>
      <c r="V169" s="30" t="str">
        <f>IF(Master[[#This Row],[Note (Inventory)]]="","",Master[[#This Row],[Note (Inventory)]])</f>
        <v/>
      </c>
    </row>
    <row r="170" spans="1:22" x14ac:dyDescent="0.25">
      <c r="A170" s="30"/>
      <c r="B170" s="151" t="str">
        <f>IF(Master[[#This Row],[Inventory Prefix]]="","",Master[[#This Row],[Inventory Prefix]])</f>
        <v/>
      </c>
      <c r="C170" s="151" t="str">
        <f>IF(Master[[#This Row],[Inventory Number]]="","",Master[[#This Row],[Inventory Number]])</f>
        <v/>
      </c>
      <c r="D170" s="78" t="str">
        <f>IF(Master[[#This Row],[Inventory Suffix]]="","",Master[[#This Row],[Inventory Suffix]])</f>
        <v/>
      </c>
      <c r="E170" s="30" t="str">
        <f>IF(Master[[#This Row],[Inventory Type - Lookup Picker]]="","",Master[[#This Row],[Inventory Type - Lookup Picker]])</f>
        <v/>
      </c>
      <c r="F170" s="151" t="str">
        <f>Master[[#This Row],[Accession Prefix (NPGS)]]&amp;" "&amp;Master[[#This Row],[Accession Number -Assigned]]</f>
        <v xml:space="preserve"> </v>
      </c>
      <c r="G170" s="78" t="str">
        <f>IF(Master[[#This Row],[Inventory Maintenance Policy]]="","",Master[[#This Row],[Inventory Maintenance Policy]])</f>
        <v/>
      </c>
      <c r="H170" s="30" t="str">
        <f>IF(Master[[#This Row],[Inventory Maintenance Site -W6]]="","",Master[[#This Row],[Inventory Maintenance Site -W6]])</f>
        <v/>
      </c>
      <c r="I170" s="30" t="str">
        <f>IF(RIGHT(TEXT(Inventory[[#This Row],[Inventory Suffix]],"00"),2)="01","Y",IF(RIGHT(TEXT(Inventory[[#This Row],[Inventory Suffix]],"00"),2)="c1","Y",IF(RIGHT(TEXT(Inventory[[#This Row],[Inventory Suffix]],"00"),2)="m1","Y","N")))</f>
        <v>N</v>
      </c>
      <c r="J170" s="30" t="str">
        <f>IF(Inventory[[#This Row],[Inventory Type]]="SD","Y",IF(Inventory[[#This Row],[Inventory Type]]="LV","Y","N"))</f>
        <v>N</v>
      </c>
      <c r="K170" s="30" t="str">
        <f t="shared" si="21"/>
        <v>N</v>
      </c>
      <c r="L170" s="30" t="str">
        <f t="shared" si="22"/>
        <v>Original lot received</v>
      </c>
      <c r="M170" s="30" t="str">
        <f t="shared" si="23"/>
        <v>ORIG from SOS Project</v>
      </c>
      <c r="N170" s="80">
        <f>ROUNDDOWN(Master[[#This Row],[Quantity On Hand]],0)</f>
        <v>0</v>
      </c>
      <c r="O170" s="78" t="str">
        <f>IF(Master[[#This Row],[Quantity On Hand Units -''count'' or ''packet'']]="","",Master[[#This Row],[Quantity On Hand Units -''count'' or ''packet'']])</f>
        <v/>
      </c>
      <c r="P170" s="80" t="str">
        <f>IF(Master[[#This Row],[Inventory Type - Lookup Picker]]="","",Master[[#This Row],[Inventory Type - Lookup Picker]])</f>
        <v/>
      </c>
      <c r="Q170" s="45" t="str">
        <f t="shared" si="24"/>
        <v>Mike has</v>
      </c>
      <c r="R170" s="56" t="str">
        <f>IF(Master[[#This Row],[Latitude -decimal degrees]]="","",Master[[#This Row],[Latitude -decimal degrees]])</f>
        <v/>
      </c>
      <c r="S170" s="56" t="str">
        <f>IF(Master[[#This Row],[Longitude -decimal degrees]]="","",Master[[#This Row],[Longitude -decimal degrees]])</f>
        <v/>
      </c>
      <c r="T170" s="30" t="str">
        <f>IF(Master[[#This Row],[Parent Inventory]]="","",Master[[#This Row],[Parent Inventory]])</f>
        <v/>
      </c>
      <c r="U170" s="30" t="str">
        <f>IF(Master[[#This Row],[Hundred Seed Weight -gram]]="","",Master[[#This Row],[Hundred Seed Weight -gram]])</f>
        <v/>
      </c>
      <c r="V170" s="30" t="str">
        <f>IF(Master[[#This Row],[Note (Inventory)]]="","",Master[[#This Row],[Note (Inventory)]])</f>
        <v/>
      </c>
    </row>
    <row r="171" spans="1:22" x14ac:dyDescent="0.25">
      <c r="A171" s="30"/>
      <c r="B171" s="151" t="str">
        <f>IF(Master[[#This Row],[Inventory Prefix]]="","",Master[[#This Row],[Inventory Prefix]])</f>
        <v/>
      </c>
      <c r="C171" s="151" t="str">
        <f>IF(Master[[#This Row],[Inventory Number]]="","",Master[[#This Row],[Inventory Number]])</f>
        <v/>
      </c>
      <c r="D171" s="78" t="str">
        <f>IF(Master[[#This Row],[Inventory Suffix]]="","",Master[[#This Row],[Inventory Suffix]])</f>
        <v/>
      </c>
      <c r="E171" s="30" t="str">
        <f>IF(Master[[#This Row],[Inventory Type - Lookup Picker]]="","",Master[[#This Row],[Inventory Type - Lookup Picker]])</f>
        <v/>
      </c>
      <c r="F171" s="151" t="str">
        <f>Master[[#This Row],[Accession Prefix (NPGS)]]&amp;" "&amp;Master[[#This Row],[Accession Number -Assigned]]</f>
        <v xml:space="preserve"> </v>
      </c>
      <c r="G171" s="78" t="str">
        <f>IF(Master[[#This Row],[Inventory Maintenance Policy]]="","",Master[[#This Row],[Inventory Maintenance Policy]])</f>
        <v/>
      </c>
      <c r="H171" s="30" t="str">
        <f>IF(Master[[#This Row],[Inventory Maintenance Site -W6]]="","",Master[[#This Row],[Inventory Maintenance Site -W6]])</f>
        <v/>
      </c>
      <c r="I171" s="30" t="str">
        <f>IF(RIGHT(TEXT(Inventory[[#This Row],[Inventory Suffix]],"00"),2)="01","Y",IF(RIGHT(TEXT(Inventory[[#This Row],[Inventory Suffix]],"00"),2)="c1","Y",IF(RIGHT(TEXT(Inventory[[#This Row],[Inventory Suffix]],"00"),2)="m1","Y","N")))</f>
        <v>N</v>
      </c>
      <c r="J171" s="30" t="str">
        <f>IF(Inventory[[#This Row],[Inventory Type]]="SD","Y",IF(Inventory[[#This Row],[Inventory Type]]="LV","Y","N"))</f>
        <v>N</v>
      </c>
      <c r="K171" s="30" t="str">
        <f t="shared" si="21"/>
        <v>N</v>
      </c>
      <c r="L171" s="30" t="str">
        <f t="shared" si="22"/>
        <v>Original lot received</v>
      </c>
      <c r="M171" s="30" t="str">
        <f t="shared" si="23"/>
        <v>ORIG from SOS Project</v>
      </c>
      <c r="N171" s="80">
        <f>ROUNDDOWN(Master[[#This Row],[Quantity On Hand]],0)</f>
        <v>0</v>
      </c>
      <c r="O171" s="78" t="str">
        <f>IF(Master[[#This Row],[Quantity On Hand Units -''count'' or ''packet'']]="","",Master[[#This Row],[Quantity On Hand Units -''count'' or ''packet'']])</f>
        <v/>
      </c>
      <c r="P171" s="80" t="str">
        <f>IF(Master[[#This Row],[Inventory Type - Lookup Picker]]="","",Master[[#This Row],[Inventory Type - Lookup Picker]])</f>
        <v/>
      </c>
      <c r="Q171" s="45" t="str">
        <f t="shared" si="24"/>
        <v>Mike has</v>
      </c>
      <c r="R171" s="56" t="str">
        <f>IF(Master[[#This Row],[Latitude -decimal degrees]]="","",Master[[#This Row],[Latitude -decimal degrees]])</f>
        <v/>
      </c>
      <c r="S171" s="56" t="str">
        <f>IF(Master[[#This Row],[Longitude -decimal degrees]]="","",Master[[#This Row],[Longitude -decimal degrees]])</f>
        <v/>
      </c>
      <c r="T171" s="30" t="str">
        <f>IF(Master[[#This Row],[Parent Inventory]]="","",Master[[#This Row],[Parent Inventory]])</f>
        <v/>
      </c>
      <c r="U171" s="30" t="str">
        <f>IF(Master[[#This Row],[Hundred Seed Weight -gram]]="","",Master[[#This Row],[Hundred Seed Weight -gram]])</f>
        <v/>
      </c>
      <c r="V171" s="30" t="str">
        <f>IF(Master[[#This Row],[Note (Inventory)]]="","",Master[[#This Row],[Note (Inventory)]])</f>
        <v/>
      </c>
    </row>
    <row r="172" spans="1:22" x14ac:dyDescent="0.25">
      <c r="A172" s="30"/>
      <c r="B172" s="151" t="str">
        <f>IF(Master[[#This Row],[Inventory Prefix]]="","",Master[[#This Row],[Inventory Prefix]])</f>
        <v/>
      </c>
      <c r="C172" s="151" t="str">
        <f>IF(Master[[#This Row],[Inventory Number]]="","",Master[[#This Row],[Inventory Number]])</f>
        <v/>
      </c>
      <c r="D172" s="78" t="str">
        <f>IF(Master[[#This Row],[Inventory Suffix]]="","",Master[[#This Row],[Inventory Suffix]])</f>
        <v/>
      </c>
      <c r="E172" s="30" t="str">
        <f>IF(Master[[#This Row],[Inventory Type - Lookup Picker]]="","",Master[[#This Row],[Inventory Type - Lookup Picker]])</f>
        <v/>
      </c>
      <c r="F172" s="151" t="str">
        <f>Master[[#This Row],[Accession Prefix (NPGS)]]&amp;" "&amp;Master[[#This Row],[Accession Number -Assigned]]</f>
        <v xml:space="preserve"> </v>
      </c>
      <c r="G172" s="78" t="str">
        <f>IF(Master[[#This Row],[Inventory Maintenance Policy]]="","",Master[[#This Row],[Inventory Maintenance Policy]])</f>
        <v/>
      </c>
      <c r="H172" s="30" t="str">
        <f>IF(Master[[#This Row],[Inventory Maintenance Site -W6]]="","",Master[[#This Row],[Inventory Maintenance Site -W6]])</f>
        <v/>
      </c>
      <c r="I172" s="30" t="str">
        <f>IF(RIGHT(TEXT(Inventory[[#This Row],[Inventory Suffix]],"00"),2)="01","Y",IF(RIGHT(TEXT(Inventory[[#This Row],[Inventory Suffix]],"00"),2)="c1","Y",IF(RIGHT(TEXT(Inventory[[#This Row],[Inventory Suffix]],"00"),2)="m1","Y","N")))</f>
        <v>N</v>
      </c>
      <c r="J172" s="30" t="str">
        <f>IF(Inventory[[#This Row],[Inventory Type]]="SD","Y",IF(Inventory[[#This Row],[Inventory Type]]="LV","Y","N"))</f>
        <v>N</v>
      </c>
      <c r="K172" s="30" t="str">
        <f t="shared" si="21"/>
        <v>N</v>
      </c>
      <c r="L172" s="30" t="str">
        <f t="shared" si="22"/>
        <v>Original lot received</v>
      </c>
      <c r="M172" s="30" t="str">
        <f t="shared" si="23"/>
        <v>ORIG from SOS Project</v>
      </c>
      <c r="N172" s="80">
        <f>ROUNDDOWN(Master[[#This Row],[Quantity On Hand]],0)</f>
        <v>0</v>
      </c>
      <c r="O172" s="78" t="str">
        <f>IF(Master[[#This Row],[Quantity On Hand Units -''count'' or ''packet'']]="","",Master[[#This Row],[Quantity On Hand Units -''count'' or ''packet'']])</f>
        <v/>
      </c>
      <c r="P172" s="80" t="str">
        <f>IF(Master[[#This Row],[Inventory Type - Lookup Picker]]="","",Master[[#This Row],[Inventory Type - Lookup Picker]])</f>
        <v/>
      </c>
      <c r="Q172" s="45" t="str">
        <f t="shared" si="24"/>
        <v>Mike has</v>
      </c>
      <c r="R172" s="56" t="str">
        <f>IF(Master[[#This Row],[Latitude -decimal degrees]]="","",Master[[#This Row],[Latitude -decimal degrees]])</f>
        <v/>
      </c>
      <c r="S172" s="56" t="str">
        <f>IF(Master[[#This Row],[Longitude -decimal degrees]]="","",Master[[#This Row],[Longitude -decimal degrees]])</f>
        <v/>
      </c>
      <c r="T172" s="30" t="str">
        <f>IF(Master[[#This Row],[Parent Inventory]]="","",Master[[#This Row],[Parent Inventory]])</f>
        <v/>
      </c>
      <c r="U172" s="30" t="str">
        <f>IF(Master[[#This Row],[Hundred Seed Weight -gram]]="","",Master[[#This Row],[Hundred Seed Weight -gram]])</f>
        <v/>
      </c>
      <c r="V172" s="30" t="str">
        <f>IF(Master[[#This Row],[Note (Inventory)]]="","",Master[[#This Row],[Note (Inventory)]])</f>
        <v/>
      </c>
    </row>
    <row r="173" spans="1:22" x14ac:dyDescent="0.25">
      <c r="A173" s="30"/>
      <c r="B173" s="151" t="str">
        <f>IF(Master[[#This Row],[Inventory Prefix]]="","",Master[[#This Row],[Inventory Prefix]])</f>
        <v/>
      </c>
      <c r="C173" s="151" t="str">
        <f>IF(Master[[#This Row],[Inventory Number]]="","",Master[[#This Row],[Inventory Number]])</f>
        <v/>
      </c>
      <c r="D173" s="78" t="str">
        <f>IF(Master[[#This Row],[Inventory Suffix]]="","",Master[[#This Row],[Inventory Suffix]])</f>
        <v/>
      </c>
      <c r="E173" s="30" t="str">
        <f>IF(Master[[#This Row],[Inventory Type - Lookup Picker]]="","",Master[[#This Row],[Inventory Type - Lookup Picker]])</f>
        <v/>
      </c>
      <c r="F173" s="151" t="str">
        <f>Master[[#This Row],[Accession Prefix (NPGS)]]&amp;" "&amp;Master[[#This Row],[Accession Number -Assigned]]</f>
        <v xml:space="preserve"> </v>
      </c>
      <c r="G173" s="78" t="str">
        <f>IF(Master[[#This Row],[Inventory Maintenance Policy]]="","",Master[[#This Row],[Inventory Maintenance Policy]])</f>
        <v/>
      </c>
      <c r="H173" s="30" t="str">
        <f>IF(Master[[#This Row],[Inventory Maintenance Site -W6]]="","",Master[[#This Row],[Inventory Maintenance Site -W6]])</f>
        <v/>
      </c>
      <c r="I173" s="30" t="str">
        <f>IF(RIGHT(TEXT(Inventory[[#This Row],[Inventory Suffix]],"00"),2)="01","Y",IF(RIGHT(TEXT(Inventory[[#This Row],[Inventory Suffix]],"00"),2)="c1","Y",IF(RIGHT(TEXT(Inventory[[#This Row],[Inventory Suffix]],"00"),2)="m1","Y","N")))</f>
        <v>N</v>
      </c>
      <c r="J173" s="30" t="str">
        <f>IF(Inventory[[#This Row],[Inventory Type]]="SD","Y",IF(Inventory[[#This Row],[Inventory Type]]="LV","Y","N"))</f>
        <v>N</v>
      </c>
      <c r="K173" s="30" t="str">
        <f t="shared" si="21"/>
        <v>N</v>
      </c>
      <c r="L173" s="30" t="str">
        <f t="shared" si="22"/>
        <v>Original lot received</v>
      </c>
      <c r="M173" s="30" t="str">
        <f t="shared" si="23"/>
        <v>ORIG from SOS Project</v>
      </c>
      <c r="N173" s="80">
        <f>ROUNDDOWN(Master[[#This Row],[Quantity On Hand]],0)</f>
        <v>0</v>
      </c>
      <c r="O173" s="78" t="str">
        <f>IF(Master[[#This Row],[Quantity On Hand Units -''count'' or ''packet'']]="","",Master[[#This Row],[Quantity On Hand Units -''count'' or ''packet'']])</f>
        <v/>
      </c>
      <c r="P173" s="80" t="str">
        <f>IF(Master[[#This Row],[Inventory Type - Lookup Picker]]="","",Master[[#This Row],[Inventory Type - Lookup Picker]])</f>
        <v/>
      </c>
      <c r="Q173" s="45" t="str">
        <f t="shared" si="24"/>
        <v>Mike has</v>
      </c>
      <c r="R173" s="56" t="str">
        <f>IF(Master[[#This Row],[Latitude -decimal degrees]]="","",Master[[#This Row],[Latitude -decimal degrees]])</f>
        <v/>
      </c>
      <c r="S173" s="56" t="str">
        <f>IF(Master[[#This Row],[Longitude -decimal degrees]]="","",Master[[#This Row],[Longitude -decimal degrees]])</f>
        <v/>
      </c>
      <c r="T173" s="30" t="str">
        <f>IF(Master[[#This Row],[Parent Inventory]]="","",Master[[#This Row],[Parent Inventory]])</f>
        <v/>
      </c>
      <c r="U173" s="30" t="str">
        <f>IF(Master[[#This Row],[Hundred Seed Weight -gram]]="","",Master[[#This Row],[Hundred Seed Weight -gram]])</f>
        <v/>
      </c>
      <c r="V173" s="30" t="str">
        <f>IF(Master[[#This Row],[Note (Inventory)]]="","",Master[[#This Row],[Note (Inventory)]])</f>
        <v/>
      </c>
    </row>
    <row r="174" spans="1:22" x14ac:dyDescent="0.25">
      <c r="A174" s="30"/>
      <c r="B174" s="151" t="str">
        <f>IF(Master[[#This Row],[Inventory Prefix]]="","",Master[[#This Row],[Inventory Prefix]])</f>
        <v/>
      </c>
      <c r="C174" s="151" t="str">
        <f>IF(Master[[#This Row],[Inventory Number]]="","",Master[[#This Row],[Inventory Number]])</f>
        <v/>
      </c>
      <c r="D174" s="78" t="str">
        <f>IF(Master[[#This Row],[Inventory Suffix]]="","",Master[[#This Row],[Inventory Suffix]])</f>
        <v/>
      </c>
      <c r="E174" s="30" t="str">
        <f>IF(Master[[#This Row],[Inventory Type - Lookup Picker]]="","",Master[[#This Row],[Inventory Type - Lookup Picker]])</f>
        <v/>
      </c>
      <c r="F174" s="151" t="str">
        <f>Master[[#This Row],[Accession Prefix (NPGS)]]&amp;" "&amp;Master[[#This Row],[Accession Number -Assigned]]</f>
        <v xml:space="preserve"> </v>
      </c>
      <c r="G174" s="78" t="str">
        <f>IF(Master[[#This Row],[Inventory Maintenance Policy]]="","",Master[[#This Row],[Inventory Maintenance Policy]])</f>
        <v/>
      </c>
      <c r="H174" s="30" t="str">
        <f>IF(Master[[#This Row],[Inventory Maintenance Site -W6]]="","",Master[[#This Row],[Inventory Maintenance Site -W6]])</f>
        <v/>
      </c>
      <c r="I174" s="30" t="str">
        <f>IF(RIGHT(TEXT(Inventory[[#This Row],[Inventory Suffix]],"00"),2)="01","Y",IF(RIGHT(TEXT(Inventory[[#This Row],[Inventory Suffix]],"00"),2)="c1","Y",IF(RIGHT(TEXT(Inventory[[#This Row],[Inventory Suffix]],"00"),2)="m1","Y","N")))</f>
        <v>N</v>
      </c>
      <c r="J174" s="30" t="str">
        <f>IF(Inventory[[#This Row],[Inventory Type]]="SD","Y",IF(Inventory[[#This Row],[Inventory Type]]="LV","Y","N"))</f>
        <v>N</v>
      </c>
      <c r="K174" s="30" t="str">
        <f t="shared" si="21"/>
        <v>N</v>
      </c>
      <c r="L174" s="30" t="str">
        <f t="shared" si="22"/>
        <v>Original lot received</v>
      </c>
      <c r="M174" s="30" t="str">
        <f t="shared" si="23"/>
        <v>ORIG from SOS Project</v>
      </c>
      <c r="N174" s="80">
        <f>ROUNDDOWN(Master[[#This Row],[Quantity On Hand]],0)</f>
        <v>0</v>
      </c>
      <c r="O174" s="78" t="str">
        <f>IF(Master[[#This Row],[Quantity On Hand Units -''count'' or ''packet'']]="","",Master[[#This Row],[Quantity On Hand Units -''count'' or ''packet'']])</f>
        <v/>
      </c>
      <c r="P174" s="80" t="str">
        <f>IF(Master[[#This Row],[Inventory Type - Lookup Picker]]="","",Master[[#This Row],[Inventory Type - Lookup Picker]])</f>
        <v/>
      </c>
      <c r="Q174" s="45" t="str">
        <f t="shared" si="24"/>
        <v>Mike has</v>
      </c>
      <c r="R174" s="56" t="str">
        <f>IF(Master[[#This Row],[Latitude -decimal degrees]]="","",Master[[#This Row],[Latitude -decimal degrees]])</f>
        <v/>
      </c>
      <c r="S174" s="56" t="str">
        <f>IF(Master[[#This Row],[Longitude -decimal degrees]]="","",Master[[#This Row],[Longitude -decimal degrees]])</f>
        <v/>
      </c>
      <c r="T174" s="30" t="str">
        <f>IF(Master[[#This Row],[Parent Inventory]]="","",Master[[#This Row],[Parent Inventory]])</f>
        <v/>
      </c>
      <c r="U174" s="30" t="str">
        <f>IF(Master[[#This Row],[Hundred Seed Weight -gram]]="","",Master[[#This Row],[Hundred Seed Weight -gram]])</f>
        <v/>
      </c>
      <c r="V174" s="30" t="str">
        <f>IF(Master[[#This Row],[Note (Inventory)]]="","",Master[[#This Row],[Note (Inventory)]])</f>
        <v/>
      </c>
    </row>
    <row r="175" spans="1:22" x14ac:dyDescent="0.25">
      <c r="A175" s="30"/>
      <c r="B175" s="151" t="str">
        <f>IF(Master[[#This Row],[Inventory Prefix]]="","",Master[[#This Row],[Inventory Prefix]])</f>
        <v/>
      </c>
      <c r="C175" s="151" t="str">
        <f>IF(Master[[#This Row],[Inventory Number]]="","",Master[[#This Row],[Inventory Number]])</f>
        <v/>
      </c>
      <c r="D175" s="78" t="str">
        <f>IF(Master[[#This Row],[Inventory Suffix]]="","",Master[[#This Row],[Inventory Suffix]])</f>
        <v/>
      </c>
      <c r="E175" s="30" t="str">
        <f>IF(Master[[#This Row],[Inventory Type - Lookup Picker]]="","",Master[[#This Row],[Inventory Type - Lookup Picker]])</f>
        <v/>
      </c>
      <c r="F175" s="151" t="str">
        <f>Master[[#This Row],[Accession Prefix (NPGS)]]&amp;" "&amp;Master[[#This Row],[Accession Number -Assigned]]</f>
        <v xml:space="preserve"> </v>
      </c>
      <c r="G175" s="78" t="str">
        <f>IF(Master[[#This Row],[Inventory Maintenance Policy]]="","",Master[[#This Row],[Inventory Maintenance Policy]])</f>
        <v/>
      </c>
      <c r="H175" s="30" t="str">
        <f>IF(Master[[#This Row],[Inventory Maintenance Site -W6]]="","",Master[[#This Row],[Inventory Maintenance Site -W6]])</f>
        <v/>
      </c>
      <c r="I175" s="30" t="str">
        <f>IF(RIGHT(TEXT(Inventory[[#This Row],[Inventory Suffix]],"00"),2)="01","Y",IF(RIGHT(TEXT(Inventory[[#This Row],[Inventory Suffix]],"00"),2)="c1","Y",IF(RIGHT(TEXT(Inventory[[#This Row],[Inventory Suffix]],"00"),2)="m1","Y","N")))</f>
        <v>N</v>
      </c>
      <c r="J175" s="30" t="str">
        <f>IF(Inventory[[#This Row],[Inventory Type]]="SD","Y",IF(Inventory[[#This Row],[Inventory Type]]="LV","Y","N"))</f>
        <v>N</v>
      </c>
      <c r="K175" s="30" t="str">
        <f t="shared" si="21"/>
        <v>N</v>
      </c>
      <c r="L175" s="30" t="str">
        <f t="shared" si="22"/>
        <v>Original lot received</v>
      </c>
      <c r="M175" s="30" t="str">
        <f t="shared" si="23"/>
        <v>ORIG from SOS Project</v>
      </c>
      <c r="N175" s="80">
        <f>ROUNDDOWN(Master[[#This Row],[Quantity On Hand]],0)</f>
        <v>0</v>
      </c>
      <c r="O175" s="78" t="str">
        <f>IF(Master[[#This Row],[Quantity On Hand Units -''count'' or ''packet'']]="","",Master[[#This Row],[Quantity On Hand Units -''count'' or ''packet'']])</f>
        <v/>
      </c>
      <c r="P175" s="80" t="str">
        <f>IF(Master[[#This Row],[Inventory Type - Lookup Picker]]="","",Master[[#This Row],[Inventory Type - Lookup Picker]])</f>
        <v/>
      </c>
      <c r="Q175" s="45" t="str">
        <f t="shared" si="24"/>
        <v>Mike has</v>
      </c>
      <c r="R175" s="56" t="str">
        <f>IF(Master[[#This Row],[Latitude -decimal degrees]]="","",Master[[#This Row],[Latitude -decimal degrees]])</f>
        <v/>
      </c>
      <c r="S175" s="56" t="str">
        <f>IF(Master[[#This Row],[Longitude -decimal degrees]]="","",Master[[#This Row],[Longitude -decimal degrees]])</f>
        <v/>
      </c>
      <c r="T175" s="30" t="str">
        <f>IF(Master[[#This Row],[Parent Inventory]]="","",Master[[#This Row],[Parent Inventory]])</f>
        <v/>
      </c>
      <c r="U175" s="30" t="str">
        <f>IF(Master[[#This Row],[Hundred Seed Weight -gram]]="","",Master[[#This Row],[Hundred Seed Weight -gram]])</f>
        <v/>
      </c>
      <c r="V175" s="30" t="str">
        <f>IF(Master[[#This Row],[Note (Inventory)]]="","",Master[[#This Row],[Note (Inventory)]])</f>
        <v/>
      </c>
    </row>
    <row r="176" spans="1:22" x14ac:dyDescent="0.25">
      <c r="A176" s="30"/>
      <c r="B176" s="151" t="str">
        <f>IF(Master[[#This Row],[Inventory Prefix]]="","",Master[[#This Row],[Inventory Prefix]])</f>
        <v/>
      </c>
      <c r="C176" s="151" t="str">
        <f>IF(Master[[#This Row],[Inventory Number]]="","",Master[[#This Row],[Inventory Number]])</f>
        <v/>
      </c>
      <c r="D176" s="78" t="str">
        <f>IF(Master[[#This Row],[Inventory Suffix]]="","",Master[[#This Row],[Inventory Suffix]])</f>
        <v/>
      </c>
      <c r="E176" s="30" t="str">
        <f>IF(Master[[#This Row],[Inventory Type - Lookup Picker]]="","",Master[[#This Row],[Inventory Type - Lookup Picker]])</f>
        <v/>
      </c>
      <c r="F176" s="151" t="str">
        <f>Master[[#This Row],[Accession Prefix (NPGS)]]&amp;" "&amp;Master[[#This Row],[Accession Number -Assigned]]</f>
        <v xml:space="preserve"> </v>
      </c>
      <c r="G176" s="78" t="str">
        <f>IF(Master[[#This Row],[Inventory Maintenance Policy]]="","",Master[[#This Row],[Inventory Maintenance Policy]])</f>
        <v/>
      </c>
      <c r="H176" s="30" t="str">
        <f>IF(Master[[#This Row],[Inventory Maintenance Site -W6]]="","",Master[[#This Row],[Inventory Maintenance Site -W6]])</f>
        <v/>
      </c>
      <c r="I176" s="30" t="str">
        <f>IF(RIGHT(TEXT(Inventory[[#This Row],[Inventory Suffix]],"00"),2)="01","Y",IF(RIGHT(TEXT(Inventory[[#This Row],[Inventory Suffix]],"00"),2)="c1","Y",IF(RIGHT(TEXT(Inventory[[#This Row],[Inventory Suffix]],"00"),2)="m1","Y","N")))</f>
        <v>N</v>
      </c>
      <c r="J176" s="30" t="str">
        <f>IF(Inventory[[#This Row],[Inventory Type]]="SD","Y",IF(Inventory[[#This Row],[Inventory Type]]="LV","Y","N"))</f>
        <v>N</v>
      </c>
      <c r="K176" s="30" t="str">
        <f t="shared" si="21"/>
        <v>N</v>
      </c>
      <c r="L176" s="30" t="str">
        <f t="shared" si="22"/>
        <v>Original lot received</v>
      </c>
      <c r="M176" s="30" t="str">
        <f t="shared" si="23"/>
        <v>ORIG from SOS Project</v>
      </c>
      <c r="N176" s="80">
        <f>ROUNDDOWN(Master[[#This Row],[Quantity On Hand]],0)</f>
        <v>0</v>
      </c>
      <c r="O176" s="78" t="str">
        <f>IF(Master[[#This Row],[Quantity On Hand Units -''count'' or ''packet'']]="","",Master[[#This Row],[Quantity On Hand Units -''count'' or ''packet'']])</f>
        <v/>
      </c>
      <c r="P176" s="80" t="str">
        <f>IF(Master[[#This Row],[Inventory Type - Lookup Picker]]="","",Master[[#This Row],[Inventory Type - Lookup Picker]])</f>
        <v/>
      </c>
      <c r="Q176" s="45" t="str">
        <f t="shared" si="24"/>
        <v>Mike has</v>
      </c>
      <c r="R176" s="56" t="str">
        <f>IF(Master[[#This Row],[Latitude -decimal degrees]]="","",Master[[#This Row],[Latitude -decimal degrees]])</f>
        <v/>
      </c>
      <c r="S176" s="56" t="str">
        <f>IF(Master[[#This Row],[Longitude -decimal degrees]]="","",Master[[#This Row],[Longitude -decimal degrees]])</f>
        <v/>
      </c>
      <c r="T176" s="30" t="str">
        <f>IF(Master[[#This Row],[Parent Inventory]]="","",Master[[#This Row],[Parent Inventory]])</f>
        <v/>
      </c>
      <c r="U176" s="30" t="str">
        <f>IF(Master[[#This Row],[Hundred Seed Weight -gram]]="","",Master[[#This Row],[Hundred Seed Weight -gram]])</f>
        <v/>
      </c>
      <c r="V176" s="30" t="str">
        <f>IF(Master[[#This Row],[Note (Inventory)]]="","",Master[[#This Row],[Note (Inventory)]])</f>
        <v/>
      </c>
    </row>
    <row r="177" spans="1:22" x14ac:dyDescent="0.25">
      <c r="A177" s="30"/>
      <c r="B177" s="151" t="str">
        <f>IF(Master[[#This Row],[Inventory Prefix]]="","",Master[[#This Row],[Inventory Prefix]])</f>
        <v/>
      </c>
      <c r="C177" s="151" t="str">
        <f>IF(Master[[#This Row],[Inventory Number]]="","",Master[[#This Row],[Inventory Number]])</f>
        <v/>
      </c>
      <c r="D177" s="78" t="str">
        <f>IF(Master[[#This Row],[Inventory Suffix]]="","",Master[[#This Row],[Inventory Suffix]])</f>
        <v/>
      </c>
      <c r="E177" s="30" t="str">
        <f>IF(Master[[#This Row],[Inventory Type - Lookup Picker]]="","",Master[[#This Row],[Inventory Type - Lookup Picker]])</f>
        <v/>
      </c>
      <c r="F177" s="151" t="str">
        <f>Master[[#This Row],[Accession Prefix (NPGS)]]&amp;" "&amp;Master[[#This Row],[Accession Number -Assigned]]</f>
        <v xml:space="preserve"> </v>
      </c>
      <c r="G177" s="78" t="str">
        <f>IF(Master[[#This Row],[Inventory Maintenance Policy]]="","",Master[[#This Row],[Inventory Maintenance Policy]])</f>
        <v/>
      </c>
      <c r="H177" s="30" t="str">
        <f>IF(Master[[#This Row],[Inventory Maintenance Site -W6]]="","",Master[[#This Row],[Inventory Maintenance Site -W6]])</f>
        <v/>
      </c>
      <c r="I177" s="30" t="str">
        <f>IF(RIGHT(TEXT(Inventory[[#This Row],[Inventory Suffix]],"00"),2)="01","Y",IF(RIGHT(TEXT(Inventory[[#This Row],[Inventory Suffix]],"00"),2)="c1","Y",IF(RIGHT(TEXT(Inventory[[#This Row],[Inventory Suffix]],"00"),2)="m1","Y","N")))</f>
        <v>N</v>
      </c>
      <c r="J177" s="30" t="str">
        <f>IF(Inventory[[#This Row],[Inventory Type]]="SD","Y",IF(Inventory[[#This Row],[Inventory Type]]="LV","Y","N"))</f>
        <v>N</v>
      </c>
      <c r="K177" s="30" t="str">
        <f t="shared" si="21"/>
        <v>N</v>
      </c>
      <c r="L177" s="30" t="str">
        <f t="shared" si="22"/>
        <v>Original lot received</v>
      </c>
      <c r="M177" s="30" t="str">
        <f t="shared" si="23"/>
        <v>ORIG from SOS Project</v>
      </c>
      <c r="N177" s="80">
        <f>ROUNDDOWN(Master[[#This Row],[Quantity On Hand]],0)</f>
        <v>0</v>
      </c>
      <c r="O177" s="78" t="str">
        <f>IF(Master[[#This Row],[Quantity On Hand Units -''count'' or ''packet'']]="","",Master[[#This Row],[Quantity On Hand Units -''count'' or ''packet'']])</f>
        <v/>
      </c>
      <c r="P177" s="80" t="str">
        <f>IF(Master[[#This Row],[Inventory Type - Lookup Picker]]="","",Master[[#This Row],[Inventory Type - Lookup Picker]])</f>
        <v/>
      </c>
      <c r="Q177" s="45" t="str">
        <f t="shared" si="24"/>
        <v>Mike has</v>
      </c>
      <c r="R177" s="56" t="str">
        <f>IF(Master[[#This Row],[Latitude -decimal degrees]]="","",Master[[#This Row],[Latitude -decimal degrees]])</f>
        <v/>
      </c>
      <c r="S177" s="56" t="str">
        <f>IF(Master[[#This Row],[Longitude -decimal degrees]]="","",Master[[#This Row],[Longitude -decimal degrees]])</f>
        <v/>
      </c>
      <c r="T177" s="30" t="str">
        <f>IF(Master[[#This Row],[Parent Inventory]]="","",Master[[#This Row],[Parent Inventory]])</f>
        <v/>
      </c>
      <c r="U177" s="30" t="str">
        <f>IF(Master[[#This Row],[Hundred Seed Weight -gram]]="","",Master[[#This Row],[Hundred Seed Weight -gram]])</f>
        <v/>
      </c>
      <c r="V177" s="30" t="str">
        <f>IF(Master[[#This Row],[Note (Inventory)]]="","",Master[[#This Row],[Note (Inventory)]])</f>
        <v/>
      </c>
    </row>
    <row r="178" spans="1:22" x14ac:dyDescent="0.25">
      <c r="A178" s="30"/>
      <c r="B178" s="151" t="str">
        <f>IF(Master[[#This Row],[Inventory Prefix]]="","",Master[[#This Row],[Inventory Prefix]])</f>
        <v/>
      </c>
      <c r="C178" s="151" t="str">
        <f>IF(Master[[#This Row],[Inventory Number]]="","",Master[[#This Row],[Inventory Number]])</f>
        <v/>
      </c>
      <c r="D178" s="78" t="str">
        <f>IF(Master[[#This Row],[Inventory Suffix]]="","",Master[[#This Row],[Inventory Suffix]])</f>
        <v/>
      </c>
      <c r="E178" s="30" t="str">
        <f>IF(Master[[#This Row],[Inventory Type - Lookup Picker]]="","",Master[[#This Row],[Inventory Type - Lookup Picker]])</f>
        <v/>
      </c>
      <c r="F178" s="151" t="str">
        <f>Master[[#This Row],[Accession Prefix (NPGS)]]&amp;" "&amp;Master[[#This Row],[Accession Number -Assigned]]</f>
        <v xml:space="preserve"> </v>
      </c>
      <c r="G178" s="78" t="str">
        <f>IF(Master[[#This Row],[Inventory Maintenance Policy]]="","",Master[[#This Row],[Inventory Maintenance Policy]])</f>
        <v/>
      </c>
      <c r="H178" s="30" t="str">
        <f>IF(Master[[#This Row],[Inventory Maintenance Site -W6]]="","",Master[[#This Row],[Inventory Maintenance Site -W6]])</f>
        <v/>
      </c>
      <c r="I178" s="30" t="str">
        <f>IF(RIGHT(TEXT(Inventory[[#This Row],[Inventory Suffix]],"00"),2)="01","Y",IF(RIGHT(TEXT(Inventory[[#This Row],[Inventory Suffix]],"00"),2)="c1","Y",IF(RIGHT(TEXT(Inventory[[#This Row],[Inventory Suffix]],"00"),2)="m1","Y","N")))</f>
        <v>N</v>
      </c>
      <c r="J178" s="30" t="str">
        <f>IF(Inventory[[#This Row],[Inventory Type]]="SD","Y",IF(Inventory[[#This Row],[Inventory Type]]="LV","Y","N"))</f>
        <v>N</v>
      </c>
      <c r="K178" s="30" t="str">
        <f t="shared" si="21"/>
        <v>N</v>
      </c>
      <c r="L178" s="30" t="str">
        <f t="shared" si="22"/>
        <v>Original lot received</v>
      </c>
      <c r="M178" s="30" t="str">
        <f t="shared" si="23"/>
        <v>ORIG from SOS Project</v>
      </c>
      <c r="N178" s="80">
        <f>ROUNDDOWN(Master[[#This Row],[Quantity On Hand]],0)</f>
        <v>0</v>
      </c>
      <c r="O178" s="78" t="str">
        <f>IF(Master[[#This Row],[Quantity On Hand Units -''count'' or ''packet'']]="","",Master[[#This Row],[Quantity On Hand Units -''count'' or ''packet'']])</f>
        <v/>
      </c>
      <c r="P178" s="80" t="str">
        <f>IF(Master[[#This Row],[Inventory Type - Lookup Picker]]="","",Master[[#This Row],[Inventory Type - Lookup Picker]])</f>
        <v/>
      </c>
      <c r="Q178" s="45" t="str">
        <f t="shared" si="24"/>
        <v>Mike has</v>
      </c>
      <c r="R178" s="56" t="str">
        <f>IF(Master[[#This Row],[Latitude -decimal degrees]]="","",Master[[#This Row],[Latitude -decimal degrees]])</f>
        <v/>
      </c>
      <c r="S178" s="56" t="str">
        <f>IF(Master[[#This Row],[Longitude -decimal degrees]]="","",Master[[#This Row],[Longitude -decimal degrees]])</f>
        <v/>
      </c>
      <c r="T178" s="30" t="str">
        <f>IF(Master[[#This Row],[Parent Inventory]]="","",Master[[#This Row],[Parent Inventory]])</f>
        <v/>
      </c>
      <c r="U178" s="30" t="str">
        <f>IF(Master[[#This Row],[Hundred Seed Weight -gram]]="","",Master[[#This Row],[Hundred Seed Weight -gram]])</f>
        <v/>
      </c>
      <c r="V178" s="30" t="str">
        <f>IF(Master[[#This Row],[Note (Inventory)]]="","",Master[[#This Row],[Note (Inventory)]])</f>
        <v/>
      </c>
    </row>
    <row r="179" spans="1:22" x14ac:dyDescent="0.25">
      <c r="A179" s="30"/>
      <c r="B179" s="151" t="str">
        <f>IF(Master[[#This Row],[Inventory Prefix]]="","",Master[[#This Row],[Inventory Prefix]])</f>
        <v/>
      </c>
      <c r="C179" s="151" t="str">
        <f>IF(Master[[#This Row],[Inventory Number]]="","",Master[[#This Row],[Inventory Number]])</f>
        <v/>
      </c>
      <c r="D179" s="78" t="str">
        <f>IF(Master[[#This Row],[Inventory Suffix]]="","",Master[[#This Row],[Inventory Suffix]])</f>
        <v/>
      </c>
      <c r="E179" s="30" t="str">
        <f>IF(Master[[#This Row],[Inventory Type - Lookup Picker]]="","",Master[[#This Row],[Inventory Type - Lookup Picker]])</f>
        <v/>
      </c>
      <c r="F179" s="151" t="str">
        <f>Master[[#This Row],[Accession Prefix (NPGS)]]&amp;" "&amp;Master[[#This Row],[Accession Number -Assigned]]</f>
        <v xml:space="preserve"> </v>
      </c>
      <c r="G179" s="78" t="str">
        <f>IF(Master[[#This Row],[Inventory Maintenance Policy]]="","",Master[[#This Row],[Inventory Maintenance Policy]])</f>
        <v/>
      </c>
      <c r="H179" s="30" t="str">
        <f>IF(Master[[#This Row],[Inventory Maintenance Site -W6]]="","",Master[[#This Row],[Inventory Maintenance Site -W6]])</f>
        <v/>
      </c>
      <c r="I179" s="30" t="str">
        <f>IF(RIGHT(TEXT(Inventory[[#This Row],[Inventory Suffix]],"00"),2)="01","Y",IF(RIGHT(TEXT(Inventory[[#This Row],[Inventory Suffix]],"00"),2)="c1","Y",IF(RIGHT(TEXT(Inventory[[#This Row],[Inventory Suffix]],"00"),2)="m1","Y","N")))</f>
        <v>N</v>
      </c>
      <c r="J179" s="30" t="str">
        <f>IF(Inventory[[#This Row],[Inventory Type]]="SD","Y",IF(Inventory[[#This Row],[Inventory Type]]="LV","Y","N"))</f>
        <v>N</v>
      </c>
      <c r="K179" s="30" t="str">
        <f t="shared" si="21"/>
        <v>N</v>
      </c>
      <c r="L179" s="30" t="str">
        <f t="shared" si="22"/>
        <v>Original lot received</v>
      </c>
      <c r="M179" s="30" t="str">
        <f t="shared" si="23"/>
        <v>ORIG from SOS Project</v>
      </c>
      <c r="N179" s="80">
        <f>ROUNDDOWN(Master[[#This Row],[Quantity On Hand]],0)</f>
        <v>0</v>
      </c>
      <c r="O179" s="78" t="str">
        <f>IF(Master[[#This Row],[Quantity On Hand Units -''count'' or ''packet'']]="","",Master[[#This Row],[Quantity On Hand Units -''count'' or ''packet'']])</f>
        <v/>
      </c>
      <c r="P179" s="80" t="str">
        <f>IF(Master[[#This Row],[Inventory Type - Lookup Picker]]="","",Master[[#This Row],[Inventory Type - Lookup Picker]])</f>
        <v/>
      </c>
      <c r="Q179" s="45" t="str">
        <f t="shared" si="24"/>
        <v>Mike has</v>
      </c>
      <c r="R179" s="56" t="str">
        <f>IF(Master[[#This Row],[Latitude -decimal degrees]]="","",Master[[#This Row],[Latitude -decimal degrees]])</f>
        <v/>
      </c>
      <c r="S179" s="56" t="str">
        <f>IF(Master[[#This Row],[Longitude -decimal degrees]]="","",Master[[#This Row],[Longitude -decimal degrees]])</f>
        <v/>
      </c>
      <c r="T179" s="30" t="str">
        <f>IF(Master[[#This Row],[Parent Inventory]]="","",Master[[#This Row],[Parent Inventory]])</f>
        <v/>
      </c>
      <c r="U179" s="30" t="str">
        <f>IF(Master[[#This Row],[Hundred Seed Weight -gram]]="","",Master[[#This Row],[Hundred Seed Weight -gram]])</f>
        <v/>
      </c>
      <c r="V179" s="30" t="str">
        <f>IF(Master[[#This Row],[Note (Inventory)]]="","",Master[[#This Row],[Note (Inventory)]])</f>
        <v/>
      </c>
    </row>
    <row r="180" spans="1:22" x14ac:dyDescent="0.25">
      <c r="A180" s="30"/>
      <c r="B180" s="151" t="str">
        <f>IF(Master[[#This Row],[Inventory Prefix]]="","",Master[[#This Row],[Inventory Prefix]])</f>
        <v/>
      </c>
      <c r="C180" s="151" t="str">
        <f>IF(Master[[#This Row],[Inventory Number]]="","",Master[[#This Row],[Inventory Number]])</f>
        <v/>
      </c>
      <c r="D180" s="78" t="str">
        <f>IF(Master[[#This Row],[Inventory Suffix]]="","",Master[[#This Row],[Inventory Suffix]])</f>
        <v/>
      </c>
      <c r="E180" s="30" t="str">
        <f>IF(Master[[#This Row],[Inventory Type - Lookup Picker]]="","",Master[[#This Row],[Inventory Type - Lookup Picker]])</f>
        <v/>
      </c>
      <c r="F180" s="151" t="str">
        <f>Master[[#This Row],[Accession Prefix (NPGS)]]&amp;" "&amp;Master[[#This Row],[Accession Number -Assigned]]</f>
        <v xml:space="preserve"> </v>
      </c>
      <c r="G180" s="78" t="str">
        <f>IF(Master[[#This Row],[Inventory Maintenance Policy]]="","",Master[[#This Row],[Inventory Maintenance Policy]])</f>
        <v/>
      </c>
      <c r="H180" s="30" t="str">
        <f>IF(Master[[#This Row],[Inventory Maintenance Site -W6]]="","",Master[[#This Row],[Inventory Maintenance Site -W6]])</f>
        <v/>
      </c>
      <c r="I180" s="30" t="str">
        <f>IF(RIGHT(TEXT(Inventory[[#This Row],[Inventory Suffix]],"00"),2)="01","Y",IF(RIGHT(TEXT(Inventory[[#This Row],[Inventory Suffix]],"00"),2)="c1","Y",IF(RIGHT(TEXT(Inventory[[#This Row],[Inventory Suffix]],"00"),2)="m1","Y","N")))</f>
        <v>N</v>
      </c>
      <c r="J180" s="30" t="str">
        <f>IF(Inventory[[#This Row],[Inventory Type]]="SD","Y",IF(Inventory[[#This Row],[Inventory Type]]="LV","Y","N"))</f>
        <v>N</v>
      </c>
      <c r="K180" s="30" t="str">
        <f t="shared" si="21"/>
        <v>N</v>
      </c>
      <c r="L180" s="30" t="str">
        <f t="shared" si="22"/>
        <v>Original lot received</v>
      </c>
      <c r="M180" s="30" t="str">
        <f t="shared" si="23"/>
        <v>ORIG from SOS Project</v>
      </c>
      <c r="N180" s="80">
        <f>ROUNDDOWN(Master[[#This Row],[Quantity On Hand]],0)</f>
        <v>0</v>
      </c>
      <c r="O180" s="78" t="str">
        <f>IF(Master[[#This Row],[Quantity On Hand Units -''count'' or ''packet'']]="","",Master[[#This Row],[Quantity On Hand Units -''count'' or ''packet'']])</f>
        <v/>
      </c>
      <c r="P180" s="80" t="str">
        <f>IF(Master[[#This Row],[Inventory Type - Lookup Picker]]="","",Master[[#This Row],[Inventory Type - Lookup Picker]])</f>
        <v/>
      </c>
      <c r="Q180" s="45" t="str">
        <f t="shared" si="24"/>
        <v>Mike has</v>
      </c>
      <c r="R180" s="56" t="str">
        <f>IF(Master[[#This Row],[Latitude -decimal degrees]]="","",Master[[#This Row],[Latitude -decimal degrees]])</f>
        <v/>
      </c>
      <c r="S180" s="56" t="str">
        <f>IF(Master[[#This Row],[Longitude -decimal degrees]]="","",Master[[#This Row],[Longitude -decimal degrees]])</f>
        <v/>
      </c>
      <c r="T180" s="30" t="str">
        <f>IF(Master[[#This Row],[Parent Inventory]]="","",Master[[#This Row],[Parent Inventory]])</f>
        <v/>
      </c>
      <c r="U180" s="30" t="str">
        <f>IF(Master[[#This Row],[Hundred Seed Weight -gram]]="","",Master[[#This Row],[Hundred Seed Weight -gram]])</f>
        <v/>
      </c>
      <c r="V180" s="30" t="str">
        <f>IF(Master[[#This Row],[Note (Inventory)]]="","",Master[[#This Row],[Note (Inventory)]])</f>
        <v/>
      </c>
    </row>
    <row r="181" spans="1:22" x14ac:dyDescent="0.25">
      <c r="A181" s="30"/>
      <c r="B181" s="151" t="str">
        <f>IF(Master[[#This Row],[Inventory Prefix]]="","",Master[[#This Row],[Inventory Prefix]])</f>
        <v/>
      </c>
      <c r="C181" s="151" t="str">
        <f>IF(Master[[#This Row],[Inventory Number]]="","",Master[[#This Row],[Inventory Number]])</f>
        <v/>
      </c>
      <c r="D181" s="78" t="str">
        <f>IF(Master[[#This Row],[Inventory Suffix]]="","",Master[[#This Row],[Inventory Suffix]])</f>
        <v/>
      </c>
      <c r="E181" s="30" t="str">
        <f>IF(Master[[#This Row],[Inventory Type - Lookup Picker]]="","",Master[[#This Row],[Inventory Type - Lookup Picker]])</f>
        <v/>
      </c>
      <c r="F181" s="151" t="str">
        <f>Master[[#This Row],[Accession Prefix (NPGS)]]&amp;" "&amp;Master[[#This Row],[Accession Number -Assigned]]</f>
        <v xml:space="preserve"> </v>
      </c>
      <c r="G181" s="78" t="str">
        <f>IF(Master[[#This Row],[Inventory Maintenance Policy]]="","",Master[[#This Row],[Inventory Maintenance Policy]])</f>
        <v/>
      </c>
      <c r="H181" s="30" t="str">
        <f>IF(Master[[#This Row],[Inventory Maintenance Site -W6]]="","",Master[[#This Row],[Inventory Maintenance Site -W6]])</f>
        <v/>
      </c>
      <c r="I181" s="30" t="str">
        <f>IF(RIGHT(TEXT(Inventory[[#This Row],[Inventory Suffix]],"00"),2)="01","Y",IF(RIGHT(TEXT(Inventory[[#This Row],[Inventory Suffix]],"00"),2)="c1","Y",IF(RIGHT(TEXT(Inventory[[#This Row],[Inventory Suffix]],"00"),2)="m1","Y","N")))</f>
        <v>N</v>
      </c>
      <c r="J181" s="30" t="str">
        <f>IF(Inventory[[#This Row],[Inventory Type]]="SD","Y",IF(Inventory[[#This Row],[Inventory Type]]="LV","Y","N"))</f>
        <v>N</v>
      </c>
      <c r="K181" s="30" t="str">
        <f t="shared" si="21"/>
        <v>N</v>
      </c>
      <c r="L181" s="30" t="str">
        <f t="shared" si="22"/>
        <v>Original lot received</v>
      </c>
      <c r="M181" s="30" t="str">
        <f t="shared" si="23"/>
        <v>ORIG from SOS Project</v>
      </c>
      <c r="N181" s="80">
        <f>ROUNDDOWN(Master[[#This Row],[Quantity On Hand]],0)</f>
        <v>0</v>
      </c>
      <c r="O181" s="78" t="str">
        <f>IF(Master[[#This Row],[Quantity On Hand Units -''count'' or ''packet'']]="","",Master[[#This Row],[Quantity On Hand Units -''count'' or ''packet'']])</f>
        <v/>
      </c>
      <c r="P181" s="80" t="str">
        <f>IF(Master[[#This Row],[Inventory Type - Lookup Picker]]="","",Master[[#This Row],[Inventory Type - Lookup Picker]])</f>
        <v/>
      </c>
      <c r="Q181" s="45" t="str">
        <f t="shared" si="24"/>
        <v>Mike has</v>
      </c>
      <c r="R181" s="56" t="str">
        <f>IF(Master[[#This Row],[Latitude -decimal degrees]]="","",Master[[#This Row],[Latitude -decimal degrees]])</f>
        <v/>
      </c>
      <c r="S181" s="56" t="str">
        <f>IF(Master[[#This Row],[Longitude -decimal degrees]]="","",Master[[#This Row],[Longitude -decimal degrees]])</f>
        <v/>
      </c>
      <c r="T181" s="30" t="str">
        <f>IF(Master[[#This Row],[Parent Inventory]]="","",Master[[#This Row],[Parent Inventory]])</f>
        <v/>
      </c>
      <c r="U181" s="30" t="str">
        <f>IF(Master[[#This Row],[Hundred Seed Weight -gram]]="","",Master[[#This Row],[Hundred Seed Weight -gram]])</f>
        <v/>
      </c>
      <c r="V181" s="30" t="str">
        <f>IF(Master[[#This Row],[Note (Inventory)]]="","",Master[[#This Row],[Note (Inventory)]])</f>
        <v/>
      </c>
    </row>
    <row r="182" spans="1:22" x14ac:dyDescent="0.25">
      <c r="A182" s="30"/>
      <c r="B182" s="151" t="str">
        <f>IF(Master[[#This Row],[Inventory Prefix]]="","",Master[[#This Row],[Inventory Prefix]])</f>
        <v/>
      </c>
      <c r="C182" s="151" t="str">
        <f>IF(Master[[#This Row],[Inventory Number]]="","",Master[[#This Row],[Inventory Number]])</f>
        <v/>
      </c>
      <c r="D182" s="78" t="str">
        <f>IF(Master[[#This Row],[Inventory Suffix]]="","",Master[[#This Row],[Inventory Suffix]])</f>
        <v/>
      </c>
      <c r="E182" s="30" t="str">
        <f>IF(Master[[#This Row],[Inventory Type - Lookup Picker]]="","",Master[[#This Row],[Inventory Type - Lookup Picker]])</f>
        <v/>
      </c>
      <c r="F182" s="151" t="str">
        <f>Master[[#This Row],[Accession Prefix (NPGS)]]&amp;" "&amp;Master[[#This Row],[Accession Number -Assigned]]</f>
        <v xml:space="preserve"> </v>
      </c>
      <c r="G182" s="78" t="str">
        <f>IF(Master[[#This Row],[Inventory Maintenance Policy]]="","",Master[[#This Row],[Inventory Maintenance Policy]])</f>
        <v/>
      </c>
      <c r="H182" s="30" t="str">
        <f>IF(Master[[#This Row],[Inventory Maintenance Site -W6]]="","",Master[[#This Row],[Inventory Maintenance Site -W6]])</f>
        <v/>
      </c>
      <c r="I182" s="30" t="str">
        <f>IF(RIGHT(TEXT(Inventory[[#This Row],[Inventory Suffix]],"00"),2)="01","Y",IF(RIGHT(TEXT(Inventory[[#This Row],[Inventory Suffix]],"00"),2)="c1","Y",IF(RIGHT(TEXT(Inventory[[#This Row],[Inventory Suffix]],"00"),2)="m1","Y","N")))</f>
        <v>N</v>
      </c>
      <c r="J182" s="30" t="str">
        <f>IF(Inventory[[#This Row],[Inventory Type]]="SD","Y",IF(Inventory[[#This Row],[Inventory Type]]="LV","Y","N"))</f>
        <v>N</v>
      </c>
      <c r="K182" s="30" t="str">
        <f t="shared" ref="K182:K201" si="25">"N"</f>
        <v>N</v>
      </c>
      <c r="L182" s="30" t="str">
        <f t="shared" si="22"/>
        <v>Original lot received</v>
      </c>
      <c r="M182" s="30" t="str">
        <f t="shared" si="23"/>
        <v>ORIG from SOS Project</v>
      </c>
      <c r="N182" s="80">
        <f>ROUNDDOWN(Master[[#This Row],[Quantity On Hand]],0)</f>
        <v>0</v>
      </c>
      <c r="O182" s="78" t="str">
        <f>IF(Master[[#This Row],[Quantity On Hand Units -''count'' or ''packet'']]="","",Master[[#This Row],[Quantity On Hand Units -''count'' or ''packet'']])</f>
        <v/>
      </c>
      <c r="P182" s="80" t="str">
        <f>IF(Master[[#This Row],[Inventory Type - Lookup Picker]]="","",Master[[#This Row],[Inventory Type - Lookup Picker]])</f>
        <v/>
      </c>
      <c r="Q182" s="45" t="str">
        <f t="shared" si="24"/>
        <v>Mike has</v>
      </c>
      <c r="R182" s="56" t="str">
        <f>IF(Master[[#This Row],[Latitude -decimal degrees]]="","",Master[[#This Row],[Latitude -decimal degrees]])</f>
        <v/>
      </c>
      <c r="S182" s="56" t="str">
        <f>IF(Master[[#This Row],[Longitude -decimal degrees]]="","",Master[[#This Row],[Longitude -decimal degrees]])</f>
        <v/>
      </c>
      <c r="T182" s="30" t="str">
        <f>IF(Master[[#This Row],[Parent Inventory]]="","",Master[[#This Row],[Parent Inventory]])</f>
        <v/>
      </c>
      <c r="U182" s="30" t="str">
        <f>IF(Master[[#This Row],[Hundred Seed Weight -gram]]="","",Master[[#This Row],[Hundred Seed Weight -gram]])</f>
        <v/>
      </c>
      <c r="V182" s="30" t="str">
        <f>IF(Master[[#This Row],[Note (Inventory)]]="","",Master[[#This Row],[Note (Inventory)]])</f>
        <v/>
      </c>
    </row>
    <row r="183" spans="1:22" x14ac:dyDescent="0.25">
      <c r="A183" s="30"/>
      <c r="B183" s="151" t="str">
        <f>IF(Master[[#This Row],[Inventory Prefix]]="","",Master[[#This Row],[Inventory Prefix]])</f>
        <v/>
      </c>
      <c r="C183" s="151" t="str">
        <f>IF(Master[[#This Row],[Inventory Number]]="","",Master[[#This Row],[Inventory Number]])</f>
        <v/>
      </c>
      <c r="D183" s="78" t="str">
        <f>IF(Master[[#This Row],[Inventory Suffix]]="","",Master[[#This Row],[Inventory Suffix]])</f>
        <v/>
      </c>
      <c r="E183" s="30" t="str">
        <f>IF(Master[[#This Row],[Inventory Type - Lookup Picker]]="","",Master[[#This Row],[Inventory Type - Lookup Picker]])</f>
        <v/>
      </c>
      <c r="F183" s="151" t="str">
        <f>Master[[#This Row],[Accession Prefix (NPGS)]]&amp;" "&amp;Master[[#This Row],[Accession Number -Assigned]]</f>
        <v xml:space="preserve"> </v>
      </c>
      <c r="G183" s="78" t="str">
        <f>IF(Master[[#This Row],[Inventory Maintenance Policy]]="","",Master[[#This Row],[Inventory Maintenance Policy]])</f>
        <v/>
      </c>
      <c r="H183" s="30" t="str">
        <f>IF(Master[[#This Row],[Inventory Maintenance Site -W6]]="","",Master[[#This Row],[Inventory Maintenance Site -W6]])</f>
        <v/>
      </c>
      <c r="I183" s="30" t="str">
        <f>IF(RIGHT(TEXT(Inventory[[#This Row],[Inventory Suffix]],"00"),2)="01","Y",IF(RIGHT(TEXT(Inventory[[#This Row],[Inventory Suffix]],"00"),2)="c1","Y",IF(RIGHT(TEXT(Inventory[[#This Row],[Inventory Suffix]],"00"),2)="m1","Y","N")))</f>
        <v>N</v>
      </c>
      <c r="J183" s="30" t="str">
        <f>IF(Inventory[[#This Row],[Inventory Type]]="SD","Y",IF(Inventory[[#This Row],[Inventory Type]]="LV","Y","N"))</f>
        <v>N</v>
      </c>
      <c r="K183" s="30" t="str">
        <f t="shared" si="25"/>
        <v>N</v>
      </c>
      <c r="L183" s="30" t="str">
        <f t="shared" si="22"/>
        <v>Original lot received</v>
      </c>
      <c r="M183" s="30" t="str">
        <f t="shared" si="23"/>
        <v>ORIG from SOS Project</v>
      </c>
      <c r="N183" s="80">
        <f>ROUNDDOWN(Master[[#This Row],[Quantity On Hand]],0)</f>
        <v>0</v>
      </c>
      <c r="O183" s="78" t="str">
        <f>IF(Master[[#This Row],[Quantity On Hand Units -''count'' or ''packet'']]="","",Master[[#This Row],[Quantity On Hand Units -''count'' or ''packet'']])</f>
        <v/>
      </c>
      <c r="P183" s="80" t="str">
        <f>IF(Master[[#This Row],[Inventory Type - Lookup Picker]]="","",Master[[#This Row],[Inventory Type - Lookup Picker]])</f>
        <v/>
      </c>
      <c r="Q183" s="45" t="str">
        <f t="shared" si="24"/>
        <v>Mike has</v>
      </c>
      <c r="R183" s="56" t="str">
        <f>IF(Master[[#This Row],[Latitude -decimal degrees]]="","",Master[[#This Row],[Latitude -decimal degrees]])</f>
        <v/>
      </c>
      <c r="S183" s="56" t="str">
        <f>IF(Master[[#This Row],[Longitude -decimal degrees]]="","",Master[[#This Row],[Longitude -decimal degrees]])</f>
        <v/>
      </c>
      <c r="T183" s="30" t="str">
        <f>IF(Master[[#This Row],[Parent Inventory]]="","",Master[[#This Row],[Parent Inventory]])</f>
        <v/>
      </c>
      <c r="U183" s="30" t="str">
        <f>IF(Master[[#This Row],[Hundred Seed Weight -gram]]="","",Master[[#This Row],[Hundred Seed Weight -gram]])</f>
        <v/>
      </c>
      <c r="V183" s="30" t="str">
        <f>IF(Master[[#This Row],[Note (Inventory)]]="","",Master[[#This Row],[Note (Inventory)]])</f>
        <v/>
      </c>
    </row>
    <row r="184" spans="1:22" x14ac:dyDescent="0.25">
      <c r="A184" s="30"/>
      <c r="B184" s="151" t="str">
        <f>IF(Master[[#This Row],[Inventory Prefix]]="","",Master[[#This Row],[Inventory Prefix]])</f>
        <v/>
      </c>
      <c r="C184" s="151" t="str">
        <f>IF(Master[[#This Row],[Inventory Number]]="","",Master[[#This Row],[Inventory Number]])</f>
        <v/>
      </c>
      <c r="D184" s="78" t="str">
        <f>IF(Master[[#This Row],[Inventory Suffix]]="","",Master[[#This Row],[Inventory Suffix]])</f>
        <v/>
      </c>
      <c r="E184" s="30" t="str">
        <f>IF(Master[[#This Row],[Inventory Type - Lookup Picker]]="","",Master[[#This Row],[Inventory Type - Lookup Picker]])</f>
        <v/>
      </c>
      <c r="F184" s="151" t="str">
        <f>Master[[#This Row],[Accession Prefix (NPGS)]]&amp;" "&amp;Master[[#This Row],[Accession Number -Assigned]]</f>
        <v xml:space="preserve"> </v>
      </c>
      <c r="G184" s="78" t="str">
        <f>IF(Master[[#This Row],[Inventory Maintenance Policy]]="","",Master[[#This Row],[Inventory Maintenance Policy]])</f>
        <v/>
      </c>
      <c r="H184" s="30" t="str">
        <f>IF(Master[[#This Row],[Inventory Maintenance Site -W6]]="","",Master[[#This Row],[Inventory Maintenance Site -W6]])</f>
        <v/>
      </c>
      <c r="I184" s="30" t="str">
        <f>IF(RIGHT(TEXT(Inventory[[#This Row],[Inventory Suffix]],"00"),2)="01","Y",IF(RIGHT(TEXT(Inventory[[#This Row],[Inventory Suffix]],"00"),2)="c1","Y",IF(RIGHT(TEXT(Inventory[[#This Row],[Inventory Suffix]],"00"),2)="m1","Y","N")))</f>
        <v>N</v>
      </c>
      <c r="J184" s="30" t="str">
        <f>IF(Inventory[[#This Row],[Inventory Type]]="SD","Y",IF(Inventory[[#This Row],[Inventory Type]]="LV","Y","N"))</f>
        <v>N</v>
      </c>
      <c r="K184" s="30" t="str">
        <f t="shared" si="25"/>
        <v>N</v>
      </c>
      <c r="L184" s="30" t="str">
        <f t="shared" si="22"/>
        <v>Original lot received</v>
      </c>
      <c r="M184" s="30" t="str">
        <f t="shared" si="23"/>
        <v>ORIG from SOS Project</v>
      </c>
      <c r="N184" s="80">
        <f>ROUNDDOWN(Master[[#This Row],[Quantity On Hand]],0)</f>
        <v>0</v>
      </c>
      <c r="O184" s="78" t="str">
        <f>IF(Master[[#This Row],[Quantity On Hand Units -''count'' or ''packet'']]="","",Master[[#This Row],[Quantity On Hand Units -''count'' or ''packet'']])</f>
        <v/>
      </c>
      <c r="P184" s="80" t="str">
        <f>IF(Master[[#This Row],[Inventory Type - Lookup Picker]]="","",Master[[#This Row],[Inventory Type - Lookup Picker]])</f>
        <v/>
      </c>
      <c r="Q184" s="45" t="str">
        <f t="shared" si="24"/>
        <v>Mike has</v>
      </c>
      <c r="R184" s="56" t="str">
        <f>IF(Master[[#This Row],[Latitude -decimal degrees]]="","",Master[[#This Row],[Latitude -decimal degrees]])</f>
        <v/>
      </c>
      <c r="S184" s="56" t="str">
        <f>IF(Master[[#This Row],[Longitude -decimal degrees]]="","",Master[[#This Row],[Longitude -decimal degrees]])</f>
        <v/>
      </c>
      <c r="T184" s="30" t="str">
        <f>IF(Master[[#This Row],[Parent Inventory]]="","",Master[[#This Row],[Parent Inventory]])</f>
        <v/>
      </c>
      <c r="U184" s="30" t="str">
        <f>IF(Master[[#This Row],[Hundred Seed Weight -gram]]="","",Master[[#This Row],[Hundred Seed Weight -gram]])</f>
        <v/>
      </c>
      <c r="V184" s="30" t="str">
        <f>IF(Master[[#This Row],[Note (Inventory)]]="","",Master[[#This Row],[Note (Inventory)]])</f>
        <v/>
      </c>
    </row>
    <row r="185" spans="1:22" x14ac:dyDescent="0.25">
      <c r="A185" s="30"/>
      <c r="B185" s="151" t="str">
        <f>IF(Master[[#This Row],[Inventory Prefix]]="","",Master[[#This Row],[Inventory Prefix]])</f>
        <v/>
      </c>
      <c r="C185" s="151" t="str">
        <f>IF(Master[[#This Row],[Inventory Number]]="","",Master[[#This Row],[Inventory Number]])</f>
        <v/>
      </c>
      <c r="D185" s="78" t="str">
        <f>IF(Master[[#This Row],[Inventory Suffix]]="","",Master[[#This Row],[Inventory Suffix]])</f>
        <v/>
      </c>
      <c r="E185" s="30" t="str">
        <f>IF(Master[[#This Row],[Inventory Type - Lookup Picker]]="","",Master[[#This Row],[Inventory Type - Lookup Picker]])</f>
        <v/>
      </c>
      <c r="F185" s="151" t="str">
        <f>Master[[#This Row],[Accession Prefix (NPGS)]]&amp;" "&amp;Master[[#This Row],[Accession Number -Assigned]]</f>
        <v xml:space="preserve"> </v>
      </c>
      <c r="G185" s="78" t="str">
        <f>IF(Master[[#This Row],[Inventory Maintenance Policy]]="","",Master[[#This Row],[Inventory Maintenance Policy]])</f>
        <v/>
      </c>
      <c r="H185" s="30" t="str">
        <f>IF(Master[[#This Row],[Inventory Maintenance Site -W6]]="","",Master[[#This Row],[Inventory Maintenance Site -W6]])</f>
        <v/>
      </c>
      <c r="I185" s="30" t="str">
        <f>IF(RIGHT(TEXT(Inventory[[#This Row],[Inventory Suffix]],"00"),2)="01","Y",IF(RIGHT(TEXT(Inventory[[#This Row],[Inventory Suffix]],"00"),2)="c1","Y",IF(RIGHT(TEXT(Inventory[[#This Row],[Inventory Suffix]],"00"),2)="m1","Y","N")))</f>
        <v>N</v>
      </c>
      <c r="J185" s="30" t="str">
        <f>IF(Inventory[[#This Row],[Inventory Type]]="SD","Y",IF(Inventory[[#This Row],[Inventory Type]]="LV","Y","N"))</f>
        <v>N</v>
      </c>
      <c r="K185" s="30" t="str">
        <f t="shared" si="25"/>
        <v>N</v>
      </c>
      <c r="L185" s="30" t="str">
        <f t="shared" si="22"/>
        <v>Original lot received</v>
      </c>
      <c r="M185" s="30" t="str">
        <f t="shared" si="23"/>
        <v>ORIG from SOS Project</v>
      </c>
      <c r="N185" s="80">
        <f>ROUNDDOWN(Master[[#This Row],[Quantity On Hand]],0)</f>
        <v>0</v>
      </c>
      <c r="O185" s="78" t="str">
        <f>IF(Master[[#This Row],[Quantity On Hand Units -''count'' or ''packet'']]="","",Master[[#This Row],[Quantity On Hand Units -''count'' or ''packet'']])</f>
        <v/>
      </c>
      <c r="P185" s="80" t="str">
        <f>IF(Master[[#This Row],[Inventory Type - Lookup Picker]]="","",Master[[#This Row],[Inventory Type - Lookup Picker]])</f>
        <v/>
      </c>
      <c r="Q185" s="45" t="str">
        <f t="shared" si="24"/>
        <v>Mike has</v>
      </c>
      <c r="R185" s="56" t="str">
        <f>IF(Master[[#This Row],[Latitude -decimal degrees]]="","",Master[[#This Row],[Latitude -decimal degrees]])</f>
        <v/>
      </c>
      <c r="S185" s="56" t="str">
        <f>IF(Master[[#This Row],[Longitude -decimal degrees]]="","",Master[[#This Row],[Longitude -decimal degrees]])</f>
        <v/>
      </c>
      <c r="T185" s="30" t="str">
        <f>IF(Master[[#This Row],[Parent Inventory]]="","",Master[[#This Row],[Parent Inventory]])</f>
        <v/>
      </c>
      <c r="U185" s="30" t="str">
        <f>IF(Master[[#This Row],[Hundred Seed Weight -gram]]="","",Master[[#This Row],[Hundred Seed Weight -gram]])</f>
        <v/>
      </c>
      <c r="V185" s="30" t="str">
        <f>IF(Master[[#This Row],[Note (Inventory)]]="","",Master[[#This Row],[Note (Inventory)]])</f>
        <v/>
      </c>
    </row>
    <row r="186" spans="1:22" x14ac:dyDescent="0.25">
      <c r="A186" s="30"/>
      <c r="B186" s="151" t="str">
        <f>IF(Master[[#This Row],[Inventory Prefix]]="","",Master[[#This Row],[Inventory Prefix]])</f>
        <v/>
      </c>
      <c r="C186" s="151" t="str">
        <f>IF(Master[[#This Row],[Inventory Number]]="","",Master[[#This Row],[Inventory Number]])</f>
        <v/>
      </c>
      <c r="D186" s="78" t="str">
        <f>IF(Master[[#This Row],[Inventory Suffix]]="","",Master[[#This Row],[Inventory Suffix]])</f>
        <v/>
      </c>
      <c r="E186" s="30" t="str">
        <f>IF(Master[[#This Row],[Inventory Type - Lookup Picker]]="","",Master[[#This Row],[Inventory Type - Lookup Picker]])</f>
        <v/>
      </c>
      <c r="F186" s="151" t="str">
        <f>Master[[#This Row],[Accession Prefix (NPGS)]]&amp;" "&amp;Master[[#This Row],[Accession Number -Assigned]]</f>
        <v xml:space="preserve"> </v>
      </c>
      <c r="G186" s="78" t="str">
        <f>IF(Master[[#This Row],[Inventory Maintenance Policy]]="","",Master[[#This Row],[Inventory Maintenance Policy]])</f>
        <v/>
      </c>
      <c r="H186" s="30" t="str">
        <f>IF(Master[[#This Row],[Inventory Maintenance Site -W6]]="","",Master[[#This Row],[Inventory Maintenance Site -W6]])</f>
        <v/>
      </c>
      <c r="I186" s="30" t="str">
        <f>IF(RIGHT(TEXT(Inventory[[#This Row],[Inventory Suffix]],"00"),2)="01","Y",IF(RIGHT(TEXT(Inventory[[#This Row],[Inventory Suffix]],"00"),2)="c1","Y",IF(RIGHT(TEXT(Inventory[[#This Row],[Inventory Suffix]],"00"),2)="m1","Y","N")))</f>
        <v>N</v>
      </c>
      <c r="J186" s="30" t="str">
        <f>IF(Inventory[[#This Row],[Inventory Type]]="SD","Y",IF(Inventory[[#This Row],[Inventory Type]]="LV","Y","N"))</f>
        <v>N</v>
      </c>
      <c r="K186" s="30" t="str">
        <f t="shared" si="25"/>
        <v>N</v>
      </c>
      <c r="L186" s="30" t="str">
        <f t="shared" si="22"/>
        <v>Original lot received</v>
      </c>
      <c r="M186" s="30" t="str">
        <f t="shared" si="23"/>
        <v>ORIG from SOS Project</v>
      </c>
      <c r="N186" s="80">
        <f>ROUNDDOWN(Master[[#This Row],[Quantity On Hand]],0)</f>
        <v>0</v>
      </c>
      <c r="O186" s="78" t="str">
        <f>IF(Master[[#This Row],[Quantity On Hand Units -''count'' or ''packet'']]="","",Master[[#This Row],[Quantity On Hand Units -''count'' or ''packet'']])</f>
        <v/>
      </c>
      <c r="P186" s="80" t="str">
        <f>IF(Master[[#This Row],[Inventory Type - Lookup Picker]]="","",Master[[#This Row],[Inventory Type - Lookup Picker]])</f>
        <v/>
      </c>
      <c r="Q186" s="45" t="str">
        <f t="shared" si="24"/>
        <v>Mike has</v>
      </c>
      <c r="R186" s="56" t="str">
        <f>IF(Master[[#This Row],[Latitude -decimal degrees]]="","",Master[[#This Row],[Latitude -decimal degrees]])</f>
        <v/>
      </c>
      <c r="S186" s="56" t="str">
        <f>IF(Master[[#This Row],[Longitude -decimal degrees]]="","",Master[[#This Row],[Longitude -decimal degrees]])</f>
        <v/>
      </c>
      <c r="T186" s="30" t="str">
        <f>IF(Master[[#This Row],[Parent Inventory]]="","",Master[[#This Row],[Parent Inventory]])</f>
        <v/>
      </c>
      <c r="U186" s="30" t="str">
        <f>IF(Master[[#This Row],[Hundred Seed Weight -gram]]="","",Master[[#This Row],[Hundred Seed Weight -gram]])</f>
        <v/>
      </c>
      <c r="V186" s="30" t="str">
        <f>IF(Master[[#This Row],[Note (Inventory)]]="","",Master[[#This Row],[Note (Inventory)]])</f>
        <v/>
      </c>
    </row>
    <row r="187" spans="1:22" x14ac:dyDescent="0.25">
      <c r="A187" s="30"/>
      <c r="B187" s="151" t="str">
        <f>IF(Master[[#This Row],[Inventory Prefix]]="","",Master[[#This Row],[Inventory Prefix]])</f>
        <v/>
      </c>
      <c r="C187" s="151" t="str">
        <f>IF(Master[[#This Row],[Inventory Number]]="","",Master[[#This Row],[Inventory Number]])</f>
        <v/>
      </c>
      <c r="D187" s="78" t="str">
        <f>IF(Master[[#This Row],[Inventory Suffix]]="","",Master[[#This Row],[Inventory Suffix]])</f>
        <v/>
      </c>
      <c r="E187" s="30" t="str">
        <f>IF(Master[[#This Row],[Inventory Type - Lookup Picker]]="","",Master[[#This Row],[Inventory Type - Lookup Picker]])</f>
        <v/>
      </c>
      <c r="F187" s="151" t="str">
        <f>Master[[#This Row],[Accession Prefix (NPGS)]]&amp;" "&amp;Master[[#This Row],[Accession Number -Assigned]]</f>
        <v xml:space="preserve"> </v>
      </c>
      <c r="G187" s="78" t="str">
        <f>IF(Master[[#This Row],[Inventory Maintenance Policy]]="","",Master[[#This Row],[Inventory Maintenance Policy]])</f>
        <v/>
      </c>
      <c r="H187" s="30" t="str">
        <f>IF(Master[[#This Row],[Inventory Maintenance Site -W6]]="","",Master[[#This Row],[Inventory Maintenance Site -W6]])</f>
        <v/>
      </c>
      <c r="I187" s="30" t="str">
        <f>IF(RIGHT(TEXT(Inventory[[#This Row],[Inventory Suffix]],"00"),2)="01","Y",IF(RIGHT(TEXT(Inventory[[#This Row],[Inventory Suffix]],"00"),2)="c1","Y",IF(RIGHT(TEXT(Inventory[[#This Row],[Inventory Suffix]],"00"),2)="m1","Y","N")))</f>
        <v>N</v>
      </c>
      <c r="J187" s="30" t="str">
        <f>IF(Inventory[[#This Row],[Inventory Type]]="SD","Y",IF(Inventory[[#This Row],[Inventory Type]]="LV","Y","N"))</f>
        <v>N</v>
      </c>
      <c r="K187" s="30" t="str">
        <f t="shared" si="25"/>
        <v>N</v>
      </c>
      <c r="L187" s="30" t="str">
        <f t="shared" si="22"/>
        <v>Original lot received</v>
      </c>
      <c r="M187" s="30" t="str">
        <f t="shared" si="23"/>
        <v>ORIG from SOS Project</v>
      </c>
      <c r="N187" s="80">
        <f>ROUNDDOWN(Master[[#This Row],[Quantity On Hand]],0)</f>
        <v>0</v>
      </c>
      <c r="O187" s="78" t="str">
        <f>IF(Master[[#This Row],[Quantity On Hand Units -''count'' or ''packet'']]="","",Master[[#This Row],[Quantity On Hand Units -''count'' or ''packet'']])</f>
        <v/>
      </c>
      <c r="P187" s="80" t="str">
        <f>IF(Master[[#This Row],[Inventory Type - Lookup Picker]]="","",Master[[#This Row],[Inventory Type - Lookup Picker]])</f>
        <v/>
      </c>
      <c r="Q187" s="45" t="str">
        <f t="shared" si="24"/>
        <v>Mike has</v>
      </c>
      <c r="R187" s="56" t="str">
        <f>IF(Master[[#This Row],[Latitude -decimal degrees]]="","",Master[[#This Row],[Latitude -decimal degrees]])</f>
        <v/>
      </c>
      <c r="S187" s="56" t="str">
        <f>IF(Master[[#This Row],[Longitude -decimal degrees]]="","",Master[[#This Row],[Longitude -decimal degrees]])</f>
        <v/>
      </c>
      <c r="T187" s="30" t="str">
        <f>IF(Master[[#This Row],[Parent Inventory]]="","",Master[[#This Row],[Parent Inventory]])</f>
        <v/>
      </c>
      <c r="U187" s="30" t="str">
        <f>IF(Master[[#This Row],[Hundred Seed Weight -gram]]="","",Master[[#This Row],[Hundred Seed Weight -gram]])</f>
        <v/>
      </c>
      <c r="V187" s="30" t="str">
        <f>IF(Master[[#This Row],[Note (Inventory)]]="","",Master[[#This Row],[Note (Inventory)]])</f>
        <v/>
      </c>
    </row>
    <row r="188" spans="1:22" x14ac:dyDescent="0.25">
      <c r="A188" s="30"/>
      <c r="B188" s="151" t="str">
        <f>IF(Master[[#This Row],[Inventory Prefix]]="","",Master[[#This Row],[Inventory Prefix]])</f>
        <v/>
      </c>
      <c r="C188" s="151" t="str">
        <f>IF(Master[[#This Row],[Inventory Number]]="","",Master[[#This Row],[Inventory Number]])</f>
        <v/>
      </c>
      <c r="D188" s="78" t="str">
        <f>IF(Master[[#This Row],[Inventory Suffix]]="","",Master[[#This Row],[Inventory Suffix]])</f>
        <v/>
      </c>
      <c r="E188" s="30" t="str">
        <f>IF(Master[[#This Row],[Inventory Type - Lookup Picker]]="","",Master[[#This Row],[Inventory Type - Lookup Picker]])</f>
        <v/>
      </c>
      <c r="F188" s="151" t="str">
        <f>Master[[#This Row],[Accession Prefix (NPGS)]]&amp;" "&amp;Master[[#This Row],[Accession Number -Assigned]]</f>
        <v xml:space="preserve"> </v>
      </c>
      <c r="G188" s="78" t="str">
        <f>IF(Master[[#This Row],[Inventory Maintenance Policy]]="","",Master[[#This Row],[Inventory Maintenance Policy]])</f>
        <v/>
      </c>
      <c r="H188" s="30" t="str">
        <f>IF(Master[[#This Row],[Inventory Maintenance Site -W6]]="","",Master[[#This Row],[Inventory Maintenance Site -W6]])</f>
        <v/>
      </c>
      <c r="I188" s="30" t="str">
        <f>IF(RIGHT(TEXT(Inventory[[#This Row],[Inventory Suffix]],"00"),2)="01","Y",IF(RIGHT(TEXT(Inventory[[#This Row],[Inventory Suffix]],"00"),2)="c1","Y",IF(RIGHT(TEXT(Inventory[[#This Row],[Inventory Suffix]],"00"),2)="m1","Y","N")))</f>
        <v>N</v>
      </c>
      <c r="J188" s="30" t="str">
        <f>IF(Inventory[[#This Row],[Inventory Type]]="SD","Y",IF(Inventory[[#This Row],[Inventory Type]]="LV","Y","N"))</f>
        <v>N</v>
      </c>
      <c r="K188" s="30" t="str">
        <f t="shared" si="25"/>
        <v>N</v>
      </c>
      <c r="L188" s="30" t="str">
        <f t="shared" si="22"/>
        <v>Original lot received</v>
      </c>
      <c r="M188" s="30" t="str">
        <f t="shared" si="23"/>
        <v>ORIG from SOS Project</v>
      </c>
      <c r="N188" s="80">
        <f>ROUNDDOWN(Master[[#This Row],[Quantity On Hand]],0)</f>
        <v>0</v>
      </c>
      <c r="O188" s="78" t="str">
        <f>IF(Master[[#This Row],[Quantity On Hand Units -''count'' or ''packet'']]="","",Master[[#This Row],[Quantity On Hand Units -''count'' or ''packet'']])</f>
        <v/>
      </c>
      <c r="P188" s="80" t="str">
        <f>IF(Master[[#This Row],[Inventory Type - Lookup Picker]]="","",Master[[#This Row],[Inventory Type - Lookup Picker]])</f>
        <v/>
      </c>
      <c r="Q188" s="45" t="str">
        <f t="shared" si="24"/>
        <v>Mike has</v>
      </c>
      <c r="R188" s="56" t="str">
        <f>IF(Master[[#This Row],[Latitude -decimal degrees]]="","",Master[[#This Row],[Latitude -decimal degrees]])</f>
        <v/>
      </c>
      <c r="S188" s="56" t="str">
        <f>IF(Master[[#This Row],[Longitude -decimal degrees]]="","",Master[[#This Row],[Longitude -decimal degrees]])</f>
        <v/>
      </c>
      <c r="T188" s="30" t="str">
        <f>IF(Master[[#This Row],[Parent Inventory]]="","",Master[[#This Row],[Parent Inventory]])</f>
        <v/>
      </c>
      <c r="U188" s="30" t="str">
        <f>IF(Master[[#This Row],[Hundred Seed Weight -gram]]="","",Master[[#This Row],[Hundred Seed Weight -gram]])</f>
        <v/>
      </c>
      <c r="V188" s="30" t="str">
        <f>IF(Master[[#This Row],[Note (Inventory)]]="","",Master[[#This Row],[Note (Inventory)]])</f>
        <v/>
      </c>
    </row>
    <row r="189" spans="1:22" x14ac:dyDescent="0.25">
      <c r="A189" s="30"/>
      <c r="B189" s="151" t="str">
        <f>IF(Master[[#This Row],[Inventory Prefix]]="","",Master[[#This Row],[Inventory Prefix]])</f>
        <v/>
      </c>
      <c r="C189" s="151" t="str">
        <f>IF(Master[[#This Row],[Inventory Number]]="","",Master[[#This Row],[Inventory Number]])</f>
        <v/>
      </c>
      <c r="D189" s="78" t="str">
        <f>IF(Master[[#This Row],[Inventory Suffix]]="","",Master[[#This Row],[Inventory Suffix]])</f>
        <v/>
      </c>
      <c r="E189" s="30" t="str">
        <f>IF(Master[[#This Row],[Inventory Type - Lookup Picker]]="","",Master[[#This Row],[Inventory Type - Lookup Picker]])</f>
        <v/>
      </c>
      <c r="F189" s="151" t="str">
        <f>Master[[#This Row],[Accession Prefix (NPGS)]]&amp;" "&amp;Master[[#This Row],[Accession Number -Assigned]]</f>
        <v xml:space="preserve"> </v>
      </c>
      <c r="G189" s="78" t="str">
        <f>IF(Master[[#This Row],[Inventory Maintenance Policy]]="","",Master[[#This Row],[Inventory Maintenance Policy]])</f>
        <v/>
      </c>
      <c r="H189" s="30" t="str">
        <f>IF(Master[[#This Row],[Inventory Maintenance Site -W6]]="","",Master[[#This Row],[Inventory Maintenance Site -W6]])</f>
        <v/>
      </c>
      <c r="I189" s="30" t="str">
        <f>IF(RIGHT(TEXT(Inventory[[#This Row],[Inventory Suffix]],"00"),2)="01","Y",IF(RIGHT(TEXT(Inventory[[#This Row],[Inventory Suffix]],"00"),2)="c1","Y",IF(RIGHT(TEXT(Inventory[[#This Row],[Inventory Suffix]],"00"),2)="m1","Y","N")))</f>
        <v>N</v>
      </c>
      <c r="J189" s="30" t="str">
        <f>IF(Inventory[[#This Row],[Inventory Type]]="SD","Y",IF(Inventory[[#This Row],[Inventory Type]]="LV","Y","N"))</f>
        <v>N</v>
      </c>
      <c r="K189" s="30" t="str">
        <f t="shared" si="25"/>
        <v>N</v>
      </c>
      <c r="L189" s="30" t="str">
        <f t="shared" si="22"/>
        <v>Original lot received</v>
      </c>
      <c r="M189" s="30" t="str">
        <f t="shared" si="23"/>
        <v>ORIG from SOS Project</v>
      </c>
      <c r="N189" s="80">
        <f>ROUNDDOWN(Master[[#This Row],[Quantity On Hand]],0)</f>
        <v>0</v>
      </c>
      <c r="O189" s="78" t="str">
        <f>IF(Master[[#This Row],[Quantity On Hand Units -''count'' or ''packet'']]="","",Master[[#This Row],[Quantity On Hand Units -''count'' or ''packet'']])</f>
        <v/>
      </c>
      <c r="P189" s="80" t="str">
        <f>IF(Master[[#This Row],[Inventory Type - Lookup Picker]]="","",Master[[#This Row],[Inventory Type - Lookup Picker]])</f>
        <v/>
      </c>
      <c r="Q189" s="45" t="str">
        <f t="shared" si="24"/>
        <v>Mike has</v>
      </c>
      <c r="R189" s="56" t="str">
        <f>IF(Master[[#This Row],[Latitude -decimal degrees]]="","",Master[[#This Row],[Latitude -decimal degrees]])</f>
        <v/>
      </c>
      <c r="S189" s="56" t="str">
        <f>IF(Master[[#This Row],[Longitude -decimal degrees]]="","",Master[[#This Row],[Longitude -decimal degrees]])</f>
        <v/>
      </c>
      <c r="T189" s="30" t="str">
        <f>IF(Master[[#This Row],[Parent Inventory]]="","",Master[[#This Row],[Parent Inventory]])</f>
        <v/>
      </c>
      <c r="U189" s="30" t="str">
        <f>IF(Master[[#This Row],[Hundred Seed Weight -gram]]="","",Master[[#This Row],[Hundred Seed Weight -gram]])</f>
        <v/>
      </c>
      <c r="V189" s="30" t="str">
        <f>IF(Master[[#This Row],[Note (Inventory)]]="","",Master[[#This Row],[Note (Inventory)]])</f>
        <v/>
      </c>
    </row>
    <row r="190" spans="1:22" x14ac:dyDescent="0.25">
      <c r="A190" s="30"/>
      <c r="B190" s="151" t="str">
        <f>IF(Master[[#This Row],[Inventory Prefix]]="","",Master[[#This Row],[Inventory Prefix]])</f>
        <v/>
      </c>
      <c r="C190" s="151" t="str">
        <f>IF(Master[[#This Row],[Inventory Number]]="","",Master[[#This Row],[Inventory Number]])</f>
        <v/>
      </c>
      <c r="D190" s="78" t="str">
        <f>IF(Master[[#This Row],[Inventory Suffix]]="","",Master[[#This Row],[Inventory Suffix]])</f>
        <v/>
      </c>
      <c r="E190" s="30" t="str">
        <f>IF(Master[[#This Row],[Inventory Type - Lookup Picker]]="","",Master[[#This Row],[Inventory Type - Lookup Picker]])</f>
        <v/>
      </c>
      <c r="F190" s="151" t="str">
        <f>Master[[#This Row],[Accession Prefix (NPGS)]]&amp;" "&amp;Master[[#This Row],[Accession Number -Assigned]]</f>
        <v xml:space="preserve"> </v>
      </c>
      <c r="G190" s="78" t="str">
        <f>IF(Master[[#This Row],[Inventory Maintenance Policy]]="","",Master[[#This Row],[Inventory Maintenance Policy]])</f>
        <v/>
      </c>
      <c r="H190" s="30" t="str">
        <f>IF(Master[[#This Row],[Inventory Maintenance Site -W6]]="","",Master[[#This Row],[Inventory Maintenance Site -W6]])</f>
        <v/>
      </c>
      <c r="I190" s="30" t="str">
        <f>IF(RIGHT(TEXT(Inventory[[#This Row],[Inventory Suffix]],"00"),2)="01","Y",IF(RIGHT(TEXT(Inventory[[#This Row],[Inventory Suffix]],"00"),2)="c1","Y",IF(RIGHT(TEXT(Inventory[[#This Row],[Inventory Suffix]],"00"),2)="m1","Y","N")))</f>
        <v>N</v>
      </c>
      <c r="J190" s="30" t="str">
        <f>IF(Inventory[[#This Row],[Inventory Type]]="SD","Y",IF(Inventory[[#This Row],[Inventory Type]]="LV","Y","N"))</f>
        <v>N</v>
      </c>
      <c r="K190" s="30" t="str">
        <f t="shared" si="25"/>
        <v>N</v>
      </c>
      <c r="L190" s="30" t="str">
        <f t="shared" si="22"/>
        <v>Original lot received</v>
      </c>
      <c r="M190" s="30" t="str">
        <f t="shared" si="23"/>
        <v>ORIG from SOS Project</v>
      </c>
      <c r="N190" s="80">
        <f>ROUNDDOWN(Master[[#This Row],[Quantity On Hand]],0)</f>
        <v>0</v>
      </c>
      <c r="O190" s="78" t="str">
        <f>IF(Master[[#This Row],[Quantity On Hand Units -''count'' or ''packet'']]="","",Master[[#This Row],[Quantity On Hand Units -''count'' or ''packet'']])</f>
        <v/>
      </c>
      <c r="P190" s="80" t="str">
        <f>IF(Master[[#This Row],[Inventory Type - Lookup Picker]]="","",Master[[#This Row],[Inventory Type - Lookup Picker]])</f>
        <v/>
      </c>
      <c r="Q190" s="45" t="str">
        <f t="shared" si="24"/>
        <v>Mike has</v>
      </c>
      <c r="R190" s="56" t="str">
        <f>IF(Master[[#This Row],[Latitude -decimal degrees]]="","",Master[[#This Row],[Latitude -decimal degrees]])</f>
        <v/>
      </c>
      <c r="S190" s="56" t="str">
        <f>IF(Master[[#This Row],[Longitude -decimal degrees]]="","",Master[[#This Row],[Longitude -decimal degrees]])</f>
        <v/>
      </c>
      <c r="T190" s="30" t="str">
        <f>IF(Master[[#This Row],[Parent Inventory]]="","",Master[[#This Row],[Parent Inventory]])</f>
        <v/>
      </c>
      <c r="U190" s="30" t="str">
        <f>IF(Master[[#This Row],[Hundred Seed Weight -gram]]="","",Master[[#This Row],[Hundred Seed Weight -gram]])</f>
        <v/>
      </c>
      <c r="V190" s="30" t="str">
        <f>IF(Master[[#This Row],[Note (Inventory)]]="","",Master[[#This Row],[Note (Inventory)]])</f>
        <v/>
      </c>
    </row>
    <row r="191" spans="1:22" x14ac:dyDescent="0.25">
      <c r="A191" s="30"/>
      <c r="B191" s="151" t="str">
        <f>IF(Master[[#This Row],[Inventory Prefix]]="","",Master[[#This Row],[Inventory Prefix]])</f>
        <v/>
      </c>
      <c r="C191" s="151" t="str">
        <f>IF(Master[[#This Row],[Inventory Number]]="","",Master[[#This Row],[Inventory Number]])</f>
        <v/>
      </c>
      <c r="D191" s="78" t="str">
        <f>IF(Master[[#This Row],[Inventory Suffix]]="","",Master[[#This Row],[Inventory Suffix]])</f>
        <v/>
      </c>
      <c r="E191" s="30" t="str">
        <f>IF(Master[[#This Row],[Inventory Type - Lookup Picker]]="","",Master[[#This Row],[Inventory Type - Lookup Picker]])</f>
        <v/>
      </c>
      <c r="F191" s="151" t="str">
        <f>Master[[#This Row],[Accession Prefix (NPGS)]]&amp;" "&amp;Master[[#This Row],[Accession Number -Assigned]]</f>
        <v xml:space="preserve"> </v>
      </c>
      <c r="G191" s="78" t="str">
        <f>IF(Master[[#This Row],[Inventory Maintenance Policy]]="","",Master[[#This Row],[Inventory Maintenance Policy]])</f>
        <v/>
      </c>
      <c r="H191" s="30" t="str">
        <f>IF(Master[[#This Row],[Inventory Maintenance Site -W6]]="","",Master[[#This Row],[Inventory Maintenance Site -W6]])</f>
        <v/>
      </c>
      <c r="I191" s="30" t="str">
        <f>IF(RIGHT(TEXT(Inventory[[#This Row],[Inventory Suffix]],"00"),2)="01","Y",IF(RIGHT(TEXT(Inventory[[#This Row],[Inventory Suffix]],"00"),2)="c1","Y",IF(RIGHT(TEXT(Inventory[[#This Row],[Inventory Suffix]],"00"),2)="m1","Y","N")))</f>
        <v>N</v>
      </c>
      <c r="J191" s="30" t="str">
        <f>IF(Inventory[[#This Row],[Inventory Type]]="SD","Y",IF(Inventory[[#This Row],[Inventory Type]]="LV","Y","N"))</f>
        <v>N</v>
      </c>
      <c r="K191" s="30" t="str">
        <f t="shared" si="25"/>
        <v>N</v>
      </c>
      <c r="L191" s="30" t="str">
        <f t="shared" si="22"/>
        <v>Original lot received</v>
      </c>
      <c r="M191" s="30" t="str">
        <f t="shared" si="23"/>
        <v>ORIG from SOS Project</v>
      </c>
      <c r="N191" s="80">
        <f>ROUNDDOWN(Master[[#This Row],[Quantity On Hand]],0)</f>
        <v>0</v>
      </c>
      <c r="O191" s="78" t="str">
        <f>IF(Master[[#This Row],[Quantity On Hand Units -''count'' or ''packet'']]="","",Master[[#This Row],[Quantity On Hand Units -''count'' or ''packet'']])</f>
        <v/>
      </c>
      <c r="P191" s="80" t="str">
        <f>IF(Master[[#This Row],[Inventory Type - Lookup Picker]]="","",Master[[#This Row],[Inventory Type - Lookup Picker]])</f>
        <v/>
      </c>
      <c r="Q191" s="45" t="str">
        <f t="shared" si="24"/>
        <v>Mike has</v>
      </c>
      <c r="R191" s="56" t="str">
        <f>IF(Master[[#This Row],[Latitude -decimal degrees]]="","",Master[[#This Row],[Latitude -decimal degrees]])</f>
        <v/>
      </c>
      <c r="S191" s="56" t="str">
        <f>IF(Master[[#This Row],[Longitude -decimal degrees]]="","",Master[[#This Row],[Longitude -decimal degrees]])</f>
        <v/>
      </c>
      <c r="T191" s="30" t="str">
        <f>IF(Master[[#This Row],[Parent Inventory]]="","",Master[[#This Row],[Parent Inventory]])</f>
        <v/>
      </c>
      <c r="U191" s="30" t="str">
        <f>IF(Master[[#This Row],[Hundred Seed Weight -gram]]="","",Master[[#This Row],[Hundred Seed Weight -gram]])</f>
        <v/>
      </c>
      <c r="V191" s="30" t="str">
        <f>IF(Master[[#This Row],[Note (Inventory)]]="","",Master[[#This Row],[Note (Inventory)]])</f>
        <v/>
      </c>
    </row>
    <row r="192" spans="1:22" x14ac:dyDescent="0.25">
      <c r="A192" s="30"/>
      <c r="B192" s="151" t="str">
        <f>IF(Master[[#This Row],[Inventory Prefix]]="","",Master[[#This Row],[Inventory Prefix]])</f>
        <v/>
      </c>
      <c r="C192" s="151" t="str">
        <f>IF(Master[[#This Row],[Inventory Number]]="","",Master[[#This Row],[Inventory Number]])</f>
        <v/>
      </c>
      <c r="D192" s="78" t="str">
        <f>IF(Master[[#This Row],[Inventory Suffix]]="","",Master[[#This Row],[Inventory Suffix]])</f>
        <v/>
      </c>
      <c r="E192" s="30" t="str">
        <f>IF(Master[[#This Row],[Inventory Type - Lookup Picker]]="","",Master[[#This Row],[Inventory Type - Lookup Picker]])</f>
        <v/>
      </c>
      <c r="F192" s="151" t="str">
        <f>Master[[#This Row],[Accession Prefix (NPGS)]]&amp;" "&amp;Master[[#This Row],[Accession Number -Assigned]]</f>
        <v xml:space="preserve"> </v>
      </c>
      <c r="G192" s="78" t="str">
        <f>IF(Master[[#This Row],[Inventory Maintenance Policy]]="","",Master[[#This Row],[Inventory Maintenance Policy]])</f>
        <v/>
      </c>
      <c r="H192" s="30" t="str">
        <f>IF(Master[[#This Row],[Inventory Maintenance Site -W6]]="","",Master[[#This Row],[Inventory Maintenance Site -W6]])</f>
        <v/>
      </c>
      <c r="I192" s="30" t="str">
        <f>IF(RIGHT(TEXT(Inventory[[#This Row],[Inventory Suffix]],"00"),2)="01","Y",IF(RIGHT(TEXT(Inventory[[#This Row],[Inventory Suffix]],"00"),2)="c1","Y",IF(RIGHT(TEXT(Inventory[[#This Row],[Inventory Suffix]],"00"),2)="m1","Y","N")))</f>
        <v>N</v>
      </c>
      <c r="J192" s="30" t="str">
        <f>IF(Inventory[[#This Row],[Inventory Type]]="SD","Y",IF(Inventory[[#This Row],[Inventory Type]]="LV","Y","N"))</f>
        <v>N</v>
      </c>
      <c r="K192" s="30" t="str">
        <f t="shared" si="25"/>
        <v>N</v>
      </c>
      <c r="L192" s="30" t="str">
        <f t="shared" si="22"/>
        <v>Original lot received</v>
      </c>
      <c r="M192" s="30" t="str">
        <f t="shared" si="23"/>
        <v>ORIG from SOS Project</v>
      </c>
      <c r="N192" s="80">
        <f>ROUNDDOWN(Master[[#This Row],[Quantity On Hand]],0)</f>
        <v>0</v>
      </c>
      <c r="O192" s="78" t="str">
        <f>IF(Master[[#This Row],[Quantity On Hand Units -''count'' or ''packet'']]="","",Master[[#This Row],[Quantity On Hand Units -''count'' or ''packet'']])</f>
        <v/>
      </c>
      <c r="P192" s="80" t="str">
        <f>IF(Master[[#This Row],[Inventory Type - Lookup Picker]]="","",Master[[#This Row],[Inventory Type - Lookup Picker]])</f>
        <v/>
      </c>
      <c r="Q192" s="45" t="str">
        <f t="shared" si="24"/>
        <v>Mike has</v>
      </c>
      <c r="R192" s="56" t="str">
        <f>IF(Master[[#This Row],[Latitude -decimal degrees]]="","",Master[[#This Row],[Latitude -decimal degrees]])</f>
        <v/>
      </c>
      <c r="S192" s="56" t="str">
        <f>IF(Master[[#This Row],[Longitude -decimal degrees]]="","",Master[[#This Row],[Longitude -decimal degrees]])</f>
        <v/>
      </c>
      <c r="T192" s="30" t="str">
        <f>IF(Master[[#This Row],[Parent Inventory]]="","",Master[[#This Row],[Parent Inventory]])</f>
        <v/>
      </c>
      <c r="U192" s="30" t="str">
        <f>IF(Master[[#This Row],[Hundred Seed Weight -gram]]="","",Master[[#This Row],[Hundred Seed Weight -gram]])</f>
        <v/>
      </c>
      <c r="V192" s="30" t="str">
        <f>IF(Master[[#This Row],[Note (Inventory)]]="","",Master[[#This Row],[Note (Inventory)]])</f>
        <v/>
      </c>
    </row>
    <row r="193" spans="1:22" x14ac:dyDescent="0.25">
      <c r="A193" s="30"/>
      <c r="B193" s="151" t="str">
        <f>IF(Master[[#This Row],[Inventory Prefix]]="","",Master[[#This Row],[Inventory Prefix]])</f>
        <v/>
      </c>
      <c r="C193" s="151" t="str">
        <f>IF(Master[[#This Row],[Inventory Number]]="","",Master[[#This Row],[Inventory Number]])</f>
        <v/>
      </c>
      <c r="D193" s="78" t="str">
        <f>IF(Master[[#This Row],[Inventory Suffix]]="","",Master[[#This Row],[Inventory Suffix]])</f>
        <v/>
      </c>
      <c r="E193" s="30" t="str">
        <f>IF(Master[[#This Row],[Inventory Type - Lookup Picker]]="","",Master[[#This Row],[Inventory Type - Lookup Picker]])</f>
        <v/>
      </c>
      <c r="F193" s="151" t="str">
        <f>Master[[#This Row],[Accession Prefix (NPGS)]]&amp;" "&amp;Master[[#This Row],[Accession Number -Assigned]]</f>
        <v xml:space="preserve"> </v>
      </c>
      <c r="G193" s="78" t="str">
        <f>IF(Master[[#This Row],[Inventory Maintenance Policy]]="","",Master[[#This Row],[Inventory Maintenance Policy]])</f>
        <v/>
      </c>
      <c r="H193" s="30" t="str">
        <f>IF(Master[[#This Row],[Inventory Maintenance Site -W6]]="","",Master[[#This Row],[Inventory Maintenance Site -W6]])</f>
        <v/>
      </c>
      <c r="I193" s="30" t="str">
        <f>IF(RIGHT(TEXT(Inventory[[#This Row],[Inventory Suffix]],"00"),2)="01","Y",IF(RIGHT(TEXT(Inventory[[#This Row],[Inventory Suffix]],"00"),2)="c1","Y",IF(RIGHT(TEXT(Inventory[[#This Row],[Inventory Suffix]],"00"),2)="m1","Y","N")))</f>
        <v>N</v>
      </c>
      <c r="J193" s="30" t="str">
        <f>IF(Inventory[[#This Row],[Inventory Type]]="SD","Y",IF(Inventory[[#This Row],[Inventory Type]]="LV","Y","N"))</f>
        <v>N</v>
      </c>
      <c r="K193" s="30" t="str">
        <f t="shared" si="25"/>
        <v>N</v>
      </c>
      <c r="L193" s="30" t="str">
        <f t="shared" si="22"/>
        <v>Original lot received</v>
      </c>
      <c r="M193" s="30" t="str">
        <f t="shared" si="23"/>
        <v>ORIG from SOS Project</v>
      </c>
      <c r="N193" s="80">
        <f>ROUNDDOWN(Master[[#This Row],[Quantity On Hand]],0)</f>
        <v>0</v>
      </c>
      <c r="O193" s="78" t="str">
        <f>IF(Master[[#This Row],[Quantity On Hand Units -''count'' or ''packet'']]="","",Master[[#This Row],[Quantity On Hand Units -''count'' or ''packet'']])</f>
        <v/>
      </c>
      <c r="P193" s="80" t="str">
        <f>IF(Master[[#This Row],[Inventory Type - Lookup Picker]]="","",Master[[#This Row],[Inventory Type - Lookup Picker]])</f>
        <v/>
      </c>
      <c r="Q193" s="45" t="str">
        <f t="shared" si="24"/>
        <v>Mike has</v>
      </c>
      <c r="R193" s="56" t="str">
        <f>IF(Master[[#This Row],[Latitude -decimal degrees]]="","",Master[[#This Row],[Latitude -decimal degrees]])</f>
        <v/>
      </c>
      <c r="S193" s="56" t="str">
        <f>IF(Master[[#This Row],[Longitude -decimal degrees]]="","",Master[[#This Row],[Longitude -decimal degrees]])</f>
        <v/>
      </c>
      <c r="T193" s="30" t="str">
        <f>IF(Master[[#This Row],[Parent Inventory]]="","",Master[[#This Row],[Parent Inventory]])</f>
        <v/>
      </c>
      <c r="U193" s="30" t="str">
        <f>IF(Master[[#This Row],[Hundred Seed Weight -gram]]="","",Master[[#This Row],[Hundred Seed Weight -gram]])</f>
        <v/>
      </c>
      <c r="V193" s="30" t="str">
        <f>IF(Master[[#This Row],[Note (Inventory)]]="","",Master[[#This Row],[Note (Inventory)]])</f>
        <v/>
      </c>
    </row>
    <row r="194" spans="1:22" x14ac:dyDescent="0.25">
      <c r="A194" s="30"/>
      <c r="B194" s="151" t="str">
        <f>IF(Master[[#This Row],[Inventory Prefix]]="","",Master[[#This Row],[Inventory Prefix]])</f>
        <v/>
      </c>
      <c r="C194" s="151" t="str">
        <f>IF(Master[[#This Row],[Inventory Number]]="","",Master[[#This Row],[Inventory Number]])</f>
        <v/>
      </c>
      <c r="D194" s="78" t="str">
        <f>IF(Master[[#This Row],[Inventory Suffix]]="","",Master[[#This Row],[Inventory Suffix]])</f>
        <v/>
      </c>
      <c r="E194" s="30" t="str">
        <f>IF(Master[[#This Row],[Inventory Type - Lookup Picker]]="","",Master[[#This Row],[Inventory Type - Lookup Picker]])</f>
        <v/>
      </c>
      <c r="F194" s="151" t="str">
        <f>Master[[#This Row],[Accession Prefix (NPGS)]]&amp;" "&amp;Master[[#This Row],[Accession Number -Assigned]]</f>
        <v xml:space="preserve"> </v>
      </c>
      <c r="G194" s="78" t="str">
        <f>IF(Master[[#This Row],[Inventory Maintenance Policy]]="","",Master[[#This Row],[Inventory Maintenance Policy]])</f>
        <v/>
      </c>
      <c r="H194" s="30" t="str">
        <f>IF(Master[[#This Row],[Inventory Maintenance Site -W6]]="","",Master[[#This Row],[Inventory Maintenance Site -W6]])</f>
        <v/>
      </c>
      <c r="I194" s="30" t="str">
        <f>IF(RIGHT(TEXT(Inventory[[#This Row],[Inventory Suffix]],"00"),2)="01","Y",IF(RIGHT(TEXT(Inventory[[#This Row],[Inventory Suffix]],"00"),2)="c1","Y",IF(RIGHT(TEXT(Inventory[[#This Row],[Inventory Suffix]],"00"),2)="m1","Y","N")))</f>
        <v>N</v>
      </c>
      <c r="J194" s="30" t="str">
        <f>IF(Inventory[[#This Row],[Inventory Type]]="SD","Y",IF(Inventory[[#This Row],[Inventory Type]]="LV","Y","N"))</f>
        <v>N</v>
      </c>
      <c r="K194" s="30" t="str">
        <f t="shared" si="25"/>
        <v>N</v>
      </c>
      <c r="L194" s="30" t="str">
        <f t="shared" ref="L194:L201" si="26">"Original lot received"</f>
        <v>Original lot received</v>
      </c>
      <c r="M194" s="30" t="str">
        <f t="shared" ref="M194:M201" si="27">"ORIG from SOS Project"</f>
        <v>ORIG from SOS Project</v>
      </c>
      <c r="N194" s="80">
        <f>ROUNDDOWN(Master[[#This Row],[Quantity On Hand]],0)</f>
        <v>0</v>
      </c>
      <c r="O194" s="78" t="str">
        <f>IF(Master[[#This Row],[Quantity On Hand Units -''count'' or ''packet'']]="","",Master[[#This Row],[Quantity On Hand Units -''count'' or ''packet'']])</f>
        <v/>
      </c>
      <c r="P194" s="80" t="str">
        <f>IF(Master[[#This Row],[Inventory Type - Lookup Picker]]="","",Master[[#This Row],[Inventory Type - Lookup Picker]])</f>
        <v/>
      </c>
      <c r="Q194" s="45" t="str">
        <f t="shared" ref="Q194:Q201" si="28">"Mike has"</f>
        <v>Mike has</v>
      </c>
      <c r="R194" s="56" t="str">
        <f>IF(Master[[#This Row],[Latitude -decimal degrees]]="","",Master[[#This Row],[Latitude -decimal degrees]])</f>
        <v/>
      </c>
      <c r="S194" s="56" t="str">
        <f>IF(Master[[#This Row],[Longitude -decimal degrees]]="","",Master[[#This Row],[Longitude -decimal degrees]])</f>
        <v/>
      </c>
      <c r="T194" s="30" t="str">
        <f>IF(Master[[#This Row],[Parent Inventory]]="","",Master[[#This Row],[Parent Inventory]])</f>
        <v/>
      </c>
      <c r="U194" s="30" t="str">
        <f>IF(Master[[#This Row],[Hundred Seed Weight -gram]]="","",Master[[#This Row],[Hundred Seed Weight -gram]])</f>
        <v/>
      </c>
      <c r="V194" s="30" t="str">
        <f>IF(Master[[#This Row],[Note (Inventory)]]="","",Master[[#This Row],[Note (Inventory)]])</f>
        <v/>
      </c>
    </row>
    <row r="195" spans="1:22" x14ac:dyDescent="0.25">
      <c r="A195" s="30"/>
      <c r="B195" s="151" t="str">
        <f>IF(Master[[#This Row],[Inventory Prefix]]="","",Master[[#This Row],[Inventory Prefix]])</f>
        <v/>
      </c>
      <c r="C195" s="151" t="str">
        <f>IF(Master[[#This Row],[Inventory Number]]="","",Master[[#This Row],[Inventory Number]])</f>
        <v/>
      </c>
      <c r="D195" s="78" t="str">
        <f>IF(Master[[#This Row],[Inventory Suffix]]="","",Master[[#This Row],[Inventory Suffix]])</f>
        <v/>
      </c>
      <c r="E195" s="30" t="str">
        <f>IF(Master[[#This Row],[Inventory Type - Lookup Picker]]="","",Master[[#This Row],[Inventory Type - Lookup Picker]])</f>
        <v/>
      </c>
      <c r="F195" s="151" t="str">
        <f>Master[[#This Row],[Accession Prefix (NPGS)]]&amp;" "&amp;Master[[#This Row],[Accession Number -Assigned]]</f>
        <v xml:space="preserve"> </v>
      </c>
      <c r="G195" s="78" t="str">
        <f>IF(Master[[#This Row],[Inventory Maintenance Policy]]="","",Master[[#This Row],[Inventory Maintenance Policy]])</f>
        <v/>
      </c>
      <c r="H195" s="30" t="str">
        <f>IF(Master[[#This Row],[Inventory Maintenance Site -W6]]="","",Master[[#This Row],[Inventory Maintenance Site -W6]])</f>
        <v/>
      </c>
      <c r="I195" s="30" t="str">
        <f>IF(RIGHT(TEXT(Inventory[[#This Row],[Inventory Suffix]],"00"),2)="01","Y",IF(RIGHT(TEXT(Inventory[[#This Row],[Inventory Suffix]],"00"),2)="c1","Y",IF(RIGHT(TEXT(Inventory[[#This Row],[Inventory Suffix]],"00"),2)="m1","Y","N")))</f>
        <v>N</v>
      </c>
      <c r="J195" s="30" t="str">
        <f>IF(Inventory[[#This Row],[Inventory Type]]="SD","Y",IF(Inventory[[#This Row],[Inventory Type]]="LV","Y","N"))</f>
        <v>N</v>
      </c>
      <c r="K195" s="30" t="str">
        <f t="shared" si="25"/>
        <v>N</v>
      </c>
      <c r="L195" s="30" t="str">
        <f t="shared" si="26"/>
        <v>Original lot received</v>
      </c>
      <c r="M195" s="30" t="str">
        <f t="shared" si="27"/>
        <v>ORIG from SOS Project</v>
      </c>
      <c r="N195" s="80">
        <f>ROUNDDOWN(Master[[#This Row],[Quantity On Hand]],0)</f>
        <v>0</v>
      </c>
      <c r="O195" s="78" t="str">
        <f>IF(Master[[#This Row],[Quantity On Hand Units -''count'' or ''packet'']]="","",Master[[#This Row],[Quantity On Hand Units -''count'' or ''packet'']])</f>
        <v/>
      </c>
      <c r="P195" s="80" t="str">
        <f>IF(Master[[#This Row],[Inventory Type - Lookup Picker]]="","",Master[[#This Row],[Inventory Type - Lookup Picker]])</f>
        <v/>
      </c>
      <c r="Q195" s="45" t="str">
        <f t="shared" si="28"/>
        <v>Mike has</v>
      </c>
      <c r="R195" s="56" t="str">
        <f>IF(Master[[#This Row],[Latitude -decimal degrees]]="","",Master[[#This Row],[Latitude -decimal degrees]])</f>
        <v/>
      </c>
      <c r="S195" s="56" t="str">
        <f>IF(Master[[#This Row],[Longitude -decimal degrees]]="","",Master[[#This Row],[Longitude -decimal degrees]])</f>
        <v/>
      </c>
      <c r="T195" s="30" t="str">
        <f>IF(Master[[#This Row],[Parent Inventory]]="","",Master[[#This Row],[Parent Inventory]])</f>
        <v/>
      </c>
      <c r="U195" s="30" t="str">
        <f>IF(Master[[#This Row],[Hundred Seed Weight -gram]]="","",Master[[#This Row],[Hundred Seed Weight -gram]])</f>
        <v/>
      </c>
      <c r="V195" s="30" t="str">
        <f>IF(Master[[#This Row],[Note (Inventory)]]="","",Master[[#This Row],[Note (Inventory)]])</f>
        <v/>
      </c>
    </row>
    <row r="196" spans="1:22" x14ac:dyDescent="0.25">
      <c r="A196" s="30"/>
      <c r="B196" s="151" t="str">
        <f>IF(Master[[#This Row],[Inventory Prefix]]="","",Master[[#This Row],[Inventory Prefix]])</f>
        <v/>
      </c>
      <c r="C196" s="151" t="str">
        <f>IF(Master[[#This Row],[Inventory Number]]="","",Master[[#This Row],[Inventory Number]])</f>
        <v/>
      </c>
      <c r="D196" s="78" t="str">
        <f>IF(Master[[#This Row],[Inventory Suffix]]="","",Master[[#This Row],[Inventory Suffix]])</f>
        <v/>
      </c>
      <c r="E196" s="30" t="str">
        <f>IF(Master[[#This Row],[Inventory Type - Lookup Picker]]="","",Master[[#This Row],[Inventory Type - Lookup Picker]])</f>
        <v/>
      </c>
      <c r="F196" s="151" t="str">
        <f>Master[[#This Row],[Accession Prefix (NPGS)]]&amp;" "&amp;Master[[#This Row],[Accession Number -Assigned]]</f>
        <v xml:space="preserve"> </v>
      </c>
      <c r="G196" s="78" t="str">
        <f>IF(Master[[#This Row],[Inventory Maintenance Policy]]="","",Master[[#This Row],[Inventory Maintenance Policy]])</f>
        <v/>
      </c>
      <c r="H196" s="30" t="str">
        <f>IF(Master[[#This Row],[Inventory Maintenance Site -W6]]="","",Master[[#This Row],[Inventory Maintenance Site -W6]])</f>
        <v/>
      </c>
      <c r="I196" s="30" t="str">
        <f>IF(RIGHT(TEXT(Inventory[[#This Row],[Inventory Suffix]],"00"),2)="01","Y",IF(RIGHT(TEXT(Inventory[[#This Row],[Inventory Suffix]],"00"),2)="c1","Y",IF(RIGHT(TEXT(Inventory[[#This Row],[Inventory Suffix]],"00"),2)="m1","Y","N")))</f>
        <v>N</v>
      </c>
      <c r="J196" s="30" t="str">
        <f>IF(Inventory[[#This Row],[Inventory Type]]="SD","Y",IF(Inventory[[#This Row],[Inventory Type]]="LV","Y","N"))</f>
        <v>N</v>
      </c>
      <c r="K196" s="30" t="str">
        <f t="shared" si="25"/>
        <v>N</v>
      </c>
      <c r="L196" s="30" t="str">
        <f t="shared" si="26"/>
        <v>Original lot received</v>
      </c>
      <c r="M196" s="30" t="str">
        <f t="shared" si="27"/>
        <v>ORIG from SOS Project</v>
      </c>
      <c r="N196" s="80">
        <f>ROUNDDOWN(Master[[#This Row],[Quantity On Hand]],0)</f>
        <v>0</v>
      </c>
      <c r="O196" s="78" t="str">
        <f>IF(Master[[#This Row],[Quantity On Hand Units -''count'' or ''packet'']]="","",Master[[#This Row],[Quantity On Hand Units -''count'' or ''packet'']])</f>
        <v/>
      </c>
      <c r="P196" s="80" t="str">
        <f>IF(Master[[#This Row],[Inventory Type - Lookup Picker]]="","",Master[[#This Row],[Inventory Type - Lookup Picker]])</f>
        <v/>
      </c>
      <c r="Q196" s="45" t="str">
        <f t="shared" si="28"/>
        <v>Mike has</v>
      </c>
      <c r="R196" s="56" t="str">
        <f>IF(Master[[#This Row],[Latitude -decimal degrees]]="","",Master[[#This Row],[Latitude -decimal degrees]])</f>
        <v/>
      </c>
      <c r="S196" s="56" t="str">
        <f>IF(Master[[#This Row],[Longitude -decimal degrees]]="","",Master[[#This Row],[Longitude -decimal degrees]])</f>
        <v/>
      </c>
      <c r="T196" s="30" t="str">
        <f>IF(Master[[#This Row],[Parent Inventory]]="","",Master[[#This Row],[Parent Inventory]])</f>
        <v/>
      </c>
      <c r="U196" s="30" t="str">
        <f>IF(Master[[#This Row],[Hundred Seed Weight -gram]]="","",Master[[#This Row],[Hundred Seed Weight -gram]])</f>
        <v/>
      </c>
      <c r="V196" s="30" t="str">
        <f>IF(Master[[#This Row],[Note (Inventory)]]="","",Master[[#This Row],[Note (Inventory)]])</f>
        <v/>
      </c>
    </row>
    <row r="197" spans="1:22" x14ac:dyDescent="0.25">
      <c r="A197" s="30"/>
      <c r="B197" s="151" t="str">
        <f>IF(Master[[#This Row],[Inventory Prefix]]="","",Master[[#This Row],[Inventory Prefix]])</f>
        <v/>
      </c>
      <c r="C197" s="151" t="str">
        <f>IF(Master[[#This Row],[Inventory Number]]="","",Master[[#This Row],[Inventory Number]])</f>
        <v/>
      </c>
      <c r="D197" s="78" t="str">
        <f>IF(Master[[#This Row],[Inventory Suffix]]="","",Master[[#This Row],[Inventory Suffix]])</f>
        <v/>
      </c>
      <c r="E197" s="30" t="str">
        <f>IF(Master[[#This Row],[Inventory Type - Lookup Picker]]="","",Master[[#This Row],[Inventory Type - Lookup Picker]])</f>
        <v/>
      </c>
      <c r="F197" s="151" t="str">
        <f>Master[[#This Row],[Accession Prefix (NPGS)]]&amp;" "&amp;Master[[#This Row],[Accession Number -Assigned]]</f>
        <v xml:space="preserve"> </v>
      </c>
      <c r="G197" s="78" t="str">
        <f>IF(Master[[#This Row],[Inventory Maintenance Policy]]="","",Master[[#This Row],[Inventory Maintenance Policy]])</f>
        <v/>
      </c>
      <c r="H197" s="30" t="str">
        <f>IF(Master[[#This Row],[Inventory Maintenance Site -W6]]="","",Master[[#This Row],[Inventory Maintenance Site -W6]])</f>
        <v/>
      </c>
      <c r="I197" s="30" t="str">
        <f>IF(RIGHT(TEXT(Inventory[[#This Row],[Inventory Suffix]],"00"),2)="01","Y",IF(RIGHT(TEXT(Inventory[[#This Row],[Inventory Suffix]],"00"),2)="c1","Y",IF(RIGHT(TEXT(Inventory[[#This Row],[Inventory Suffix]],"00"),2)="m1","Y","N")))</f>
        <v>N</v>
      </c>
      <c r="J197" s="30" t="str">
        <f>IF(Inventory[[#This Row],[Inventory Type]]="SD","Y",IF(Inventory[[#This Row],[Inventory Type]]="LV","Y","N"))</f>
        <v>N</v>
      </c>
      <c r="K197" s="30" t="str">
        <f t="shared" si="25"/>
        <v>N</v>
      </c>
      <c r="L197" s="30" t="str">
        <f t="shared" si="26"/>
        <v>Original lot received</v>
      </c>
      <c r="M197" s="30" t="str">
        <f t="shared" si="27"/>
        <v>ORIG from SOS Project</v>
      </c>
      <c r="N197" s="80">
        <f>ROUNDDOWN(Master[[#This Row],[Quantity On Hand]],0)</f>
        <v>0</v>
      </c>
      <c r="O197" s="78" t="str">
        <f>IF(Master[[#This Row],[Quantity On Hand Units -''count'' or ''packet'']]="","",Master[[#This Row],[Quantity On Hand Units -''count'' or ''packet'']])</f>
        <v/>
      </c>
      <c r="P197" s="80" t="str">
        <f>IF(Master[[#This Row],[Inventory Type - Lookup Picker]]="","",Master[[#This Row],[Inventory Type - Lookup Picker]])</f>
        <v/>
      </c>
      <c r="Q197" s="45" t="str">
        <f t="shared" si="28"/>
        <v>Mike has</v>
      </c>
      <c r="R197" s="56" t="str">
        <f>IF(Master[[#This Row],[Latitude -decimal degrees]]="","",Master[[#This Row],[Latitude -decimal degrees]])</f>
        <v/>
      </c>
      <c r="S197" s="56" t="str">
        <f>IF(Master[[#This Row],[Longitude -decimal degrees]]="","",Master[[#This Row],[Longitude -decimal degrees]])</f>
        <v/>
      </c>
      <c r="T197" s="30" t="str">
        <f>IF(Master[[#This Row],[Parent Inventory]]="","",Master[[#This Row],[Parent Inventory]])</f>
        <v/>
      </c>
      <c r="U197" s="30" t="str">
        <f>IF(Master[[#This Row],[Hundred Seed Weight -gram]]="","",Master[[#This Row],[Hundred Seed Weight -gram]])</f>
        <v/>
      </c>
      <c r="V197" s="30" t="str">
        <f>IF(Master[[#This Row],[Note (Inventory)]]="","",Master[[#This Row],[Note (Inventory)]])</f>
        <v/>
      </c>
    </row>
    <row r="198" spans="1:22" x14ac:dyDescent="0.25">
      <c r="A198" s="30"/>
      <c r="B198" s="151" t="str">
        <f>IF(Master[[#This Row],[Inventory Prefix]]="","",Master[[#This Row],[Inventory Prefix]])</f>
        <v/>
      </c>
      <c r="C198" s="151" t="str">
        <f>IF(Master[[#This Row],[Inventory Number]]="","",Master[[#This Row],[Inventory Number]])</f>
        <v/>
      </c>
      <c r="D198" s="78" t="str">
        <f>IF(Master[[#This Row],[Inventory Suffix]]="","",Master[[#This Row],[Inventory Suffix]])</f>
        <v/>
      </c>
      <c r="E198" s="30" t="str">
        <f>IF(Master[[#This Row],[Inventory Type - Lookup Picker]]="","",Master[[#This Row],[Inventory Type - Lookup Picker]])</f>
        <v/>
      </c>
      <c r="F198" s="151" t="str">
        <f>Master[[#This Row],[Accession Prefix (NPGS)]]&amp;" "&amp;Master[[#This Row],[Accession Number -Assigned]]</f>
        <v xml:space="preserve"> </v>
      </c>
      <c r="G198" s="78" t="str">
        <f>IF(Master[[#This Row],[Inventory Maintenance Policy]]="","",Master[[#This Row],[Inventory Maintenance Policy]])</f>
        <v/>
      </c>
      <c r="H198" s="30" t="str">
        <f>IF(Master[[#This Row],[Inventory Maintenance Site -W6]]="","",Master[[#This Row],[Inventory Maintenance Site -W6]])</f>
        <v/>
      </c>
      <c r="I198" s="30" t="str">
        <f>IF(RIGHT(TEXT(Inventory[[#This Row],[Inventory Suffix]],"00"),2)="01","Y",IF(RIGHT(TEXT(Inventory[[#This Row],[Inventory Suffix]],"00"),2)="c1","Y",IF(RIGHT(TEXT(Inventory[[#This Row],[Inventory Suffix]],"00"),2)="m1","Y","N")))</f>
        <v>N</v>
      </c>
      <c r="J198" s="30" t="str">
        <f>IF(Inventory[[#This Row],[Inventory Type]]="SD","Y",IF(Inventory[[#This Row],[Inventory Type]]="LV","Y","N"))</f>
        <v>N</v>
      </c>
      <c r="K198" s="30" t="str">
        <f t="shared" si="25"/>
        <v>N</v>
      </c>
      <c r="L198" s="30" t="str">
        <f t="shared" si="26"/>
        <v>Original lot received</v>
      </c>
      <c r="M198" s="30" t="str">
        <f t="shared" si="27"/>
        <v>ORIG from SOS Project</v>
      </c>
      <c r="N198" s="80">
        <f>ROUNDDOWN(Master[[#This Row],[Quantity On Hand]],0)</f>
        <v>0</v>
      </c>
      <c r="O198" s="78" t="str">
        <f>IF(Master[[#This Row],[Quantity On Hand Units -''count'' or ''packet'']]="","",Master[[#This Row],[Quantity On Hand Units -''count'' or ''packet'']])</f>
        <v/>
      </c>
      <c r="P198" s="80" t="str">
        <f>IF(Master[[#This Row],[Inventory Type - Lookup Picker]]="","",Master[[#This Row],[Inventory Type - Lookup Picker]])</f>
        <v/>
      </c>
      <c r="Q198" s="45" t="str">
        <f t="shared" si="28"/>
        <v>Mike has</v>
      </c>
      <c r="R198" s="56" t="str">
        <f>IF(Master[[#This Row],[Latitude -decimal degrees]]="","",Master[[#This Row],[Latitude -decimal degrees]])</f>
        <v/>
      </c>
      <c r="S198" s="56" t="str">
        <f>IF(Master[[#This Row],[Longitude -decimal degrees]]="","",Master[[#This Row],[Longitude -decimal degrees]])</f>
        <v/>
      </c>
      <c r="T198" s="30" t="str">
        <f>IF(Master[[#This Row],[Parent Inventory]]="","",Master[[#This Row],[Parent Inventory]])</f>
        <v/>
      </c>
      <c r="U198" s="30" t="str">
        <f>IF(Master[[#This Row],[Hundred Seed Weight -gram]]="","",Master[[#This Row],[Hundred Seed Weight -gram]])</f>
        <v/>
      </c>
      <c r="V198" s="30" t="str">
        <f>IF(Master[[#This Row],[Note (Inventory)]]="","",Master[[#This Row],[Note (Inventory)]])</f>
        <v/>
      </c>
    </row>
    <row r="199" spans="1:22" x14ac:dyDescent="0.25">
      <c r="A199" s="30"/>
      <c r="B199" s="151" t="str">
        <f>IF(Master[[#This Row],[Inventory Prefix]]="","",Master[[#This Row],[Inventory Prefix]])</f>
        <v/>
      </c>
      <c r="C199" s="151" t="str">
        <f>IF(Master[[#This Row],[Inventory Number]]="","",Master[[#This Row],[Inventory Number]])</f>
        <v/>
      </c>
      <c r="D199" s="78" t="str">
        <f>IF(Master[[#This Row],[Inventory Suffix]]="","",Master[[#This Row],[Inventory Suffix]])</f>
        <v/>
      </c>
      <c r="E199" s="30" t="str">
        <f>IF(Master[[#This Row],[Inventory Type - Lookup Picker]]="","",Master[[#This Row],[Inventory Type - Lookup Picker]])</f>
        <v/>
      </c>
      <c r="F199" s="151" t="str">
        <f>Master[[#This Row],[Accession Prefix (NPGS)]]&amp;" "&amp;Master[[#This Row],[Accession Number -Assigned]]</f>
        <v xml:space="preserve"> </v>
      </c>
      <c r="G199" s="78" t="str">
        <f>IF(Master[[#This Row],[Inventory Maintenance Policy]]="","",Master[[#This Row],[Inventory Maintenance Policy]])</f>
        <v/>
      </c>
      <c r="H199" s="30" t="str">
        <f>IF(Master[[#This Row],[Inventory Maintenance Site -W6]]="","",Master[[#This Row],[Inventory Maintenance Site -W6]])</f>
        <v/>
      </c>
      <c r="I199" s="30" t="str">
        <f>IF(RIGHT(TEXT(Inventory[[#This Row],[Inventory Suffix]],"00"),2)="01","Y",IF(RIGHT(TEXT(Inventory[[#This Row],[Inventory Suffix]],"00"),2)="c1","Y",IF(RIGHT(TEXT(Inventory[[#This Row],[Inventory Suffix]],"00"),2)="m1","Y","N")))</f>
        <v>N</v>
      </c>
      <c r="J199" s="30" t="str">
        <f>IF(Inventory[[#This Row],[Inventory Type]]="SD","Y",IF(Inventory[[#This Row],[Inventory Type]]="LV","Y","N"))</f>
        <v>N</v>
      </c>
      <c r="K199" s="30" t="str">
        <f t="shared" si="25"/>
        <v>N</v>
      </c>
      <c r="L199" s="30" t="str">
        <f t="shared" si="26"/>
        <v>Original lot received</v>
      </c>
      <c r="M199" s="30" t="str">
        <f t="shared" si="27"/>
        <v>ORIG from SOS Project</v>
      </c>
      <c r="N199" s="80">
        <f>ROUNDDOWN(Master[[#This Row],[Quantity On Hand]],0)</f>
        <v>0</v>
      </c>
      <c r="O199" s="78" t="str">
        <f>IF(Master[[#This Row],[Quantity On Hand Units -''count'' or ''packet'']]="","",Master[[#This Row],[Quantity On Hand Units -''count'' or ''packet'']])</f>
        <v/>
      </c>
      <c r="P199" s="80" t="str">
        <f>IF(Master[[#This Row],[Inventory Type - Lookup Picker]]="","",Master[[#This Row],[Inventory Type - Lookup Picker]])</f>
        <v/>
      </c>
      <c r="Q199" s="45" t="str">
        <f t="shared" si="28"/>
        <v>Mike has</v>
      </c>
      <c r="R199" s="56" t="str">
        <f>IF(Master[[#This Row],[Latitude -decimal degrees]]="","",Master[[#This Row],[Latitude -decimal degrees]])</f>
        <v/>
      </c>
      <c r="S199" s="56" t="str">
        <f>IF(Master[[#This Row],[Longitude -decimal degrees]]="","",Master[[#This Row],[Longitude -decimal degrees]])</f>
        <v/>
      </c>
      <c r="T199" s="30" t="str">
        <f>IF(Master[[#This Row],[Parent Inventory]]="","",Master[[#This Row],[Parent Inventory]])</f>
        <v/>
      </c>
      <c r="U199" s="30" t="str">
        <f>IF(Master[[#This Row],[Hundred Seed Weight -gram]]="","",Master[[#This Row],[Hundred Seed Weight -gram]])</f>
        <v/>
      </c>
      <c r="V199" s="30" t="str">
        <f>IF(Master[[#This Row],[Note (Inventory)]]="","",Master[[#This Row],[Note (Inventory)]])</f>
        <v/>
      </c>
    </row>
    <row r="200" spans="1:22" x14ac:dyDescent="0.25">
      <c r="A200" s="30"/>
      <c r="B200" s="151" t="str">
        <f>IF(Master[[#This Row],[Inventory Prefix]]="","",Master[[#This Row],[Inventory Prefix]])</f>
        <v/>
      </c>
      <c r="C200" s="151" t="str">
        <f>IF(Master[[#This Row],[Inventory Number]]="","",Master[[#This Row],[Inventory Number]])</f>
        <v/>
      </c>
      <c r="D200" s="78" t="str">
        <f>IF(Master[[#This Row],[Inventory Suffix]]="","",Master[[#This Row],[Inventory Suffix]])</f>
        <v/>
      </c>
      <c r="E200" s="30" t="str">
        <f>IF(Master[[#This Row],[Inventory Type - Lookup Picker]]="","",Master[[#This Row],[Inventory Type - Lookup Picker]])</f>
        <v/>
      </c>
      <c r="F200" s="151" t="str">
        <f>Master[[#This Row],[Accession Prefix (NPGS)]]&amp;" "&amp;Master[[#This Row],[Accession Number -Assigned]]</f>
        <v xml:space="preserve"> </v>
      </c>
      <c r="G200" s="78" t="str">
        <f>IF(Master[[#This Row],[Inventory Maintenance Policy]]="","",Master[[#This Row],[Inventory Maintenance Policy]])</f>
        <v/>
      </c>
      <c r="H200" s="30" t="str">
        <f>IF(Master[[#This Row],[Inventory Maintenance Site -W6]]="","",Master[[#This Row],[Inventory Maintenance Site -W6]])</f>
        <v/>
      </c>
      <c r="I200" s="30" t="str">
        <f>IF(RIGHT(TEXT(Inventory[[#This Row],[Inventory Suffix]],"00"),2)="01","Y",IF(RIGHT(TEXT(Inventory[[#This Row],[Inventory Suffix]],"00"),2)="c1","Y",IF(RIGHT(TEXT(Inventory[[#This Row],[Inventory Suffix]],"00"),2)="m1","Y","N")))</f>
        <v>N</v>
      </c>
      <c r="J200" s="30" t="str">
        <f>IF(Inventory[[#This Row],[Inventory Type]]="SD","Y",IF(Inventory[[#This Row],[Inventory Type]]="LV","Y","N"))</f>
        <v>N</v>
      </c>
      <c r="K200" s="30" t="str">
        <f t="shared" si="25"/>
        <v>N</v>
      </c>
      <c r="L200" s="30" t="str">
        <f t="shared" si="26"/>
        <v>Original lot received</v>
      </c>
      <c r="M200" s="30" t="str">
        <f t="shared" si="27"/>
        <v>ORIG from SOS Project</v>
      </c>
      <c r="N200" s="80">
        <f>ROUNDDOWN(Master[[#This Row],[Quantity On Hand]],0)</f>
        <v>0</v>
      </c>
      <c r="O200" s="78" t="str">
        <f>IF(Master[[#This Row],[Quantity On Hand Units -''count'' or ''packet'']]="","",Master[[#This Row],[Quantity On Hand Units -''count'' or ''packet'']])</f>
        <v/>
      </c>
      <c r="P200" s="80" t="str">
        <f>IF(Master[[#This Row],[Inventory Type - Lookup Picker]]="","",Master[[#This Row],[Inventory Type - Lookup Picker]])</f>
        <v/>
      </c>
      <c r="Q200" s="45" t="str">
        <f t="shared" si="28"/>
        <v>Mike has</v>
      </c>
      <c r="R200" s="56" t="str">
        <f>IF(Master[[#This Row],[Latitude -decimal degrees]]="","",Master[[#This Row],[Latitude -decimal degrees]])</f>
        <v/>
      </c>
      <c r="S200" s="56" t="str">
        <f>IF(Master[[#This Row],[Longitude -decimal degrees]]="","",Master[[#This Row],[Longitude -decimal degrees]])</f>
        <v/>
      </c>
      <c r="T200" s="30" t="str">
        <f>IF(Master[[#This Row],[Parent Inventory]]="","",Master[[#This Row],[Parent Inventory]])</f>
        <v/>
      </c>
      <c r="U200" s="30" t="str">
        <f>IF(Master[[#This Row],[Hundred Seed Weight -gram]]="","",Master[[#This Row],[Hundred Seed Weight -gram]])</f>
        <v/>
      </c>
      <c r="V200" s="30" t="str">
        <f>IF(Master[[#This Row],[Note (Inventory)]]="","",Master[[#This Row],[Note (Inventory)]])</f>
        <v/>
      </c>
    </row>
    <row r="201" spans="1:22" x14ac:dyDescent="0.25">
      <c r="A201" s="30"/>
      <c r="B201" s="151" t="str">
        <f>IF(Master[[#This Row],[Inventory Prefix]]="","",Master[[#This Row],[Inventory Prefix]])</f>
        <v/>
      </c>
      <c r="C201" s="151" t="str">
        <f>IF(Master[[#This Row],[Inventory Number]]="","",Master[[#This Row],[Inventory Number]])</f>
        <v/>
      </c>
      <c r="D201" s="78" t="str">
        <f>IF(Master[[#This Row],[Inventory Suffix]]="","",Master[[#This Row],[Inventory Suffix]])</f>
        <v/>
      </c>
      <c r="E201" s="30" t="str">
        <f>IF(Master[[#This Row],[Inventory Type - Lookup Picker]]="","",Master[[#This Row],[Inventory Type - Lookup Picker]])</f>
        <v/>
      </c>
      <c r="F201" s="151" t="str">
        <f>Master[[#This Row],[Accession Prefix (NPGS)]]&amp;" "&amp;Master[[#This Row],[Accession Number -Assigned]]</f>
        <v xml:space="preserve"> </v>
      </c>
      <c r="G201" s="78" t="str">
        <f>IF(Master[[#This Row],[Inventory Maintenance Policy]]="","",Master[[#This Row],[Inventory Maintenance Policy]])</f>
        <v/>
      </c>
      <c r="H201" s="30" t="str">
        <f>IF(Master[[#This Row],[Inventory Maintenance Site -W6]]="","",Master[[#This Row],[Inventory Maintenance Site -W6]])</f>
        <v/>
      </c>
      <c r="I201" s="30" t="str">
        <f>IF(RIGHT(TEXT(Inventory[[#This Row],[Inventory Suffix]],"00"),2)="01","Y",IF(RIGHT(TEXT(Inventory[[#This Row],[Inventory Suffix]],"00"),2)="c1","Y",IF(RIGHT(TEXT(Inventory[[#This Row],[Inventory Suffix]],"00"),2)="m1","Y","N")))</f>
        <v>N</v>
      </c>
      <c r="J201" s="30" t="str">
        <f>IF(Inventory[[#This Row],[Inventory Type]]="SD","Y",IF(Inventory[[#This Row],[Inventory Type]]="LV","Y","N"))</f>
        <v>N</v>
      </c>
      <c r="K201" s="30" t="str">
        <f t="shared" si="25"/>
        <v>N</v>
      </c>
      <c r="L201" s="30" t="str">
        <f t="shared" si="26"/>
        <v>Original lot received</v>
      </c>
      <c r="M201" s="30" t="str">
        <f t="shared" si="27"/>
        <v>ORIG from SOS Project</v>
      </c>
      <c r="N201" s="80">
        <f>ROUNDDOWN(Master[[#This Row],[Quantity On Hand]],0)</f>
        <v>0</v>
      </c>
      <c r="O201" s="78" t="str">
        <f>IF(Master[[#This Row],[Quantity On Hand Units -''count'' or ''packet'']]="","",Master[[#This Row],[Quantity On Hand Units -''count'' or ''packet'']])</f>
        <v/>
      </c>
      <c r="P201" s="80" t="str">
        <f>IF(Master[[#This Row],[Inventory Type - Lookup Picker]]="","",Master[[#This Row],[Inventory Type - Lookup Picker]])</f>
        <v/>
      </c>
      <c r="Q201" s="45" t="str">
        <f t="shared" si="28"/>
        <v>Mike has</v>
      </c>
      <c r="R201" s="56" t="str">
        <f>IF(Master[[#This Row],[Latitude -decimal degrees]]="","",Master[[#This Row],[Latitude -decimal degrees]])</f>
        <v/>
      </c>
      <c r="S201" s="56" t="str">
        <f>IF(Master[[#This Row],[Longitude -decimal degrees]]="","",Master[[#This Row],[Longitude -decimal degrees]])</f>
        <v/>
      </c>
      <c r="T201" s="30" t="str">
        <f>IF(Master[[#This Row],[Parent Inventory]]="","",Master[[#This Row],[Parent Inventory]])</f>
        <v/>
      </c>
      <c r="U201" s="30" t="str">
        <f>IF(Master[[#This Row],[Hundred Seed Weight -gram]]="","",Master[[#This Row],[Hundred Seed Weight -gram]])</f>
        <v/>
      </c>
      <c r="V201" s="30" t="str">
        <f>IF(Master[[#This Row],[Note (Inventory)]]="","",Master[[#This Row],[Note (Inventory)]])</f>
        <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
  <sheetViews>
    <sheetView workbookViewId="0"/>
  </sheetViews>
  <sheetFormatPr defaultColWidth="9.140625" defaultRowHeight="15" x14ac:dyDescent="0.25"/>
  <cols>
    <col min="1" max="1" width="117.7109375" style="7" customWidth="1"/>
    <col min="2" max="16384" width="9.140625" style="7"/>
  </cols>
  <sheetData>
    <row r="1" spans="1:1" ht="278.25" customHeight="1" x14ac:dyDescent="0.25">
      <c r="A1" s="117" t="s">
        <v>515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A1:I201"/>
  <sheetViews>
    <sheetView workbookViewId="0">
      <selection activeCell="A2" sqref="A2"/>
    </sheetView>
  </sheetViews>
  <sheetFormatPr defaultColWidth="9.140625" defaultRowHeight="15" x14ac:dyDescent="0.25"/>
  <cols>
    <col min="1" max="1" width="14" style="141" customWidth="1"/>
    <col min="2" max="2" width="23.140625" style="141" bestFit="1" customWidth="1"/>
    <col min="3" max="3" width="46.140625" style="10" customWidth="1"/>
    <col min="4" max="4" width="20.140625" style="141" customWidth="1"/>
    <col min="5" max="5" width="14.85546875" style="141" bestFit="1" customWidth="1"/>
    <col min="6" max="6" width="31.140625" style="141" bestFit="1" customWidth="1"/>
    <col min="7" max="7" width="13.85546875" style="141" bestFit="1" customWidth="1"/>
    <col min="8" max="8" width="11.7109375" style="141" bestFit="1" customWidth="1"/>
    <col min="9" max="9" width="14.85546875" style="141" bestFit="1" customWidth="1"/>
    <col min="10" max="10" width="23.5703125" style="141" bestFit="1" customWidth="1"/>
    <col min="11" max="16384" width="9.140625" style="141"/>
  </cols>
  <sheetData>
    <row r="1" spans="1:9" s="121" customFormat="1" ht="45" x14ac:dyDescent="0.25">
      <c r="A1" s="82" t="s">
        <v>72</v>
      </c>
      <c r="B1" s="120" t="s">
        <v>31</v>
      </c>
      <c r="C1" s="120" t="s">
        <v>39</v>
      </c>
      <c r="D1" s="82" t="s">
        <v>9</v>
      </c>
    </row>
    <row r="2" spans="1:9" ht="15.75" x14ac:dyDescent="0.25">
      <c r="A2" s="1"/>
      <c r="B2" s="17" t="str">
        <f>Master[[#This Row],[Accession Prefix (NPGS)]]&amp;" "&amp;Master[[#This Row],[Accession Number -Assigned]]&amp;" **"</f>
        <v>W6 57036 **</v>
      </c>
      <c r="C2" s="33" t="e">
        <f>#REF!</f>
        <v>#REF!</v>
      </c>
      <c r="E2" s="8"/>
      <c r="I2" s="8"/>
    </row>
    <row r="3" spans="1:9" x14ac:dyDescent="0.25">
      <c r="B3" s="17" t="str">
        <f>Master[[#This Row],[Accession Prefix (NPGS)]]&amp;" "&amp;Master[[#This Row],[Accession Number -Assigned]]&amp;" **"</f>
        <v>W6  **</v>
      </c>
      <c r="C3" s="33" t="e">
        <f>#REF!</f>
        <v>#REF!</v>
      </c>
      <c r="E3" s="8"/>
      <c r="I3" s="8"/>
    </row>
    <row r="4" spans="1:9" x14ac:dyDescent="0.25">
      <c r="B4" s="17" t="str">
        <f>Master[[#This Row],[Accession Prefix (NPGS)]]&amp;" "&amp;Master[[#This Row],[Accession Number -Assigned]]&amp;" **"</f>
        <v>W6 59590 **</v>
      </c>
      <c r="C4" s="33" t="e">
        <f>#REF!</f>
        <v>#REF!</v>
      </c>
      <c r="E4" s="8"/>
      <c r="I4" s="8"/>
    </row>
    <row r="5" spans="1:9" x14ac:dyDescent="0.25">
      <c r="B5" s="17" t="str">
        <f>Master[[#This Row],[Accession Prefix (NPGS)]]&amp;" "&amp;Master[[#This Row],[Accession Number -Assigned]]&amp;" **"</f>
        <v>W6 59591 **</v>
      </c>
      <c r="C5" s="33" t="e">
        <f>#REF!</f>
        <v>#REF!</v>
      </c>
      <c r="E5" s="8"/>
      <c r="I5" s="8"/>
    </row>
    <row r="6" spans="1:9" x14ac:dyDescent="0.25">
      <c r="B6" s="17" t="str">
        <f>Master[[#This Row],[Accession Prefix (NPGS)]]&amp;" "&amp;Master[[#This Row],[Accession Number -Assigned]]&amp;" **"</f>
        <v>W6 59592 **</v>
      </c>
      <c r="C6" s="33" t="e">
        <f>#REF!</f>
        <v>#REF!</v>
      </c>
      <c r="E6" s="8"/>
      <c r="I6" s="8"/>
    </row>
    <row r="7" spans="1:9" x14ac:dyDescent="0.25">
      <c r="B7" s="17" t="str">
        <f>Master[[#This Row],[Accession Prefix (NPGS)]]&amp;" "&amp;Master[[#This Row],[Accession Number -Assigned]]&amp;" **"</f>
        <v>W6 59593 **</v>
      </c>
      <c r="C7" s="33" t="e">
        <f>#REF!</f>
        <v>#REF!</v>
      </c>
      <c r="E7" s="8"/>
      <c r="I7" s="8"/>
    </row>
    <row r="8" spans="1:9" x14ac:dyDescent="0.25">
      <c r="B8" s="17" t="str">
        <f>Master[[#This Row],[Accession Prefix (NPGS)]]&amp;" "&amp;Master[[#This Row],[Accession Number -Assigned]]&amp;" **"</f>
        <v>W6 59594 **</v>
      </c>
      <c r="C8" s="33" t="e">
        <f>#REF!</f>
        <v>#REF!</v>
      </c>
      <c r="E8" s="8"/>
      <c r="I8" s="8"/>
    </row>
    <row r="9" spans="1:9" x14ac:dyDescent="0.25">
      <c r="B9" s="17" t="str">
        <f>Master[[#This Row],[Accession Prefix (NPGS)]]&amp;" "&amp;Master[[#This Row],[Accession Number -Assigned]]&amp;" **"</f>
        <v>W6 59595 **</v>
      </c>
      <c r="C9" s="33" t="e">
        <f>#REF!</f>
        <v>#REF!</v>
      </c>
      <c r="E9" s="8"/>
      <c r="I9" s="8"/>
    </row>
    <row r="10" spans="1:9" x14ac:dyDescent="0.25">
      <c r="B10" s="17" t="str">
        <f>Master[[#This Row],[Accession Prefix (NPGS)]]&amp;" "&amp;Master[[#This Row],[Accession Number -Assigned]]&amp;" **"</f>
        <v>W6 59596 **</v>
      </c>
      <c r="C10" s="33" t="e">
        <f>#REF!</f>
        <v>#REF!</v>
      </c>
      <c r="E10" s="8"/>
      <c r="I10" s="8"/>
    </row>
    <row r="11" spans="1:9" x14ac:dyDescent="0.25">
      <c r="B11" s="17" t="str">
        <f>Master[[#This Row],[Accession Prefix (NPGS)]]&amp;" "&amp;Master[[#This Row],[Accession Number -Assigned]]&amp;" **"</f>
        <v>W6 59597 **</v>
      </c>
      <c r="C11" s="33" t="e">
        <f>#REF!</f>
        <v>#REF!</v>
      </c>
      <c r="E11" s="8"/>
      <c r="I11" s="8"/>
    </row>
    <row r="12" spans="1:9" x14ac:dyDescent="0.25">
      <c r="B12" s="17" t="str">
        <f>Master[[#This Row],[Accession Prefix (NPGS)]]&amp;" "&amp;Master[[#This Row],[Accession Number -Assigned]]&amp;" **"</f>
        <v>W6 59598 **</v>
      </c>
      <c r="C12" s="33" t="e">
        <f>#REF!</f>
        <v>#REF!</v>
      </c>
      <c r="E12" s="8"/>
      <c r="I12" s="8"/>
    </row>
    <row r="13" spans="1:9" x14ac:dyDescent="0.25">
      <c r="B13" s="17" t="str">
        <f>Master[[#This Row],[Accession Prefix (NPGS)]]&amp;" "&amp;Master[[#This Row],[Accession Number -Assigned]]&amp;" **"</f>
        <v>W6 59599 **</v>
      </c>
      <c r="C13" s="33" t="e">
        <f>#REF!</f>
        <v>#REF!</v>
      </c>
      <c r="E13" s="8"/>
      <c r="I13" s="8"/>
    </row>
    <row r="14" spans="1:9" x14ac:dyDescent="0.25">
      <c r="B14" s="17" t="str">
        <f>Master[[#This Row],[Accession Prefix (NPGS)]]&amp;" "&amp;Master[[#This Row],[Accession Number -Assigned]]&amp;" **"</f>
        <v>W6 59600 **</v>
      </c>
      <c r="C14" s="33" t="e">
        <f>#REF!</f>
        <v>#REF!</v>
      </c>
      <c r="E14" s="8"/>
      <c r="I14" s="8"/>
    </row>
    <row r="15" spans="1:9" x14ac:dyDescent="0.25">
      <c r="B15" s="17" t="str">
        <f>Master[[#This Row],[Accession Prefix (NPGS)]]&amp;" "&amp;Master[[#This Row],[Accession Number -Assigned]]&amp;" **"</f>
        <v>W6 59601 **</v>
      </c>
      <c r="C15" s="33" t="e">
        <f>#REF!</f>
        <v>#REF!</v>
      </c>
      <c r="E15" s="8"/>
      <c r="I15" s="8"/>
    </row>
    <row r="16" spans="1:9" x14ac:dyDescent="0.25">
      <c r="B16" s="17" t="str">
        <f>Master[[#This Row],[Accession Prefix (NPGS)]]&amp;" "&amp;Master[[#This Row],[Accession Number -Assigned]]&amp;" **"</f>
        <v>W6 59602 **</v>
      </c>
      <c r="C16" s="33" t="e">
        <f>#REF!</f>
        <v>#REF!</v>
      </c>
      <c r="E16" s="8"/>
      <c r="I16" s="8"/>
    </row>
    <row r="17" spans="2:9" x14ac:dyDescent="0.25">
      <c r="B17" s="17" t="str">
        <f>Master[[#This Row],[Accession Prefix (NPGS)]]&amp;" "&amp;Master[[#This Row],[Accession Number -Assigned]]&amp;" **"</f>
        <v>W6 59603 **</v>
      </c>
      <c r="C17" s="33" t="e">
        <f>#REF!</f>
        <v>#REF!</v>
      </c>
      <c r="E17" s="8"/>
      <c r="I17" s="8"/>
    </row>
    <row r="18" spans="2:9" x14ac:dyDescent="0.25">
      <c r="B18" s="17" t="str">
        <f>Master[[#This Row],[Accession Prefix (NPGS)]]&amp;" "&amp;Master[[#This Row],[Accession Number -Assigned]]&amp;" **"</f>
        <v>W6 59604 **</v>
      </c>
      <c r="C18" s="33" t="e">
        <f>#REF!</f>
        <v>#REF!</v>
      </c>
      <c r="E18" s="8"/>
      <c r="I18" s="8"/>
    </row>
    <row r="19" spans="2:9" x14ac:dyDescent="0.25">
      <c r="B19" s="17" t="str">
        <f>Master[[#This Row],[Accession Prefix (NPGS)]]&amp;" "&amp;Master[[#This Row],[Accession Number -Assigned]]&amp;" **"</f>
        <v>W6 59605 **</v>
      </c>
      <c r="C19" s="33" t="e">
        <f>#REF!</f>
        <v>#REF!</v>
      </c>
      <c r="E19" s="8"/>
      <c r="I19" s="8"/>
    </row>
    <row r="20" spans="2:9" x14ac:dyDescent="0.25">
      <c r="B20" s="17" t="str">
        <f>Master[[#This Row],[Accession Prefix (NPGS)]]&amp;" "&amp;Master[[#This Row],[Accession Number -Assigned]]&amp;" **"</f>
        <v>W6 59606 **</v>
      </c>
      <c r="C20" s="33" t="e">
        <f>#REF!</f>
        <v>#REF!</v>
      </c>
      <c r="E20" s="8"/>
      <c r="I20" s="8"/>
    </row>
    <row r="21" spans="2:9" x14ac:dyDescent="0.25">
      <c r="B21" s="17" t="str">
        <f>Master[[#This Row],[Accession Prefix (NPGS)]]&amp;" "&amp;Master[[#This Row],[Accession Number -Assigned]]&amp;" **"</f>
        <v>W6 59607 **</v>
      </c>
      <c r="C21" s="33" t="e">
        <f>#REF!</f>
        <v>#REF!</v>
      </c>
      <c r="E21" s="8"/>
      <c r="I21" s="8"/>
    </row>
    <row r="22" spans="2:9" x14ac:dyDescent="0.25">
      <c r="B22" s="17" t="str">
        <f>Master[[#This Row],[Accession Prefix (NPGS)]]&amp;" "&amp;Master[[#This Row],[Accession Number -Assigned]]&amp;" **"</f>
        <v>W6 59608 **</v>
      </c>
      <c r="C22" s="33" t="e">
        <f>#REF!</f>
        <v>#REF!</v>
      </c>
      <c r="E22" s="8"/>
      <c r="I22" s="8"/>
    </row>
    <row r="23" spans="2:9" x14ac:dyDescent="0.25">
      <c r="B23" s="17" t="str">
        <f>Master[[#This Row],[Accession Prefix (NPGS)]]&amp;" "&amp;Master[[#This Row],[Accession Number -Assigned]]&amp;" **"</f>
        <v>W6 59609 **</v>
      </c>
      <c r="C23" s="33" t="e">
        <f>#REF!</f>
        <v>#REF!</v>
      </c>
      <c r="E23" s="8"/>
      <c r="I23" s="8"/>
    </row>
    <row r="24" spans="2:9" x14ac:dyDescent="0.25">
      <c r="B24" s="17" t="str">
        <f>Master[[#This Row],[Accession Prefix (NPGS)]]&amp;" "&amp;Master[[#This Row],[Accession Number -Assigned]]&amp;" **"</f>
        <v>W6 59610 **</v>
      </c>
      <c r="C24" s="33" t="e">
        <f>#REF!</f>
        <v>#REF!</v>
      </c>
      <c r="E24" s="8"/>
      <c r="I24" s="8"/>
    </row>
    <row r="25" spans="2:9" x14ac:dyDescent="0.25">
      <c r="B25" s="17" t="str">
        <f>Master[[#This Row],[Accession Prefix (NPGS)]]&amp;" "&amp;Master[[#This Row],[Accession Number -Assigned]]&amp;" **"</f>
        <v>W6 59611 **</v>
      </c>
      <c r="C25" s="33" t="e">
        <f>#REF!</f>
        <v>#REF!</v>
      </c>
      <c r="E25" s="8"/>
      <c r="I25" s="8"/>
    </row>
    <row r="26" spans="2:9" x14ac:dyDescent="0.25">
      <c r="B26" s="17" t="str">
        <f>Master[[#This Row],[Accession Prefix (NPGS)]]&amp;" "&amp;Master[[#This Row],[Accession Number -Assigned]]&amp;" **"</f>
        <v>W6 59612 **</v>
      </c>
      <c r="C26" s="33" t="e">
        <f>#REF!</f>
        <v>#REF!</v>
      </c>
      <c r="E26" s="8"/>
      <c r="I26" s="8"/>
    </row>
    <row r="27" spans="2:9" x14ac:dyDescent="0.25">
      <c r="B27" s="17" t="str">
        <f>Master[[#This Row],[Accession Prefix (NPGS)]]&amp;" "&amp;Master[[#This Row],[Accession Number -Assigned]]&amp;" **"</f>
        <v>W6 59613 **</v>
      </c>
      <c r="C27" s="33" t="e">
        <f>#REF!</f>
        <v>#REF!</v>
      </c>
      <c r="E27" s="8"/>
      <c r="I27" s="8"/>
    </row>
    <row r="28" spans="2:9" x14ac:dyDescent="0.25">
      <c r="B28" s="17" t="str">
        <f>Master[[#This Row],[Accession Prefix (NPGS)]]&amp;" "&amp;Master[[#This Row],[Accession Number -Assigned]]&amp;" **"</f>
        <v>W6 59614 **</v>
      </c>
      <c r="C28" s="33" t="e">
        <f>#REF!</f>
        <v>#REF!</v>
      </c>
      <c r="E28" s="8"/>
      <c r="I28" s="8"/>
    </row>
    <row r="29" spans="2:9" x14ac:dyDescent="0.25">
      <c r="B29" s="17" t="str">
        <f>Master[[#This Row],[Accession Prefix (NPGS)]]&amp;" "&amp;Master[[#This Row],[Accession Number -Assigned]]&amp;" **"</f>
        <v>W6 59615 **</v>
      </c>
      <c r="C29" s="33" t="e">
        <f>#REF!</f>
        <v>#REF!</v>
      </c>
      <c r="E29" s="8"/>
      <c r="I29" s="8"/>
    </row>
    <row r="30" spans="2:9" x14ac:dyDescent="0.25">
      <c r="B30" s="17" t="str">
        <f>Master[[#This Row],[Accession Prefix (NPGS)]]&amp;" "&amp;Master[[#This Row],[Accession Number -Assigned]]&amp;" **"</f>
        <v>W6 59616 **</v>
      </c>
      <c r="C30" s="33" t="e">
        <f>#REF!</f>
        <v>#REF!</v>
      </c>
      <c r="E30" s="8"/>
      <c r="I30" s="8"/>
    </row>
    <row r="31" spans="2:9" x14ac:dyDescent="0.25">
      <c r="B31" s="17" t="str">
        <f>Master[[#This Row],[Accession Prefix (NPGS)]]&amp;" "&amp;Master[[#This Row],[Accession Number -Assigned]]&amp;" **"</f>
        <v>W6 59617 **</v>
      </c>
      <c r="C31" s="33" t="e">
        <f>#REF!</f>
        <v>#REF!</v>
      </c>
      <c r="E31" s="8"/>
      <c r="I31" s="8"/>
    </row>
    <row r="32" spans="2:9" x14ac:dyDescent="0.25">
      <c r="B32" s="17" t="str">
        <f>Master[[#This Row],[Accession Prefix (NPGS)]]&amp;" "&amp;Master[[#This Row],[Accession Number -Assigned]]&amp;" **"</f>
        <v>W6 59618 **</v>
      </c>
      <c r="C32" s="33" t="e">
        <f>#REF!</f>
        <v>#REF!</v>
      </c>
      <c r="E32" s="8"/>
      <c r="I32" s="8"/>
    </row>
    <row r="33" spans="2:9" x14ac:dyDescent="0.25">
      <c r="B33" s="17" t="str">
        <f>Master[[#This Row],[Accession Prefix (NPGS)]]&amp;" "&amp;Master[[#This Row],[Accession Number -Assigned]]&amp;" **"</f>
        <v>W6 59619 **</v>
      </c>
      <c r="C33" s="33" t="e">
        <f>#REF!</f>
        <v>#REF!</v>
      </c>
      <c r="E33" s="8"/>
      <c r="I33" s="8"/>
    </row>
    <row r="34" spans="2:9" x14ac:dyDescent="0.25">
      <c r="B34" s="17" t="str">
        <f>Master[[#This Row],[Accession Prefix (NPGS)]]&amp;" "&amp;Master[[#This Row],[Accession Number -Assigned]]&amp;" **"</f>
        <v>W6 59620 **</v>
      </c>
      <c r="C34" s="33" t="e">
        <f>#REF!</f>
        <v>#REF!</v>
      </c>
      <c r="E34" s="8"/>
      <c r="I34" s="8"/>
    </row>
    <row r="35" spans="2:9" x14ac:dyDescent="0.25">
      <c r="B35" s="17" t="str">
        <f>Master[[#This Row],[Accession Prefix (NPGS)]]&amp;" "&amp;Master[[#This Row],[Accession Number -Assigned]]&amp;" **"</f>
        <v>W6 59621 **</v>
      </c>
      <c r="C35" s="33" t="e">
        <f>#REF!</f>
        <v>#REF!</v>
      </c>
      <c r="E35" s="8"/>
      <c r="I35" s="8"/>
    </row>
    <row r="36" spans="2:9" x14ac:dyDescent="0.25">
      <c r="B36" s="17" t="str">
        <f>Master[[#This Row],[Accession Prefix (NPGS)]]&amp;" "&amp;Master[[#This Row],[Accession Number -Assigned]]&amp;" **"</f>
        <v>W6 59622 **</v>
      </c>
      <c r="C36" s="33" t="e">
        <f>#REF!</f>
        <v>#REF!</v>
      </c>
      <c r="E36" s="8"/>
      <c r="I36" s="8"/>
    </row>
    <row r="37" spans="2:9" x14ac:dyDescent="0.25">
      <c r="B37" s="17" t="str">
        <f>Master[[#This Row],[Accession Prefix (NPGS)]]&amp;" "&amp;Master[[#This Row],[Accession Number -Assigned]]&amp;" **"</f>
        <v>W6 59623 **</v>
      </c>
      <c r="C37" s="33" t="e">
        <f>#REF!</f>
        <v>#REF!</v>
      </c>
      <c r="E37" s="8"/>
      <c r="I37" s="8"/>
    </row>
    <row r="38" spans="2:9" x14ac:dyDescent="0.25">
      <c r="B38" s="17" t="str">
        <f>Master[[#This Row],[Accession Prefix (NPGS)]]&amp;" "&amp;Master[[#This Row],[Accession Number -Assigned]]&amp;" **"</f>
        <v>W6 59624 **</v>
      </c>
      <c r="C38" s="33" t="e">
        <f>#REF!</f>
        <v>#REF!</v>
      </c>
      <c r="E38" s="8"/>
      <c r="I38" s="8"/>
    </row>
    <row r="39" spans="2:9" x14ac:dyDescent="0.25">
      <c r="B39" s="17" t="str">
        <f>Master[[#This Row],[Accession Prefix (NPGS)]]&amp;" "&amp;Master[[#This Row],[Accession Number -Assigned]]&amp;" **"</f>
        <v>W6 59625 **</v>
      </c>
      <c r="C39" s="33" t="e">
        <f>#REF!</f>
        <v>#REF!</v>
      </c>
      <c r="E39" s="8"/>
      <c r="I39" s="8"/>
    </row>
    <row r="40" spans="2:9" x14ac:dyDescent="0.25">
      <c r="B40" s="17" t="str">
        <f>Master[[#This Row],[Accession Prefix (NPGS)]]&amp;" "&amp;Master[[#This Row],[Accession Number -Assigned]]&amp;" **"</f>
        <v>W6 59626 **</v>
      </c>
      <c r="C40" s="33" t="e">
        <f>#REF!</f>
        <v>#REF!</v>
      </c>
      <c r="E40" s="8"/>
      <c r="I40" s="8"/>
    </row>
    <row r="41" spans="2:9" x14ac:dyDescent="0.25">
      <c r="B41" s="17" t="str">
        <f>Master[[#This Row],[Accession Prefix (NPGS)]]&amp;" "&amp;Master[[#This Row],[Accession Number -Assigned]]&amp;" **"</f>
        <v>W6 59627 **</v>
      </c>
      <c r="C41" s="33" t="e">
        <f>#REF!</f>
        <v>#REF!</v>
      </c>
      <c r="E41" s="8"/>
      <c r="I41" s="8"/>
    </row>
    <row r="42" spans="2:9" x14ac:dyDescent="0.25">
      <c r="B42" s="17" t="str">
        <f>Master[[#This Row],[Accession Prefix (NPGS)]]&amp;" "&amp;Master[[#This Row],[Accession Number -Assigned]]&amp;" **"</f>
        <v>W6 59628 **</v>
      </c>
      <c r="C42" s="33" t="e">
        <f>#REF!</f>
        <v>#REF!</v>
      </c>
      <c r="E42" s="8"/>
      <c r="I42" s="8"/>
    </row>
    <row r="43" spans="2:9" x14ac:dyDescent="0.25">
      <c r="B43" s="17" t="str">
        <f>Master[[#This Row],[Accession Prefix (NPGS)]]&amp;" "&amp;Master[[#This Row],[Accession Number -Assigned]]&amp;" **"</f>
        <v>W6 59629 **</v>
      </c>
      <c r="C43" s="33" t="e">
        <f>#REF!</f>
        <v>#REF!</v>
      </c>
      <c r="E43" s="8"/>
      <c r="I43" s="8"/>
    </row>
    <row r="44" spans="2:9" x14ac:dyDescent="0.25">
      <c r="B44" s="17" t="str">
        <f>Master[[#This Row],[Accession Prefix (NPGS)]]&amp;" "&amp;Master[[#This Row],[Accession Number -Assigned]]&amp;" **"</f>
        <v>W6 59630 **</v>
      </c>
      <c r="C44" s="33" t="e">
        <f>#REF!</f>
        <v>#REF!</v>
      </c>
      <c r="E44" s="8"/>
      <c r="I44" s="8"/>
    </row>
    <row r="45" spans="2:9" x14ac:dyDescent="0.25">
      <c r="B45" s="17" t="str">
        <f>Master[[#This Row],[Accession Prefix (NPGS)]]&amp;" "&amp;Master[[#This Row],[Accession Number -Assigned]]&amp;" **"</f>
        <v>W6 59631 **</v>
      </c>
      <c r="C45" s="33" t="e">
        <f>#REF!</f>
        <v>#REF!</v>
      </c>
      <c r="E45" s="8"/>
      <c r="I45" s="8"/>
    </row>
    <row r="46" spans="2:9" x14ac:dyDescent="0.25">
      <c r="B46" s="17" t="str">
        <f>Master[[#This Row],[Accession Prefix (NPGS)]]&amp;" "&amp;Master[[#This Row],[Accession Number -Assigned]]&amp;" **"</f>
        <v>W6 59632 **</v>
      </c>
      <c r="C46" s="33" t="e">
        <f>#REF!</f>
        <v>#REF!</v>
      </c>
      <c r="E46" s="8"/>
      <c r="I46" s="8"/>
    </row>
    <row r="47" spans="2:9" x14ac:dyDescent="0.25">
      <c r="B47" s="17" t="str">
        <f>Master[[#This Row],[Accession Prefix (NPGS)]]&amp;" "&amp;Master[[#This Row],[Accession Number -Assigned]]&amp;" **"</f>
        <v>W6 59633 **</v>
      </c>
      <c r="C47" s="33" t="e">
        <f>#REF!</f>
        <v>#REF!</v>
      </c>
      <c r="E47" s="8"/>
      <c r="I47" s="8"/>
    </row>
    <row r="48" spans="2:9" x14ac:dyDescent="0.25">
      <c r="B48" s="17" t="str">
        <f>Master[[#This Row],[Accession Prefix (NPGS)]]&amp;" "&amp;Master[[#This Row],[Accession Number -Assigned]]&amp;" **"</f>
        <v>W6 59634 **</v>
      </c>
      <c r="C48" s="33" t="e">
        <f>#REF!</f>
        <v>#REF!</v>
      </c>
      <c r="E48" s="8"/>
      <c r="I48" s="8"/>
    </row>
    <row r="49" spans="2:9" x14ac:dyDescent="0.25">
      <c r="B49" s="17" t="str">
        <f>Master[[#This Row],[Accession Prefix (NPGS)]]&amp;" "&amp;Master[[#This Row],[Accession Number -Assigned]]&amp;" **"</f>
        <v>W6 59635 **</v>
      </c>
      <c r="C49" s="33" t="e">
        <f>#REF!</f>
        <v>#REF!</v>
      </c>
      <c r="E49" s="8"/>
      <c r="I49" s="8"/>
    </row>
    <row r="50" spans="2:9" x14ac:dyDescent="0.25">
      <c r="B50" s="17" t="str">
        <f>Master[[#This Row],[Accession Prefix (NPGS)]]&amp;" "&amp;Master[[#This Row],[Accession Number -Assigned]]&amp;" **"</f>
        <v>W6 59636 **</v>
      </c>
      <c r="C50" s="33" t="e">
        <f>#REF!</f>
        <v>#REF!</v>
      </c>
      <c r="E50" s="8"/>
      <c r="I50" s="8"/>
    </row>
    <row r="51" spans="2:9" x14ac:dyDescent="0.25">
      <c r="B51" s="17" t="str">
        <f>Master[[#This Row],[Accession Prefix (NPGS)]]&amp;" "&amp;Master[[#This Row],[Accession Number -Assigned]]&amp;" **"</f>
        <v>W6 59637 **</v>
      </c>
      <c r="C51" s="33" t="e">
        <f>#REF!</f>
        <v>#REF!</v>
      </c>
      <c r="E51" s="8"/>
      <c r="I51" s="8"/>
    </row>
    <row r="52" spans="2:9" x14ac:dyDescent="0.25">
      <c r="B52" s="17" t="str">
        <f>Master[[#This Row],[Accession Prefix (NPGS)]]&amp;" "&amp;Master[[#This Row],[Accession Number -Assigned]]&amp;" **"</f>
        <v>W6 59638 **</v>
      </c>
      <c r="C52" s="33" t="e">
        <f>#REF!</f>
        <v>#REF!</v>
      </c>
      <c r="E52" s="8"/>
      <c r="I52" s="8"/>
    </row>
    <row r="53" spans="2:9" x14ac:dyDescent="0.25">
      <c r="B53" s="17" t="str">
        <f>Master[[#This Row],[Accession Prefix (NPGS)]]&amp;" "&amp;Master[[#This Row],[Accession Number -Assigned]]&amp;" **"</f>
        <v>W6 59639 **</v>
      </c>
      <c r="C53" s="33" t="e">
        <f>#REF!</f>
        <v>#REF!</v>
      </c>
      <c r="E53" s="8"/>
      <c r="I53" s="8"/>
    </row>
    <row r="54" spans="2:9" x14ac:dyDescent="0.25">
      <c r="B54" s="17" t="str">
        <f>Master[[#This Row],[Accession Prefix (NPGS)]]&amp;" "&amp;Master[[#This Row],[Accession Number -Assigned]]&amp;" **"</f>
        <v>W6 59640 **</v>
      </c>
      <c r="C54" s="33" t="e">
        <f>#REF!</f>
        <v>#REF!</v>
      </c>
      <c r="E54" s="8"/>
      <c r="I54" s="8"/>
    </row>
    <row r="55" spans="2:9" x14ac:dyDescent="0.25">
      <c r="B55" s="17" t="str">
        <f>Master[[#This Row],[Accession Prefix (NPGS)]]&amp;" "&amp;Master[[#This Row],[Accession Number -Assigned]]&amp;" **"</f>
        <v>W6 59641 **</v>
      </c>
      <c r="C55" s="33" t="e">
        <f>#REF!</f>
        <v>#REF!</v>
      </c>
      <c r="E55" s="8"/>
      <c r="I55" s="8"/>
    </row>
    <row r="56" spans="2:9" x14ac:dyDescent="0.25">
      <c r="B56" s="17" t="str">
        <f>Master[[#This Row],[Accession Prefix (NPGS)]]&amp;" "&amp;Master[[#This Row],[Accession Number -Assigned]]&amp;" **"</f>
        <v>W6 59642 **</v>
      </c>
      <c r="C56" s="33" t="e">
        <f>#REF!</f>
        <v>#REF!</v>
      </c>
      <c r="E56" s="8"/>
      <c r="I56" s="8"/>
    </row>
    <row r="57" spans="2:9" x14ac:dyDescent="0.25">
      <c r="B57" s="17" t="str">
        <f>Master[[#This Row],[Accession Prefix (NPGS)]]&amp;" "&amp;Master[[#This Row],[Accession Number -Assigned]]&amp;" **"</f>
        <v>W6 59643 **</v>
      </c>
      <c r="C57" s="33" t="e">
        <f>#REF!</f>
        <v>#REF!</v>
      </c>
      <c r="E57" s="8"/>
      <c r="I57" s="8"/>
    </row>
    <row r="58" spans="2:9" x14ac:dyDescent="0.25">
      <c r="B58" s="17" t="str">
        <f>Master[[#This Row],[Accession Prefix (NPGS)]]&amp;" "&amp;Master[[#This Row],[Accession Number -Assigned]]&amp;" **"</f>
        <v>W6 59644 **</v>
      </c>
      <c r="C58" s="33" t="e">
        <f>#REF!</f>
        <v>#REF!</v>
      </c>
      <c r="E58" s="8"/>
      <c r="I58" s="8"/>
    </row>
    <row r="59" spans="2:9" x14ac:dyDescent="0.25">
      <c r="B59" s="17" t="str">
        <f>Master[[#This Row],[Accession Prefix (NPGS)]]&amp;" "&amp;Master[[#This Row],[Accession Number -Assigned]]&amp;" **"</f>
        <v>W6 59645 **</v>
      </c>
      <c r="C59" s="33" t="e">
        <f>#REF!</f>
        <v>#REF!</v>
      </c>
      <c r="E59" s="8"/>
      <c r="I59" s="8"/>
    </row>
    <row r="60" spans="2:9" x14ac:dyDescent="0.25">
      <c r="B60" s="17" t="str">
        <f>Master[[#This Row],[Accession Prefix (NPGS)]]&amp;" "&amp;Master[[#This Row],[Accession Number -Assigned]]&amp;" **"</f>
        <v>W6 59646 **</v>
      </c>
      <c r="C60" s="33" t="e">
        <f>#REF!</f>
        <v>#REF!</v>
      </c>
      <c r="E60" s="8"/>
      <c r="I60" s="8"/>
    </row>
    <row r="61" spans="2:9" x14ac:dyDescent="0.25">
      <c r="B61" s="17" t="str">
        <f>Master[[#This Row],[Accession Prefix (NPGS)]]&amp;" "&amp;Master[[#This Row],[Accession Number -Assigned]]&amp;" **"</f>
        <v>W6 59647 **</v>
      </c>
      <c r="C61" s="33" t="e">
        <f>#REF!</f>
        <v>#REF!</v>
      </c>
      <c r="E61" s="8"/>
      <c r="I61" s="8"/>
    </row>
    <row r="62" spans="2:9" x14ac:dyDescent="0.25">
      <c r="B62" s="17" t="str">
        <f>Master[[#This Row],[Accession Prefix (NPGS)]]&amp;" "&amp;Master[[#This Row],[Accession Number -Assigned]]&amp;" **"</f>
        <v>W6 59648 **</v>
      </c>
      <c r="C62" s="33" t="e">
        <f>#REF!</f>
        <v>#REF!</v>
      </c>
      <c r="E62" s="8"/>
      <c r="I62" s="8"/>
    </row>
    <row r="63" spans="2:9" x14ac:dyDescent="0.25">
      <c r="B63" s="17" t="str">
        <f>Master[[#This Row],[Accession Prefix (NPGS)]]&amp;" "&amp;Master[[#This Row],[Accession Number -Assigned]]&amp;" **"</f>
        <v>W6 59649 **</v>
      </c>
      <c r="C63" s="33" t="e">
        <f>#REF!</f>
        <v>#REF!</v>
      </c>
      <c r="E63" s="8"/>
      <c r="I63" s="8"/>
    </row>
    <row r="64" spans="2:9" x14ac:dyDescent="0.25">
      <c r="B64" s="17" t="str">
        <f>Master[[#This Row],[Accession Prefix (NPGS)]]&amp;" "&amp;Master[[#This Row],[Accession Number -Assigned]]&amp;" **"</f>
        <v>W6 59650 **</v>
      </c>
      <c r="C64" s="33" t="e">
        <f>#REF!</f>
        <v>#REF!</v>
      </c>
      <c r="E64" s="8"/>
      <c r="I64" s="8"/>
    </row>
    <row r="65" spans="2:9" x14ac:dyDescent="0.25">
      <c r="B65" s="17" t="str">
        <f>Master[[#This Row],[Accession Prefix (NPGS)]]&amp;" "&amp;Master[[#This Row],[Accession Number -Assigned]]&amp;" **"</f>
        <v>W6 59651 **</v>
      </c>
      <c r="C65" s="33" t="e">
        <f>#REF!</f>
        <v>#REF!</v>
      </c>
      <c r="E65" s="8"/>
      <c r="I65" s="8"/>
    </row>
    <row r="66" spans="2:9" x14ac:dyDescent="0.25">
      <c r="B66" s="17" t="str">
        <f>Master[[#This Row],[Accession Prefix (NPGS)]]&amp;" "&amp;Master[[#This Row],[Accession Number -Assigned]]&amp;" **"</f>
        <v>W6 59652 **</v>
      </c>
      <c r="C66" s="33" t="e">
        <f>#REF!</f>
        <v>#REF!</v>
      </c>
      <c r="E66" s="8"/>
      <c r="I66" s="8"/>
    </row>
    <row r="67" spans="2:9" x14ac:dyDescent="0.25">
      <c r="B67" s="17" t="str">
        <f>Master[[#This Row],[Accession Prefix (NPGS)]]&amp;" "&amp;Master[[#This Row],[Accession Number -Assigned]]&amp;" **"</f>
        <v>W6 59653 **</v>
      </c>
      <c r="C67" s="33" t="e">
        <f>#REF!</f>
        <v>#REF!</v>
      </c>
      <c r="E67" s="8"/>
      <c r="I67" s="8"/>
    </row>
    <row r="68" spans="2:9" x14ac:dyDescent="0.25">
      <c r="B68" s="17" t="str">
        <f>Master[[#This Row],[Accession Prefix (NPGS)]]&amp;" "&amp;Master[[#This Row],[Accession Number -Assigned]]&amp;" **"</f>
        <v>W6 59654 **</v>
      </c>
      <c r="C68" s="33" t="e">
        <f>#REF!</f>
        <v>#REF!</v>
      </c>
      <c r="E68" s="8"/>
      <c r="I68" s="8"/>
    </row>
    <row r="69" spans="2:9" x14ac:dyDescent="0.25">
      <c r="B69" s="17" t="str">
        <f>Master[[#This Row],[Accession Prefix (NPGS)]]&amp;" "&amp;Master[[#This Row],[Accession Number -Assigned]]&amp;" **"</f>
        <v>W6 59655 **</v>
      </c>
      <c r="C69" s="33" t="e">
        <f>#REF!</f>
        <v>#REF!</v>
      </c>
      <c r="E69" s="8"/>
      <c r="I69" s="8"/>
    </row>
    <row r="70" spans="2:9" x14ac:dyDescent="0.25">
      <c r="B70" s="17" t="str">
        <f>Master[[#This Row],[Accession Prefix (NPGS)]]&amp;" "&amp;Master[[#This Row],[Accession Number -Assigned]]&amp;" **"</f>
        <v>W6 59656 **</v>
      </c>
      <c r="C70" s="33" t="e">
        <f>#REF!</f>
        <v>#REF!</v>
      </c>
      <c r="E70" s="8"/>
      <c r="I70" s="8"/>
    </row>
    <row r="71" spans="2:9" x14ac:dyDescent="0.25">
      <c r="B71" s="17" t="str">
        <f>Master[[#This Row],[Accession Prefix (NPGS)]]&amp;" "&amp;Master[[#This Row],[Accession Number -Assigned]]&amp;" **"</f>
        <v>W6 59657 **</v>
      </c>
      <c r="C71" s="33" t="e">
        <f>#REF!</f>
        <v>#REF!</v>
      </c>
      <c r="E71" s="8"/>
      <c r="I71" s="8"/>
    </row>
    <row r="72" spans="2:9" x14ac:dyDescent="0.25">
      <c r="B72" s="17" t="str">
        <f>Master[[#This Row],[Accession Prefix (NPGS)]]&amp;" "&amp;Master[[#This Row],[Accession Number -Assigned]]&amp;" **"</f>
        <v>W6 59658 **</v>
      </c>
      <c r="C72" s="33" t="e">
        <f>#REF!</f>
        <v>#REF!</v>
      </c>
      <c r="E72" s="8"/>
      <c r="I72" s="8"/>
    </row>
    <row r="73" spans="2:9" x14ac:dyDescent="0.25">
      <c r="B73" s="17" t="str">
        <f>Master[[#This Row],[Accession Prefix (NPGS)]]&amp;" "&amp;Master[[#This Row],[Accession Number -Assigned]]&amp;" **"</f>
        <v>W6 59659 **</v>
      </c>
      <c r="C73" s="33" t="e">
        <f>#REF!</f>
        <v>#REF!</v>
      </c>
      <c r="E73" s="8"/>
      <c r="I73" s="8"/>
    </row>
    <row r="74" spans="2:9" x14ac:dyDescent="0.25">
      <c r="B74" s="17" t="str">
        <f>Master[[#This Row],[Accession Prefix (NPGS)]]&amp;" "&amp;Master[[#This Row],[Accession Number -Assigned]]&amp;" **"</f>
        <v>W6 59660 **</v>
      </c>
      <c r="C74" s="33" t="e">
        <f>#REF!</f>
        <v>#REF!</v>
      </c>
      <c r="E74" s="8"/>
      <c r="I74" s="8"/>
    </row>
    <row r="75" spans="2:9" x14ac:dyDescent="0.25">
      <c r="B75" s="17" t="str">
        <f>Master[[#This Row],[Accession Prefix (NPGS)]]&amp;" "&amp;Master[[#This Row],[Accession Number -Assigned]]&amp;" **"</f>
        <v>W6 59661 **</v>
      </c>
      <c r="C75" s="33" t="e">
        <f>#REF!</f>
        <v>#REF!</v>
      </c>
      <c r="E75" s="8"/>
      <c r="I75" s="8"/>
    </row>
    <row r="76" spans="2:9" x14ac:dyDescent="0.25">
      <c r="B76" s="17" t="str">
        <f>Master[[#This Row],[Accession Prefix (NPGS)]]&amp;" "&amp;Master[[#This Row],[Accession Number -Assigned]]&amp;" **"</f>
        <v>W6 59662 **</v>
      </c>
      <c r="C76" s="33" t="e">
        <f>#REF!</f>
        <v>#REF!</v>
      </c>
      <c r="E76" s="8"/>
      <c r="I76" s="8"/>
    </row>
    <row r="77" spans="2:9" x14ac:dyDescent="0.25">
      <c r="B77" s="17" t="str">
        <f>Master[[#This Row],[Accession Prefix (NPGS)]]&amp;" "&amp;Master[[#This Row],[Accession Number -Assigned]]&amp;" **"</f>
        <v>W6 59663 **</v>
      </c>
      <c r="C77" s="33" t="e">
        <f>#REF!</f>
        <v>#REF!</v>
      </c>
      <c r="E77" s="8"/>
      <c r="I77" s="8"/>
    </row>
    <row r="78" spans="2:9" x14ac:dyDescent="0.25">
      <c r="B78" s="17" t="str">
        <f>Master[[#This Row],[Accession Prefix (NPGS)]]&amp;" "&amp;Master[[#This Row],[Accession Number -Assigned]]&amp;" **"</f>
        <v>W6 59664 **</v>
      </c>
      <c r="C78" s="33" t="e">
        <f>#REF!</f>
        <v>#REF!</v>
      </c>
      <c r="E78" s="8"/>
      <c r="I78" s="8"/>
    </row>
    <row r="79" spans="2:9" x14ac:dyDescent="0.25">
      <c r="B79" s="17" t="str">
        <f>Master[[#This Row],[Accession Prefix (NPGS)]]&amp;" "&amp;Master[[#This Row],[Accession Number -Assigned]]&amp;" **"</f>
        <v>W6 59665 **</v>
      </c>
      <c r="C79" s="33" t="e">
        <f>#REF!</f>
        <v>#REF!</v>
      </c>
      <c r="E79" s="8"/>
      <c r="I79" s="8"/>
    </row>
    <row r="80" spans="2:9" x14ac:dyDescent="0.25">
      <c r="B80" s="17" t="str">
        <f>Master[[#This Row],[Accession Prefix (NPGS)]]&amp;" "&amp;Master[[#This Row],[Accession Number -Assigned]]&amp;" **"</f>
        <v>W6 59666 **</v>
      </c>
      <c r="C80" s="33" t="e">
        <f>#REF!</f>
        <v>#REF!</v>
      </c>
      <c r="E80" s="8"/>
      <c r="I80" s="8"/>
    </row>
    <row r="81" spans="2:9" x14ac:dyDescent="0.25">
      <c r="B81" s="17" t="str">
        <f>Master[[#This Row],[Accession Prefix (NPGS)]]&amp;" "&amp;Master[[#This Row],[Accession Number -Assigned]]&amp;" **"</f>
        <v>W6 59667 **</v>
      </c>
      <c r="C81" s="33" t="e">
        <f>#REF!</f>
        <v>#REF!</v>
      </c>
      <c r="E81" s="8"/>
      <c r="I81" s="8"/>
    </row>
    <row r="82" spans="2:9" x14ac:dyDescent="0.25">
      <c r="B82" s="17" t="str">
        <f>Master[[#This Row],[Accession Prefix (NPGS)]]&amp;" "&amp;Master[[#This Row],[Accession Number -Assigned]]&amp;" **"</f>
        <v>W6 59668 **</v>
      </c>
      <c r="C82" s="33" t="e">
        <f>#REF!</f>
        <v>#REF!</v>
      </c>
      <c r="E82" s="8"/>
      <c r="I82" s="8"/>
    </row>
    <row r="83" spans="2:9" x14ac:dyDescent="0.25">
      <c r="B83" s="17" t="str">
        <f>Master[[#This Row],[Accession Prefix (NPGS)]]&amp;" "&amp;Master[[#This Row],[Accession Number -Assigned]]&amp;" **"</f>
        <v>W6 59669 **</v>
      </c>
      <c r="C83" s="33" t="e">
        <f>#REF!</f>
        <v>#REF!</v>
      </c>
      <c r="E83" s="8"/>
      <c r="I83" s="8"/>
    </row>
    <row r="84" spans="2:9" x14ac:dyDescent="0.25">
      <c r="B84" s="17" t="str">
        <f>Master[[#This Row],[Accession Prefix (NPGS)]]&amp;" "&amp;Master[[#This Row],[Accession Number -Assigned]]&amp;" **"</f>
        <v>W6 59670 **</v>
      </c>
      <c r="C84" s="33" t="e">
        <f>#REF!</f>
        <v>#REF!</v>
      </c>
      <c r="E84" s="8"/>
      <c r="I84" s="8"/>
    </row>
    <row r="85" spans="2:9" x14ac:dyDescent="0.25">
      <c r="B85" s="17" t="str">
        <f>Master[[#This Row],[Accession Prefix (NPGS)]]&amp;" "&amp;Master[[#This Row],[Accession Number -Assigned]]&amp;" **"</f>
        <v>W6 59671 **</v>
      </c>
      <c r="C85" s="33" t="e">
        <f>#REF!</f>
        <v>#REF!</v>
      </c>
      <c r="E85" s="8"/>
      <c r="I85" s="8"/>
    </row>
    <row r="86" spans="2:9" x14ac:dyDescent="0.25">
      <c r="B86" s="17" t="str">
        <f>Master[[#This Row],[Accession Prefix (NPGS)]]&amp;" "&amp;Master[[#This Row],[Accession Number -Assigned]]&amp;" **"</f>
        <v>W6 59672 **</v>
      </c>
      <c r="C86" s="33" t="e">
        <f>#REF!</f>
        <v>#REF!</v>
      </c>
      <c r="E86" s="8"/>
      <c r="I86" s="8"/>
    </row>
    <row r="87" spans="2:9" x14ac:dyDescent="0.25">
      <c r="B87" s="17" t="str">
        <f>Master[[#This Row],[Accession Prefix (NPGS)]]&amp;" "&amp;Master[[#This Row],[Accession Number -Assigned]]&amp;" **"</f>
        <v>W6 59673 **</v>
      </c>
      <c r="C87" s="33" t="e">
        <f>#REF!</f>
        <v>#REF!</v>
      </c>
      <c r="E87" s="8"/>
      <c r="I87" s="8"/>
    </row>
    <row r="88" spans="2:9" x14ac:dyDescent="0.25">
      <c r="B88" s="17" t="str">
        <f>Master[[#This Row],[Accession Prefix (NPGS)]]&amp;" "&amp;Master[[#This Row],[Accession Number -Assigned]]&amp;" **"</f>
        <v>W6 59674 **</v>
      </c>
      <c r="C88" s="33" t="e">
        <f>#REF!</f>
        <v>#REF!</v>
      </c>
      <c r="E88" s="8"/>
      <c r="I88" s="8"/>
    </row>
    <row r="89" spans="2:9" x14ac:dyDescent="0.25">
      <c r="B89" s="17" t="str">
        <f>Master[[#This Row],[Accession Prefix (NPGS)]]&amp;" "&amp;Master[[#This Row],[Accession Number -Assigned]]&amp;" **"</f>
        <v>W6 59675 **</v>
      </c>
      <c r="C89" s="33" t="e">
        <f>#REF!</f>
        <v>#REF!</v>
      </c>
      <c r="E89" s="8"/>
      <c r="I89" s="8"/>
    </row>
    <row r="90" spans="2:9" x14ac:dyDescent="0.25">
      <c r="B90" s="17" t="str">
        <f>Master[[#This Row],[Accession Prefix (NPGS)]]&amp;" "&amp;Master[[#This Row],[Accession Number -Assigned]]&amp;" **"</f>
        <v>W6 59676 **</v>
      </c>
      <c r="C90" s="33" t="e">
        <f>#REF!</f>
        <v>#REF!</v>
      </c>
      <c r="E90" s="8"/>
      <c r="I90" s="8"/>
    </row>
    <row r="91" spans="2:9" x14ac:dyDescent="0.25">
      <c r="B91" s="17" t="str">
        <f>Master[[#This Row],[Accession Prefix (NPGS)]]&amp;" "&amp;Master[[#This Row],[Accession Number -Assigned]]&amp;" **"</f>
        <v>W6 59677 **</v>
      </c>
      <c r="C91" s="33" t="e">
        <f>#REF!</f>
        <v>#REF!</v>
      </c>
      <c r="E91" s="8"/>
      <c r="I91" s="8"/>
    </row>
    <row r="92" spans="2:9" x14ac:dyDescent="0.25">
      <c r="B92" s="17" t="str">
        <f>Master[[#This Row],[Accession Prefix (NPGS)]]&amp;" "&amp;Master[[#This Row],[Accession Number -Assigned]]&amp;" **"</f>
        <v>W6 59678 **</v>
      </c>
      <c r="C92" s="33" t="e">
        <f>#REF!</f>
        <v>#REF!</v>
      </c>
      <c r="E92" s="8"/>
      <c r="I92" s="8"/>
    </row>
    <row r="93" spans="2:9" x14ac:dyDescent="0.25">
      <c r="B93" s="17" t="str">
        <f>Master[[#This Row],[Accession Prefix (NPGS)]]&amp;" "&amp;Master[[#This Row],[Accession Number -Assigned]]&amp;" **"</f>
        <v>W6 59679 **</v>
      </c>
      <c r="C93" s="33" t="e">
        <f>#REF!</f>
        <v>#REF!</v>
      </c>
      <c r="E93" s="8"/>
      <c r="I93" s="8"/>
    </row>
    <row r="94" spans="2:9" x14ac:dyDescent="0.25">
      <c r="B94" s="17" t="str">
        <f>Master[[#This Row],[Accession Prefix (NPGS)]]&amp;" "&amp;Master[[#This Row],[Accession Number -Assigned]]&amp;" **"</f>
        <v>W6 59680 **</v>
      </c>
      <c r="C94" s="33" t="e">
        <f>#REF!</f>
        <v>#REF!</v>
      </c>
      <c r="E94" s="8"/>
      <c r="I94" s="8"/>
    </row>
    <row r="95" spans="2:9" x14ac:dyDescent="0.25">
      <c r="B95" s="17" t="str">
        <f>Master[[#This Row],[Accession Prefix (NPGS)]]&amp;" "&amp;Master[[#This Row],[Accession Number -Assigned]]&amp;" **"</f>
        <v>W6 59681 **</v>
      </c>
      <c r="C95" s="33" t="e">
        <f>#REF!</f>
        <v>#REF!</v>
      </c>
      <c r="E95" s="8"/>
      <c r="I95" s="8"/>
    </row>
    <row r="96" spans="2:9" x14ac:dyDescent="0.25">
      <c r="B96" s="17" t="str">
        <f>Master[[#This Row],[Accession Prefix (NPGS)]]&amp;" "&amp;Master[[#This Row],[Accession Number -Assigned]]&amp;" **"</f>
        <v>W6 59682 **</v>
      </c>
      <c r="C96" s="33" t="e">
        <f>#REF!</f>
        <v>#REF!</v>
      </c>
      <c r="E96" s="8"/>
      <c r="I96" s="8"/>
    </row>
    <row r="97" spans="2:3" x14ac:dyDescent="0.25">
      <c r="B97" s="17" t="str">
        <f>Master[[#This Row],[Accession Prefix (NPGS)]]&amp;" "&amp;Master[[#This Row],[Accession Number -Assigned]]&amp;" **"</f>
        <v>W6 59683 **</v>
      </c>
      <c r="C97" s="33" t="e">
        <f>#REF!</f>
        <v>#REF!</v>
      </c>
    </row>
    <row r="98" spans="2:3" x14ac:dyDescent="0.25">
      <c r="B98" s="17" t="str">
        <f>Master[[#This Row],[Accession Prefix (NPGS)]]&amp;" "&amp;Master[[#This Row],[Accession Number -Assigned]]&amp;" **"</f>
        <v>W6 59684 **</v>
      </c>
      <c r="C98" s="33" t="e">
        <f>#REF!</f>
        <v>#REF!</v>
      </c>
    </row>
    <row r="99" spans="2:3" x14ac:dyDescent="0.25">
      <c r="B99" s="17" t="str">
        <f>Master[[#This Row],[Accession Prefix (NPGS)]]&amp;" "&amp;Master[[#This Row],[Accession Number -Assigned]]&amp;" **"</f>
        <v>W6 59685 **</v>
      </c>
      <c r="C99" s="33" t="e">
        <f>#REF!</f>
        <v>#REF!</v>
      </c>
    </row>
    <row r="100" spans="2:3" x14ac:dyDescent="0.25">
      <c r="B100" s="17" t="str">
        <f>Master[[#This Row],[Accession Prefix (NPGS)]]&amp;" "&amp;Master[[#This Row],[Accession Number -Assigned]]&amp;" **"</f>
        <v>W6 59686 **</v>
      </c>
      <c r="C100" s="33" t="e">
        <f>#REF!</f>
        <v>#REF!</v>
      </c>
    </row>
    <row r="101" spans="2:3" x14ac:dyDescent="0.25">
      <c r="B101" s="17" t="str">
        <f>Master[[#This Row],[Accession Prefix (NPGS)]]&amp;" "&amp;Master[[#This Row],[Accession Number -Assigned]]&amp;" **"</f>
        <v>W6 59687 **</v>
      </c>
      <c r="C101" s="33" t="e">
        <f>#REF!</f>
        <v>#REF!</v>
      </c>
    </row>
    <row r="102" spans="2:3" x14ac:dyDescent="0.25">
      <c r="B102" s="17" t="str">
        <f>Master[[#This Row],[Accession Prefix (NPGS)]]&amp;" "&amp;Master[[#This Row],[Accession Number -Assigned]]&amp;" **"</f>
        <v>W6 59688 **</v>
      </c>
      <c r="C102" s="33" t="e">
        <f>#REF!</f>
        <v>#REF!</v>
      </c>
    </row>
    <row r="103" spans="2:3" x14ac:dyDescent="0.25">
      <c r="B103" s="17" t="str">
        <f>Master[[#This Row],[Accession Prefix (NPGS)]]&amp;" "&amp;Master[[#This Row],[Accession Number -Assigned]]&amp;" **"</f>
        <v>W6 59689 **</v>
      </c>
      <c r="C103" s="33" t="e">
        <f>#REF!</f>
        <v>#REF!</v>
      </c>
    </row>
    <row r="104" spans="2:3" x14ac:dyDescent="0.25">
      <c r="B104" s="17" t="str">
        <f>Master[[#This Row],[Accession Prefix (NPGS)]]&amp;" "&amp;Master[[#This Row],[Accession Number -Assigned]]&amp;" **"</f>
        <v>W6 59690 **</v>
      </c>
      <c r="C104" s="33" t="e">
        <f>#REF!</f>
        <v>#REF!</v>
      </c>
    </row>
    <row r="105" spans="2:3" x14ac:dyDescent="0.25">
      <c r="B105" s="17" t="str">
        <f>Master[[#This Row],[Accession Prefix (NPGS)]]&amp;" "&amp;Master[[#This Row],[Accession Number -Assigned]]&amp;" **"</f>
        <v>W6 59691 **</v>
      </c>
      <c r="C105" s="33" t="e">
        <f>#REF!</f>
        <v>#REF!</v>
      </c>
    </row>
    <row r="106" spans="2:3" x14ac:dyDescent="0.25">
      <c r="B106" s="17" t="str">
        <f>Master[[#This Row],[Accession Prefix (NPGS)]]&amp;" "&amp;Master[[#This Row],[Accession Number -Assigned]]&amp;" **"</f>
        <v>W6 59692 **</v>
      </c>
      <c r="C106" s="33" t="e">
        <f>#REF!</f>
        <v>#REF!</v>
      </c>
    </row>
    <row r="107" spans="2:3" x14ac:dyDescent="0.25">
      <c r="B107" s="17" t="str">
        <f>Master[[#This Row],[Accession Prefix (NPGS)]]&amp;" "&amp;Master[[#This Row],[Accession Number -Assigned]]&amp;" **"</f>
        <v>W6 59693 **</v>
      </c>
      <c r="C107" s="33" t="e">
        <f>#REF!</f>
        <v>#REF!</v>
      </c>
    </row>
    <row r="108" spans="2:3" x14ac:dyDescent="0.25">
      <c r="B108" s="17" t="str">
        <f>Master[[#This Row],[Accession Prefix (NPGS)]]&amp;" "&amp;Master[[#This Row],[Accession Number -Assigned]]&amp;" **"</f>
        <v>W6 59694 **</v>
      </c>
      <c r="C108" s="33" t="e">
        <f>#REF!</f>
        <v>#REF!</v>
      </c>
    </row>
    <row r="109" spans="2:3" x14ac:dyDescent="0.25">
      <c r="B109" s="17" t="str">
        <f>Master[[#This Row],[Accession Prefix (NPGS)]]&amp;" "&amp;Master[[#This Row],[Accession Number -Assigned]]&amp;" **"</f>
        <v>W6 59695 **</v>
      </c>
      <c r="C109" s="33" t="e">
        <f>#REF!</f>
        <v>#REF!</v>
      </c>
    </row>
    <row r="110" spans="2:3" x14ac:dyDescent="0.25">
      <c r="B110" s="17" t="str">
        <f>Master[[#This Row],[Accession Prefix (NPGS)]]&amp;" "&amp;Master[[#This Row],[Accession Number -Assigned]]&amp;" **"</f>
        <v>W6 59696 **</v>
      </c>
      <c r="C110" s="33" t="e">
        <f>#REF!</f>
        <v>#REF!</v>
      </c>
    </row>
    <row r="111" spans="2:3" x14ac:dyDescent="0.25">
      <c r="B111" s="17" t="str">
        <f>Master[[#This Row],[Accession Prefix (NPGS)]]&amp;" "&amp;Master[[#This Row],[Accession Number -Assigned]]&amp;" **"</f>
        <v>W6 59697 **</v>
      </c>
      <c r="C111" s="33" t="e">
        <f>#REF!</f>
        <v>#REF!</v>
      </c>
    </row>
    <row r="112" spans="2:3" x14ac:dyDescent="0.25">
      <c r="B112" s="17" t="str">
        <f>Master[[#This Row],[Accession Prefix (NPGS)]]&amp;" "&amp;Master[[#This Row],[Accession Number -Assigned]]&amp;" **"</f>
        <v>W6 59698 **</v>
      </c>
      <c r="C112" s="33" t="e">
        <f>#REF!</f>
        <v>#REF!</v>
      </c>
    </row>
    <row r="113" spans="2:3" x14ac:dyDescent="0.25">
      <c r="B113" s="17" t="str">
        <f>Master[[#This Row],[Accession Prefix (NPGS)]]&amp;" "&amp;Master[[#This Row],[Accession Number -Assigned]]&amp;" **"</f>
        <v>W6 59699 **</v>
      </c>
      <c r="C113" s="33" t="e">
        <f>#REF!</f>
        <v>#REF!</v>
      </c>
    </row>
    <row r="114" spans="2:3" x14ac:dyDescent="0.25">
      <c r="B114" s="17" t="str">
        <f>Master[[#This Row],[Accession Prefix (NPGS)]]&amp;" "&amp;Master[[#This Row],[Accession Number -Assigned]]&amp;" **"</f>
        <v>W6 59700 **</v>
      </c>
      <c r="C114" s="33" t="e">
        <f>#REF!</f>
        <v>#REF!</v>
      </c>
    </row>
    <row r="115" spans="2:3" x14ac:dyDescent="0.25">
      <c r="B115" s="17" t="str">
        <f>Master[[#This Row],[Accession Prefix (NPGS)]]&amp;" "&amp;Master[[#This Row],[Accession Number -Assigned]]&amp;" **"</f>
        <v>W6 59701 **</v>
      </c>
      <c r="C115" s="33" t="e">
        <f>#REF!</f>
        <v>#REF!</v>
      </c>
    </row>
    <row r="116" spans="2:3" x14ac:dyDescent="0.25">
      <c r="B116" s="17" t="str">
        <f>Master[[#This Row],[Accession Prefix (NPGS)]]&amp;" "&amp;Master[[#This Row],[Accession Number -Assigned]]&amp;" **"</f>
        <v>W6 59702 **</v>
      </c>
      <c r="C116" s="33" t="e">
        <f>#REF!</f>
        <v>#REF!</v>
      </c>
    </row>
    <row r="117" spans="2:3" x14ac:dyDescent="0.25">
      <c r="B117" s="17" t="str">
        <f>Master[[#This Row],[Accession Prefix (NPGS)]]&amp;" "&amp;Master[[#This Row],[Accession Number -Assigned]]&amp;" **"</f>
        <v>W6 59703 **</v>
      </c>
      <c r="C117" s="33" t="e">
        <f>#REF!</f>
        <v>#REF!</v>
      </c>
    </row>
    <row r="118" spans="2:3" x14ac:dyDescent="0.25">
      <c r="B118" s="17" t="str">
        <f>Master[[#This Row],[Accession Prefix (NPGS)]]&amp;" "&amp;Master[[#This Row],[Accession Number -Assigned]]&amp;" **"</f>
        <v>W6 59704 **</v>
      </c>
      <c r="C118" s="33" t="e">
        <f>#REF!</f>
        <v>#REF!</v>
      </c>
    </row>
    <row r="119" spans="2:3" x14ac:dyDescent="0.25">
      <c r="B119" s="17" t="str">
        <f>Master[[#This Row],[Accession Prefix (NPGS)]]&amp;" "&amp;Master[[#This Row],[Accession Number -Assigned]]&amp;" **"</f>
        <v>W6 59705 **</v>
      </c>
      <c r="C119" s="33" t="e">
        <f>#REF!</f>
        <v>#REF!</v>
      </c>
    </row>
    <row r="120" spans="2:3" x14ac:dyDescent="0.25">
      <c r="B120" s="17" t="str">
        <f>Master[[#This Row],[Accession Prefix (NPGS)]]&amp;" "&amp;Master[[#This Row],[Accession Number -Assigned]]&amp;" **"</f>
        <v>W6 59706 **</v>
      </c>
      <c r="C120" s="33" t="e">
        <f>#REF!</f>
        <v>#REF!</v>
      </c>
    </row>
    <row r="121" spans="2:3" x14ac:dyDescent="0.25">
      <c r="B121" s="17" t="str">
        <f>Master[[#This Row],[Accession Prefix (NPGS)]]&amp;" "&amp;Master[[#This Row],[Accession Number -Assigned]]&amp;" **"</f>
        <v>W6 59707 **</v>
      </c>
      <c r="C121" s="33" t="e">
        <f>#REF!</f>
        <v>#REF!</v>
      </c>
    </row>
    <row r="122" spans="2:3" x14ac:dyDescent="0.25">
      <c r="B122" s="17" t="str">
        <f>Master[[#This Row],[Accession Prefix (NPGS)]]&amp;" "&amp;Master[[#This Row],[Accession Number -Assigned]]&amp;" **"</f>
        <v>W6 59708 **</v>
      </c>
      <c r="C122" s="33" t="e">
        <f>#REF!</f>
        <v>#REF!</v>
      </c>
    </row>
    <row r="123" spans="2:3" x14ac:dyDescent="0.25">
      <c r="B123" s="17" t="str">
        <f>Master[[#This Row],[Accession Prefix (NPGS)]]&amp;" "&amp;Master[[#This Row],[Accession Number -Assigned]]&amp;" **"</f>
        <v>W6 59709 **</v>
      </c>
      <c r="C123" s="33" t="e">
        <f>#REF!</f>
        <v>#REF!</v>
      </c>
    </row>
    <row r="124" spans="2:3" x14ac:dyDescent="0.25">
      <c r="B124" s="17" t="str">
        <f>Master[[#This Row],[Accession Prefix (NPGS)]]&amp;" "&amp;Master[[#This Row],[Accession Number -Assigned]]&amp;" **"</f>
        <v>W6 59710 **</v>
      </c>
      <c r="C124" s="33" t="e">
        <f>#REF!</f>
        <v>#REF!</v>
      </c>
    </row>
    <row r="125" spans="2:3" x14ac:dyDescent="0.25">
      <c r="B125" s="17" t="str">
        <f>Master[[#This Row],[Accession Prefix (NPGS)]]&amp;" "&amp;Master[[#This Row],[Accession Number -Assigned]]&amp;" **"</f>
        <v>W6 59711 **</v>
      </c>
      <c r="C125" s="33" t="e">
        <f>#REF!</f>
        <v>#REF!</v>
      </c>
    </row>
    <row r="126" spans="2:3" x14ac:dyDescent="0.25">
      <c r="B126" s="17" t="str">
        <f>Master[[#This Row],[Accession Prefix (NPGS)]]&amp;" "&amp;Master[[#This Row],[Accession Number -Assigned]]&amp;" **"</f>
        <v>W6 59712 **</v>
      </c>
      <c r="C126" s="33" t="e">
        <f>#REF!</f>
        <v>#REF!</v>
      </c>
    </row>
    <row r="127" spans="2:3" x14ac:dyDescent="0.25">
      <c r="B127" s="17" t="str">
        <f>Master[[#This Row],[Accession Prefix (NPGS)]]&amp;" "&amp;Master[[#This Row],[Accession Number -Assigned]]&amp;" **"</f>
        <v>W6 59713 **</v>
      </c>
      <c r="C127" s="33" t="e">
        <f>#REF!</f>
        <v>#REF!</v>
      </c>
    </row>
    <row r="128" spans="2:3" x14ac:dyDescent="0.25">
      <c r="B128" s="17" t="str">
        <f>Master[[#This Row],[Accession Prefix (NPGS)]]&amp;" "&amp;Master[[#This Row],[Accession Number -Assigned]]&amp;" **"</f>
        <v>W6 59714 **</v>
      </c>
      <c r="C128" s="33" t="e">
        <f>#REF!</f>
        <v>#REF!</v>
      </c>
    </row>
    <row r="129" spans="2:3" x14ac:dyDescent="0.25">
      <c r="B129" s="17" t="str">
        <f>Master[[#This Row],[Accession Prefix (NPGS)]]&amp;" "&amp;Master[[#This Row],[Accession Number -Assigned]]&amp;" **"</f>
        <v>W6 59715 **</v>
      </c>
      <c r="C129" s="33" t="e">
        <f>#REF!</f>
        <v>#REF!</v>
      </c>
    </row>
    <row r="130" spans="2:3" x14ac:dyDescent="0.25">
      <c r="B130" s="17" t="str">
        <f>Master[[#This Row],[Accession Prefix (NPGS)]]&amp;" "&amp;Master[[#This Row],[Accession Number -Assigned]]&amp;" **"</f>
        <v>W6 59716 **</v>
      </c>
      <c r="C130" s="33" t="e">
        <f>#REF!</f>
        <v>#REF!</v>
      </c>
    </row>
    <row r="131" spans="2:3" x14ac:dyDescent="0.25">
      <c r="B131" s="17" t="str">
        <f>Master[[#This Row],[Accession Prefix (NPGS)]]&amp;" "&amp;Master[[#This Row],[Accession Number -Assigned]]&amp;" **"</f>
        <v>W6 59717 **</v>
      </c>
      <c r="C131" s="33" t="e">
        <f>#REF!</f>
        <v>#REF!</v>
      </c>
    </row>
    <row r="132" spans="2:3" x14ac:dyDescent="0.25">
      <c r="B132" s="17" t="str">
        <f>Master[[#This Row],[Accession Prefix (NPGS)]]&amp;" "&amp;Master[[#This Row],[Accession Number -Assigned]]&amp;" **"</f>
        <v>W6 59718 **</v>
      </c>
      <c r="C132" s="33" t="e">
        <f>#REF!</f>
        <v>#REF!</v>
      </c>
    </row>
    <row r="133" spans="2:3" x14ac:dyDescent="0.25">
      <c r="B133" s="17" t="str">
        <f>Master[[#This Row],[Accession Prefix (NPGS)]]&amp;" "&amp;Master[[#This Row],[Accession Number -Assigned]]&amp;" **"</f>
        <v>W6 59719 **</v>
      </c>
      <c r="C133" s="33" t="e">
        <f>#REF!</f>
        <v>#REF!</v>
      </c>
    </row>
    <row r="134" spans="2:3" x14ac:dyDescent="0.25">
      <c r="B134" s="17" t="str">
        <f>Master[[#This Row],[Accession Prefix (NPGS)]]&amp;" "&amp;Master[[#This Row],[Accession Number -Assigned]]&amp;" **"</f>
        <v>W6 59720 **</v>
      </c>
      <c r="C134" s="33" t="e">
        <f>#REF!</f>
        <v>#REF!</v>
      </c>
    </row>
    <row r="135" spans="2:3" x14ac:dyDescent="0.25">
      <c r="B135" s="17" t="str">
        <f>Master[[#This Row],[Accession Prefix (NPGS)]]&amp;" "&amp;Master[[#This Row],[Accession Number -Assigned]]&amp;" **"</f>
        <v>W6 59721 **</v>
      </c>
      <c r="C135" s="33" t="e">
        <f>#REF!</f>
        <v>#REF!</v>
      </c>
    </row>
    <row r="136" spans="2:3" x14ac:dyDescent="0.25">
      <c r="B136" s="17" t="str">
        <f>Master[[#This Row],[Accession Prefix (NPGS)]]&amp;" "&amp;Master[[#This Row],[Accession Number -Assigned]]&amp;" **"</f>
        <v>W6 59722 **</v>
      </c>
      <c r="C136" s="33" t="e">
        <f>#REF!</f>
        <v>#REF!</v>
      </c>
    </row>
    <row r="137" spans="2:3" x14ac:dyDescent="0.25">
      <c r="B137" s="17" t="str">
        <f>Master[[#This Row],[Accession Prefix (NPGS)]]&amp;" "&amp;Master[[#This Row],[Accession Number -Assigned]]&amp;" **"</f>
        <v>W6 59723 **</v>
      </c>
      <c r="C137" s="33" t="e">
        <f>#REF!</f>
        <v>#REF!</v>
      </c>
    </row>
    <row r="138" spans="2:3" x14ac:dyDescent="0.25">
      <c r="B138" s="17" t="str">
        <f>Master[[#This Row],[Accession Prefix (NPGS)]]&amp;" "&amp;Master[[#This Row],[Accession Number -Assigned]]&amp;" **"</f>
        <v>W6 59724 **</v>
      </c>
      <c r="C138" s="33" t="e">
        <f>#REF!</f>
        <v>#REF!</v>
      </c>
    </row>
    <row r="139" spans="2:3" x14ac:dyDescent="0.25">
      <c r="B139" s="17" t="str">
        <f>Master[[#This Row],[Accession Prefix (NPGS)]]&amp;" "&amp;Master[[#This Row],[Accession Number -Assigned]]&amp;" **"</f>
        <v>W6 59725 **</v>
      </c>
      <c r="C139" s="33" t="e">
        <f>#REF!</f>
        <v>#REF!</v>
      </c>
    </row>
    <row r="140" spans="2:3" x14ac:dyDescent="0.25">
      <c r="B140" s="17" t="str">
        <f>Master[[#This Row],[Accession Prefix (NPGS)]]&amp;" "&amp;Master[[#This Row],[Accession Number -Assigned]]&amp;" **"</f>
        <v>W6 59726 **</v>
      </c>
      <c r="C140" s="33" t="e">
        <f>#REF!</f>
        <v>#REF!</v>
      </c>
    </row>
    <row r="141" spans="2:3" x14ac:dyDescent="0.25">
      <c r="B141" s="17" t="str">
        <f>Master[[#This Row],[Accession Prefix (NPGS)]]&amp;" "&amp;Master[[#This Row],[Accession Number -Assigned]]&amp;" **"</f>
        <v>W6 59727 **</v>
      </c>
      <c r="C141" s="33" t="e">
        <f>#REF!</f>
        <v>#REF!</v>
      </c>
    </row>
    <row r="142" spans="2:3" x14ac:dyDescent="0.25">
      <c r="B142" s="17" t="str">
        <f>Master[[#This Row],[Accession Prefix (NPGS)]]&amp;" "&amp;Master[[#This Row],[Accession Number -Assigned]]&amp;" **"</f>
        <v>W6 59728 **</v>
      </c>
      <c r="C142" s="33" t="e">
        <f>#REF!</f>
        <v>#REF!</v>
      </c>
    </row>
    <row r="143" spans="2:3" x14ac:dyDescent="0.25">
      <c r="B143" s="17" t="str">
        <f>Master[[#This Row],[Accession Prefix (NPGS)]]&amp;" "&amp;Master[[#This Row],[Accession Number -Assigned]]&amp;" **"</f>
        <v>W6 59729 **</v>
      </c>
      <c r="C143" s="33" t="e">
        <f>#REF!</f>
        <v>#REF!</v>
      </c>
    </row>
    <row r="144" spans="2:3" x14ac:dyDescent="0.25">
      <c r="B144" s="17" t="str">
        <f>Master[[#This Row],[Accession Prefix (NPGS)]]&amp;" "&amp;Master[[#This Row],[Accession Number -Assigned]]&amp;" **"</f>
        <v>W6 59730 **</v>
      </c>
      <c r="C144" s="33" t="e">
        <f>#REF!</f>
        <v>#REF!</v>
      </c>
    </row>
    <row r="145" spans="2:3" x14ac:dyDescent="0.25">
      <c r="B145" s="17" t="str">
        <f>Master[[#This Row],[Accession Prefix (NPGS)]]&amp;" "&amp;Master[[#This Row],[Accession Number -Assigned]]&amp;" **"</f>
        <v>W6 59731 **</v>
      </c>
      <c r="C145" s="33" t="e">
        <f>#REF!</f>
        <v>#REF!</v>
      </c>
    </row>
    <row r="146" spans="2:3" x14ac:dyDescent="0.25">
      <c r="B146" s="17" t="str">
        <f>Master[[#This Row],[Accession Prefix (NPGS)]]&amp;" "&amp;Master[[#This Row],[Accession Number -Assigned]]&amp;" **"</f>
        <v>W6 59732 **</v>
      </c>
      <c r="C146" s="33" t="e">
        <f>#REF!</f>
        <v>#REF!</v>
      </c>
    </row>
    <row r="147" spans="2:3" x14ac:dyDescent="0.25">
      <c r="B147" s="17" t="str">
        <f>Master[[#This Row],[Accession Prefix (NPGS)]]&amp;" "&amp;Master[[#This Row],[Accession Number -Assigned]]&amp;" **"</f>
        <v>W6 59733 **</v>
      </c>
      <c r="C147" s="33" t="e">
        <f>#REF!</f>
        <v>#REF!</v>
      </c>
    </row>
    <row r="148" spans="2:3" x14ac:dyDescent="0.25">
      <c r="B148" s="17" t="str">
        <f>Master[[#This Row],[Accession Prefix (NPGS)]]&amp;" "&amp;Master[[#This Row],[Accession Number -Assigned]]&amp;" **"</f>
        <v>W6 59734 **</v>
      </c>
      <c r="C148" s="33" t="e">
        <f>#REF!</f>
        <v>#REF!</v>
      </c>
    </row>
    <row r="149" spans="2:3" x14ac:dyDescent="0.25">
      <c r="B149" s="17" t="str">
        <f>Master[[#This Row],[Accession Prefix (NPGS)]]&amp;" "&amp;Master[[#This Row],[Accession Number -Assigned]]&amp;" **"</f>
        <v>W6 59735 **</v>
      </c>
      <c r="C149" s="33" t="e">
        <f>#REF!</f>
        <v>#REF!</v>
      </c>
    </row>
    <row r="150" spans="2:3" x14ac:dyDescent="0.25">
      <c r="B150" s="17" t="str">
        <f>Master[[#This Row],[Accession Prefix (NPGS)]]&amp;" "&amp;Master[[#This Row],[Accession Number -Assigned]]&amp;" **"</f>
        <v>W6 59736 **</v>
      </c>
      <c r="C150" s="33" t="e">
        <f>#REF!</f>
        <v>#REF!</v>
      </c>
    </row>
    <row r="151" spans="2:3" x14ac:dyDescent="0.25">
      <c r="B151" s="17" t="str">
        <f>Master[[#This Row],[Accession Prefix (NPGS)]]&amp;" "&amp;Master[[#This Row],[Accession Number -Assigned]]&amp;" **"</f>
        <v>W6 59737 **</v>
      </c>
      <c r="C151" s="33" t="e">
        <f>#REF!</f>
        <v>#REF!</v>
      </c>
    </row>
    <row r="152" spans="2:3" x14ac:dyDescent="0.25">
      <c r="B152" s="17" t="str">
        <f>Master[[#This Row],[Accession Prefix (NPGS)]]&amp;" "&amp;Master[[#This Row],[Accession Number -Assigned]]&amp;" **"</f>
        <v xml:space="preserve">  **</v>
      </c>
      <c r="C152" s="33" t="e">
        <f>#REF!</f>
        <v>#REF!</v>
      </c>
    </row>
    <row r="153" spans="2:3" x14ac:dyDescent="0.25">
      <c r="B153" s="17" t="str">
        <f>Master[[#This Row],[Accession Prefix (NPGS)]]&amp;" "&amp;Master[[#This Row],[Accession Number -Assigned]]&amp;" **"</f>
        <v xml:space="preserve">  **</v>
      </c>
      <c r="C153" s="33" t="e">
        <f>#REF!</f>
        <v>#REF!</v>
      </c>
    </row>
    <row r="154" spans="2:3" x14ac:dyDescent="0.25">
      <c r="B154" s="17" t="str">
        <f>Master[[#This Row],[Accession Prefix (NPGS)]]&amp;" "&amp;Master[[#This Row],[Accession Number -Assigned]]&amp;" **"</f>
        <v xml:space="preserve">  **</v>
      </c>
      <c r="C154" s="33" t="e">
        <f>#REF!</f>
        <v>#REF!</v>
      </c>
    </row>
    <row r="155" spans="2:3" x14ac:dyDescent="0.25">
      <c r="B155" s="17" t="str">
        <f>Master[[#This Row],[Accession Prefix (NPGS)]]&amp;" "&amp;Master[[#This Row],[Accession Number -Assigned]]&amp;" **"</f>
        <v xml:space="preserve">  **</v>
      </c>
      <c r="C155" s="33" t="e">
        <f>#REF!</f>
        <v>#REF!</v>
      </c>
    </row>
    <row r="156" spans="2:3" x14ac:dyDescent="0.25">
      <c r="B156" s="17" t="str">
        <f>Master[[#This Row],[Accession Prefix (NPGS)]]&amp;" "&amp;Master[[#This Row],[Accession Number -Assigned]]&amp;" **"</f>
        <v xml:space="preserve">  **</v>
      </c>
      <c r="C156" s="33" t="e">
        <f>#REF!</f>
        <v>#REF!</v>
      </c>
    </row>
    <row r="157" spans="2:3" x14ac:dyDescent="0.25">
      <c r="B157" s="17" t="str">
        <f>Master[[#This Row],[Accession Prefix (NPGS)]]&amp;" "&amp;Master[[#This Row],[Accession Number -Assigned]]&amp;" **"</f>
        <v xml:space="preserve">  **</v>
      </c>
      <c r="C157" s="33" t="e">
        <f>#REF!</f>
        <v>#REF!</v>
      </c>
    </row>
    <row r="158" spans="2:3" x14ac:dyDescent="0.25">
      <c r="B158" s="17" t="str">
        <f>Master[[#This Row],[Accession Prefix (NPGS)]]&amp;" "&amp;Master[[#This Row],[Accession Number -Assigned]]&amp;" **"</f>
        <v xml:space="preserve">  **</v>
      </c>
      <c r="C158" s="33" t="e">
        <f>#REF!</f>
        <v>#REF!</v>
      </c>
    </row>
    <row r="159" spans="2:3" x14ac:dyDescent="0.25">
      <c r="B159" s="17" t="str">
        <f>Master[[#This Row],[Accession Prefix (NPGS)]]&amp;" "&amp;Master[[#This Row],[Accession Number -Assigned]]&amp;" **"</f>
        <v xml:space="preserve">  **</v>
      </c>
      <c r="C159" s="33" t="e">
        <f>#REF!</f>
        <v>#REF!</v>
      </c>
    </row>
    <row r="160" spans="2:3" x14ac:dyDescent="0.25">
      <c r="B160" s="17" t="str">
        <f>Master[[#This Row],[Accession Prefix (NPGS)]]&amp;" "&amp;Master[[#This Row],[Accession Number -Assigned]]&amp;" **"</f>
        <v xml:space="preserve">  **</v>
      </c>
      <c r="C160" s="33" t="e">
        <f>#REF!</f>
        <v>#REF!</v>
      </c>
    </row>
    <row r="161" spans="2:3" x14ac:dyDescent="0.25">
      <c r="B161" s="17" t="str">
        <f>Master[[#This Row],[Accession Prefix (NPGS)]]&amp;" "&amp;Master[[#This Row],[Accession Number -Assigned]]&amp;" **"</f>
        <v xml:space="preserve">  **</v>
      </c>
      <c r="C161" s="33" t="e">
        <f>#REF!</f>
        <v>#REF!</v>
      </c>
    </row>
    <row r="162" spans="2:3" x14ac:dyDescent="0.25">
      <c r="B162" s="17" t="str">
        <f>Master[[#This Row],[Accession Prefix (NPGS)]]&amp;" "&amp;Master[[#This Row],[Accession Number -Assigned]]&amp;" **"</f>
        <v xml:space="preserve">  **</v>
      </c>
      <c r="C162" s="33" t="e">
        <f>#REF!</f>
        <v>#REF!</v>
      </c>
    </row>
    <row r="163" spans="2:3" x14ac:dyDescent="0.25">
      <c r="B163" s="17" t="str">
        <f>Master[[#This Row],[Accession Prefix (NPGS)]]&amp;" "&amp;Master[[#This Row],[Accession Number -Assigned]]&amp;" **"</f>
        <v xml:space="preserve">  **</v>
      </c>
      <c r="C163" s="33" t="e">
        <f>#REF!</f>
        <v>#REF!</v>
      </c>
    </row>
    <row r="164" spans="2:3" x14ac:dyDescent="0.25">
      <c r="B164" s="17" t="str">
        <f>Master[[#This Row],[Accession Prefix (NPGS)]]&amp;" "&amp;Master[[#This Row],[Accession Number -Assigned]]&amp;" **"</f>
        <v xml:space="preserve">  **</v>
      </c>
      <c r="C164" s="33" t="e">
        <f>#REF!</f>
        <v>#REF!</v>
      </c>
    </row>
    <row r="165" spans="2:3" x14ac:dyDescent="0.25">
      <c r="B165" s="17" t="str">
        <f>Master[[#This Row],[Accession Prefix (NPGS)]]&amp;" "&amp;Master[[#This Row],[Accession Number -Assigned]]&amp;" **"</f>
        <v xml:space="preserve">  **</v>
      </c>
      <c r="C165" s="33" t="e">
        <f>#REF!</f>
        <v>#REF!</v>
      </c>
    </row>
    <row r="166" spans="2:3" x14ac:dyDescent="0.25">
      <c r="B166" s="17" t="str">
        <f>Master[[#This Row],[Accession Prefix (NPGS)]]&amp;" "&amp;Master[[#This Row],[Accession Number -Assigned]]&amp;" **"</f>
        <v xml:space="preserve">  **</v>
      </c>
      <c r="C166" s="33" t="e">
        <f>#REF!</f>
        <v>#REF!</v>
      </c>
    </row>
    <row r="167" spans="2:3" x14ac:dyDescent="0.25">
      <c r="B167" s="17" t="str">
        <f>Master[[#This Row],[Accession Prefix (NPGS)]]&amp;" "&amp;Master[[#This Row],[Accession Number -Assigned]]&amp;" **"</f>
        <v xml:space="preserve">  **</v>
      </c>
      <c r="C167" s="33" t="e">
        <f>#REF!</f>
        <v>#REF!</v>
      </c>
    </row>
    <row r="168" spans="2:3" x14ac:dyDescent="0.25">
      <c r="B168" s="17" t="str">
        <f>Master[[#This Row],[Accession Prefix (NPGS)]]&amp;" "&amp;Master[[#This Row],[Accession Number -Assigned]]&amp;" **"</f>
        <v xml:space="preserve">  **</v>
      </c>
      <c r="C168" s="33" t="e">
        <f>#REF!</f>
        <v>#REF!</v>
      </c>
    </row>
    <row r="169" spans="2:3" x14ac:dyDescent="0.25">
      <c r="B169" s="17" t="str">
        <f>Master[[#This Row],[Accession Prefix (NPGS)]]&amp;" "&amp;Master[[#This Row],[Accession Number -Assigned]]&amp;" **"</f>
        <v xml:space="preserve">  **</v>
      </c>
      <c r="C169" s="33" t="e">
        <f>#REF!</f>
        <v>#REF!</v>
      </c>
    </row>
    <row r="170" spans="2:3" x14ac:dyDescent="0.25">
      <c r="B170" s="17" t="str">
        <f>Master[[#This Row],[Accession Prefix (NPGS)]]&amp;" "&amp;Master[[#This Row],[Accession Number -Assigned]]&amp;" **"</f>
        <v xml:space="preserve">  **</v>
      </c>
      <c r="C170" s="33" t="e">
        <f>#REF!</f>
        <v>#REF!</v>
      </c>
    </row>
    <row r="171" spans="2:3" x14ac:dyDescent="0.25">
      <c r="B171" s="17" t="str">
        <f>Master[[#This Row],[Accession Prefix (NPGS)]]&amp;" "&amp;Master[[#This Row],[Accession Number -Assigned]]&amp;" **"</f>
        <v xml:space="preserve">  **</v>
      </c>
      <c r="C171" s="33" t="e">
        <f>#REF!</f>
        <v>#REF!</v>
      </c>
    </row>
    <row r="172" spans="2:3" x14ac:dyDescent="0.25">
      <c r="B172" s="17" t="str">
        <f>Master[[#This Row],[Accession Prefix (NPGS)]]&amp;" "&amp;Master[[#This Row],[Accession Number -Assigned]]&amp;" **"</f>
        <v xml:space="preserve">  **</v>
      </c>
      <c r="C172" s="33" t="e">
        <f>#REF!</f>
        <v>#REF!</v>
      </c>
    </row>
    <row r="173" spans="2:3" x14ac:dyDescent="0.25">
      <c r="B173" s="17" t="str">
        <f>Master[[#This Row],[Accession Prefix (NPGS)]]&amp;" "&amp;Master[[#This Row],[Accession Number -Assigned]]&amp;" **"</f>
        <v xml:space="preserve">  **</v>
      </c>
      <c r="C173" s="33" t="e">
        <f>#REF!</f>
        <v>#REF!</v>
      </c>
    </row>
    <row r="174" spans="2:3" x14ac:dyDescent="0.25">
      <c r="B174" s="17" t="str">
        <f>Master[[#This Row],[Accession Prefix (NPGS)]]&amp;" "&amp;Master[[#This Row],[Accession Number -Assigned]]&amp;" **"</f>
        <v xml:space="preserve">  **</v>
      </c>
      <c r="C174" s="33" t="e">
        <f>#REF!</f>
        <v>#REF!</v>
      </c>
    </row>
    <row r="175" spans="2:3" x14ac:dyDescent="0.25">
      <c r="B175" s="17" t="str">
        <f>Master[[#This Row],[Accession Prefix (NPGS)]]&amp;" "&amp;Master[[#This Row],[Accession Number -Assigned]]&amp;" **"</f>
        <v xml:space="preserve">  **</v>
      </c>
      <c r="C175" s="33" t="e">
        <f>#REF!</f>
        <v>#REF!</v>
      </c>
    </row>
    <row r="176" spans="2:3" x14ac:dyDescent="0.25">
      <c r="B176" s="17" t="str">
        <f>Master[[#This Row],[Accession Prefix (NPGS)]]&amp;" "&amp;Master[[#This Row],[Accession Number -Assigned]]&amp;" **"</f>
        <v xml:space="preserve">  **</v>
      </c>
      <c r="C176" s="33" t="e">
        <f>#REF!</f>
        <v>#REF!</v>
      </c>
    </row>
    <row r="177" spans="2:3" x14ac:dyDescent="0.25">
      <c r="B177" s="17" t="str">
        <f>Master[[#This Row],[Accession Prefix (NPGS)]]&amp;" "&amp;Master[[#This Row],[Accession Number -Assigned]]&amp;" **"</f>
        <v xml:space="preserve">  **</v>
      </c>
      <c r="C177" s="33" t="e">
        <f>#REF!</f>
        <v>#REF!</v>
      </c>
    </row>
    <row r="178" spans="2:3" x14ac:dyDescent="0.25">
      <c r="B178" s="17" t="str">
        <f>Master[[#This Row],[Accession Prefix (NPGS)]]&amp;" "&amp;Master[[#This Row],[Accession Number -Assigned]]&amp;" **"</f>
        <v xml:space="preserve">  **</v>
      </c>
      <c r="C178" s="33" t="e">
        <f>#REF!</f>
        <v>#REF!</v>
      </c>
    </row>
    <row r="179" spans="2:3" x14ac:dyDescent="0.25">
      <c r="B179" s="17" t="str">
        <f>Master[[#This Row],[Accession Prefix (NPGS)]]&amp;" "&amp;Master[[#This Row],[Accession Number -Assigned]]&amp;" **"</f>
        <v xml:space="preserve">  **</v>
      </c>
      <c r="C179" s="33" t="e">
        <f>#REF!</f>
        <v>#REF!</v>
      </c>
    </row>
    <row r="180" spans="2:3" x14ac:dyDescent="0.25">
      <c r="B180" s="17" t="str">
        <f>Master[[#This Row],[Accession Prefix (NPGS)]]&amp;" "&amp;Master[[#This Row],[Accession Number -Assigned]]&amp;" **"</f>
        <v xml:space="preserve">  **</v>
      </c>
      <c r="C180" s="33" t="e">
        <f>#REF!</f>
        <v>#REF!</v>
      </c>
    </row>
    <row r="181" spans="2:3" x14ac:dyDescent="0.25">
      <c r="B181" s="17" t="str">
        <f>Master[[#This Row],[Accession Prefix (NPGS)]]&amp;" "&amp;Master[[#This Row],[Accession Number -Assigned]]&amp;" **"</f>
        <v xml:space="preserve">  **</v>
      </c>
      <c r="C181" s="33" t="e">
        <f>#REF!</f>
        <v>#REF!</v>
      </c>
    </row>
    <row r="182" spans="2:3" x14ac:dyDescent="0.25">
      <c r="B182" s="17" t="str">
        <f>Master[[#This Row],[Accession Prefix (NPGS)]]&amp;" "&amp;Master[[#This Row],[Accession Number -Assigned]]&amp;" **"</f>
        <v xml:space="preserve">  **</v>
      </c>
      <c r="C182" s="33" t="e">
        <f>#REF!</f>
        <v>#REF!</v>
      </c>
    </row>
    <row r="183" spans="2:3" x14ac:dyDescent="0.25">
      <c r="B183" s="17" t="str">
        <f>Master[[#This Row],[Accession Prefix (NPGS)]]&amp;" "&amp;Master[[#This Row],[Accession Number -Assigned]]&amp;" **"</f>
        <v xml:space="preserve">  **</v>
      </c>
      <c r="C183" s="33" t="e">
        <f>#REF!</f>
        <v>#REF!</v>
      </c>
    </row>
    <row r="184" spans="2:3" x14ac:dyDescent="0.25">
      <c r="B184" s="17" t="str">
        <f>Master[[#This Row],[Accession Prefix (NPGS)]]&amp;" "&amp;Master[[#This Row],[Accession Number -Assigned]]&amp;" **"</f>
        <v xml:space="preserve">  **</v>
      </c>
      <c r="C184" s="33" t="e">
        <f>#REF!</f>
        <v>#REF!</v>
      </c>
    </row>
    <row r="185" spans="2:3" x14ac:dyDescent="0.25">
      <c r="B185" s="17" t="str">
        <f>Master[[#This Row],[Accession Prefix (NPGS)]]&amp;" "&amp;Master[[#This Row],[Accession Number -Assigned]]&amp;" **"</f>
        <v xml:space="preserve">  **</v>
      </c>
      <c r="C185" s="33" t="e">
        <f>#REF!</f>
        <v>#REF!</v>
      </c>
    </row>
    <row r="186" spans="2:3" x14ac:dyDescent="0.25">
      <c r="B186" s="17" t="str">
        <f>Master[[#This Row],[Accession Prefix (NPGS)]]&amp;" "&amp;Master[[#This Row],[Accession Number -Assigned]]&amp;" **"</f>
        <v xml:space="preserve">  **</v>
      </c>
      <c r="C186" s="33" t="e">
        <f>#REF!</f>
        <v>#REF!</v>
      </c>
    </row>
    <row r="187" spans="2:3" x14ac:dyDescent="0.25">
      <c r="B187" s="17" t="str">
        <f>Master[[#This Row],[Accession Prefix (NPGS)]]&amp;" "&amp;Master[[#This Row],[Accession Number -Assigned]]&amp;" **"</f>
        <v xml:space="preserve">  **</v>
      </c>
      <c r="C187" s="33" t="e">
        <f>#REF!</f>
        <v>#REF!</v>
      </c>
    </row>
    <row r="188" spans="2:3" x14ac:dyDescent="0.25">
      <c r="B188" s="17" t="str">
        <f>Master[[#This Row],[Accession Prefix (NPGS)]]&amp;" "&amp;Master[[#This Row],[Accession Number -Assigned]]&amp;" **"</f>
        <v xml:space="preserve">  **</v>
      </c>
      <c r="C188" s="33" t="e">
        <f>#REF!</f>
        <v>#REF!</v>
      </c>
    </row>
    <row r="189" spans="2:3" x14ac:dyDescent="0.25">
      <c r="B189" s="17" t="str">
        <f>Master[[#This Row],[Accession Prefix (NPGS)]]&amp;" "&amp;Master[[#This Row],[Accession Number -Assigned]]&amp;" **"</f>
        <v xml:space="preserve">  **</v>
      </c>
      <c r="C189" s="33" t="e">
        <f>#REF!</f>
        <v>#REF!</v>
      </c>
    </row>
    <row r="190" spans="2:3" x14ac:dyDescent="0.25">
      <c r="B190" s="17" t="str">
        <f>Master[[#This Row],[Accession Prefix (NPGS)]]&amp;" "&amp;Master[[#This Row],[Accession Number -Assigned]]&amp;" **"</f>
        <v xml:space="preserve">  **</v>
      </c>
      <c r="C190" s="33" t="e">
        <f>#REF!</f>
        <v>#REF!</v>
      </c>
    </row>
    <row r="191" spans="2:3" x14ac:dyDescent="0.25">
      <c r="B191" s="17" t="str">
        <f>Master[[#This Row],[Accession Prefix (NPGS)]]&amp;" "&amp;Master[[#This Row],[Accession Number -Assigned]]&amp;" **"</f>
        <v xml:space="preserve">  **</v>
      </c>
      <c r="C191" s="33" t="e">
        <f>#REF!</f>
        <v>#REF!</v>
      </c>
    </row>
    <row r="192" spans="2:3" x14ac:dyDescent="0.25">
      <c r="B192" s="17" t="str">
        <f>Master[[#This Row],[Accession Prefix (NPGS)]]&amp;" "&amp;Master[[#This Row],[Accession Number -Assigned]]&amp;" **"</f>
        <v xml:space="preserve">  **</v>
      </c>
      <c r="C192" s="33" t="e">
        <f>#REF!</f>
        <v>#REF!</v>
      </c>
    </row>
    <row r="193" spans="2:3" x14ac:dyDescent="0.25">
      <c r="B193" s="17" t="str">
        <f>Master[[#This Row],[Accession Prefix (NPGS)]]&amp;" "&amp;Master[[#This Row],[Accession Number -Assigned]]&amp;" **"</f>
        <v xml:space="preserve">  **</v>
      </c>
      <c r="C193" s="33" t="e">
        <f>#REF!</f>
        <v>#REF!</v>
      </c>
    </row>
    <row r="194" spans="2:3" x14ac:dyDescent="0.25">
      <c r="B194" s="17" t="str">
        <f>Master[[#This Row],[Accession Prefix (NPGS)]]&amp;" "&amp;Master[[#This Row],[Accession Number -Assigned]]&amp;" **"</f>
        <v xml:space="preserve">  **</v>
      </c>
      <c r="C194" s="33" t="e">
        <f>#REF!</f>
        <v>#REF!</v>
      </c>
    </row>
    <row r="195" spans="2:3" x14ac:dyDescent="0.25">
      <c r="B195" s="17" t="str">
        <f>Master[[#This Row],[Accession Prefix (NPGS)]]&amp;" "&amp;Master[[#This Row],[Accession Number -Assigned]]&amp;" **"</f>
        <v xml:space="preserve">  **</v>
      </c>
      <c r="C195" s="33" t="e">
        <f>#REF!</f>
        <v>#REF!</v>
      </c>
    </row>
    <row r="196" spans="2:3" x14ac:dyDescent="0.25">
      <c r="B196" s="17" t="str">
        <f>Master[[#This Row],[Accession Prefix (NPGS)]]&amp;" "&amp;Master[[#This Row],[Accession Number -Assigned]]&amp;" **"</f>
        <v xml:space="preserve">  **</v>
      </c>
      <c r="C196" s="33" t="e">
        <f>#REF!</f>
        <v>#REF!</v>
      </c>
    </row>
    <row r="197" spans="2:3" x14ac:dyDescent="0.25">
      <c r="B197" s="17" t="str">
        <f>Master[[#This Row],[Accession Prefix (NPGS)]]&amp;" "&amp;Master[[#This Row],[Accession Number -Assigned]]&amp;" **"</f>
        <v xml:space="preserve">  **</v>
      </c>
      <c r="C197" s="33" t="e">
        <f>#REF!</f>
        <v>#REF!</v>
      </c>
    </row>
    <row r="198" spans="2:3" x14ac:dyDescent="0.25">
      <c r="B198" s="17" t="str">
        <f>Master[[#This Row],[Accession Prefix (NPGS)]]&amp;" "&amp;Master[[#This Row],[Accession Number -Assigned]]&amp;" **"</f>
        <v xml:space="preserve">  **</v>
      </c>
      <c r="C198" s="33" t="e">
        <f>#REF!</f>
        <v>#REF!</v>
      </c>
    </row>
    <row r="199" spans="2:3" x14ac:dyDescent="0.25">
      <c r="B199" s="17" t="str">
        <f>Master[[#This Row],[Accession Prefix (NPGS)]]&amp;" "&amp;Master[[#This Row],[Accession Number -Assigned]]&amp;" **"</f>
        <v xml:space="preserve">  **</v>
      </c>
      <c r="C199" s="33" t="e">
        <f>#REF!</f>
        <v>#REF!</v>
      </c>
    </row>
    <row r="200" spans="2:3" x14ac:dyDescent="0.25">
      <c r="B200" s="17" t="str">
        <f>Master[[#This Row],[Accession Prefix (NPGS)]]&amp;" "&amp;Master[[#This Row],[Accession Number -Assigned]]&amp;" **"</f>
        <v xml:space="preserve">  **</v>
      </c>
      <c r="C200" s="33" t="e">
        <f>#REF!</f>
        <v>#REF!</v>
      </c>
    </row>
    <row r="201" spans="2:3" x14ac:dyDescent="0.25">
      <c r="B201" s="17" t="str">
        <f>Master[[#This Row],[Accession Prefix (NPGS)]]&amp;" "&amp;Master[[#This Row],[Accession Number -Assigned]]&amp;" **"</f>
        <v xml:space="preserve">  **</v>
      </c>
      <c r="C201" s="33" t="e">
        <f>#REF!</f>
        <v>#REF!</v>
      </c>
    </row>
  </sheetData>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0" tint="-0.249977111117893"/>
  </sheetPr>
  <dimension ref="A1:I201"/>
  <sheetViews>
    <sheetView workbookViewId="0">
      <selection activeCell="B24" sqref="B24"/>
    </sheetView>
  </sheetViews>
  <sheetFormatPr defaultRowHeight="15" x14ac:dyDescent="0.25"/>
  <cols>
    <col min="1" max="1" width="14" customWidth="1"/>
    <col min="2" max="2" width="23.140625" bestFit="1" customWidth="1"/>
    <col min="3" max="3" width="20" style="10" customWidth="1"/>
    <col min="4" max="4" width="12.42578125" customWidth="1"/>
    <col min="5" max="5" width="14.85546875" bestFit="1" customWidth="1"/>
    <col min="6" max="6" width="31.140625" bestFit="1" customWidth="1"/>
    <col min="7" max="7" width="13.85546875" bestFit="1" customWidth="1"/>
    <col min="8" max="8" width="11.7109375" bestFit="1" customWidth="1"/>
    <col min="9" max="9" width="14.85546875" bestFit="1" customWidth="1"/>
    <col min="10" max="10" width="23.5703125" bestFit="1" customWidth="1"/>
  </cols>
  <sheetData>
    <row r="1" spans="1:9" s="121" customFormat="1" ht="46.5" customHeight="1" x14ac:dyDescent="0.25">
      <c r="A1" s="82" t="s">
        <v>72</v>
      </c>
      <c r="B1" s="120" t="s">
        <v>31</v>
      </c>
      <c r="C1" s="120" t="s">
        <v>39</v>
      </c>
      <c r="D1" s="82" t="s">
        <v>9</v>
      </c>
    </row>
    <row r="2" spans="1:9" ht="15.75" x14ac:dyDescent="0.25">
      <c r="A2" s="1"/>
      <c r="B2" s="17" t="str">
        <f>Master[[#This Row],[Accession Prefix (NPGS)]]&amp;" "&amp;Master[[#This Row],[Accession Number -Assigned]]&amp;" "&amp;Master[[#This Row],[Inventory Suffix]]&amp;" "&amp;Master[[#This Row],[Inventory Type - Lookup Picker]]</f>
        <v>W6 57036 2019o SD</v>
      </c>
      <c r="C2" s="33" t="str">
        <f>""</f>
        <v/>
      </c>
      <c r="E2" s="3"/>
      <c r="I2" s="3"/>
    </row>
    <row r="3" spans="1:9" x14ac:dyDescent="0.25">
      <c r="A3" s="7"/>
      <c r="B3" s="17" t="str">
        <f>Master[[#This Row],[Accession Prefix (NPGS)]]&amp;" "&amp;Master[[#This Row],[Accession Number -Assigned]]&amp;" "&amp;Master[[#This Row],[Inventory Suffix]]&amp;" "&amp;Master[[#This Row],[Inventory Type - Lookup Picker]]</f>
        <v>W6   SD</v>
      </c>
      <c r="C3" s="33" t="str">
        <f>""</f>
        <v/>
      </c>
      <c r="E3" s="3"/>
      <c r="I3" s="3"/>
    </row>
    <row r="4" spans="1:9" x14ac:dyDescent="0.25">
      <c r="A4" s="7"/>
      <c r="B4" s="17" t="str">
        <f>Master[[#This Row],[Accession Prefix (NPGS)]]&amp;" "&amp;Master[[#This Row],[Accession Number -Assigned]]&amp;" "&amp;Master[[#This Row],[Inventory Suffix]]&amp;" "&amp;Master[[#This Row],[Inventory Type - Lookup Picker]]</f>
        <v>W6 59590  SD</v>
      </c>
      <c r="C4" s="33" t="str">
        <f>""</f>
        <v/>
      </c>
      <c r="E4" s="3"/>
      <c r="I4" s="3"/>
    </row>
    <row r="5" spans="1:9" x14ac:dyDescent="0.25">
      <c r="A5" s="7"/>
      <c r="B5" s="17" t="str">
        <f>Master[[#This Row],[Accession Prefix (NPGS)]]&amp;" "&amp;Master[[#This Row],[Accession Number -Assigned]]&amp;" "&amp;Master[[#This Row],[Inventory Suffix]]&amp;" "&amp;Master[[#This Row],[Inventory Type - Lookup Picker]]</f>
        <v>W6 59591  SD</v>
      </c>
      <c r="C5" s="33" t="str">
        <f>""</f>
        <v/>
      </c>
      <c r="E5" s="3"/>
      <c r="I5" s="3"/>
    </row>
    <row r="6" spans="1:9" x14ac:dyDescent="0.25">
      <c r="A6" s="7"/>
      <c r="B6" s="17" t="str">
        <f>Master[[#This Row],[Accession Prefix (NPGS)]]&amp;" "&amp;Master[[#This Row],[Accession Number -Assigned]]&amp;" "&amp;Master[[#This Row],[Inventory Suffix]]&amp;" "&amp;Master[[#This Row],[Inventory Type - Lookup Picker]]</f>
        <v>W6 59592  SD</v>
      </c>
      <c r="C6" s="33" t="str">
        <f>""</f>
        <v/>
      </c>
      <c r="E6" s="3"/>
      <c r="I6" s="3"/>
    </row>
    <row r="7" spans="1:9" x14ac:dyDescent="0.25">
      <c r="A7" s="7"/>
      <c r="B7" s="17" t="str">
        <f>Master[[#This Row],[Accession Prefix (NPGS)]]&amp;" "&amp;Master[[#This Row],[Accession Number -Assigned]]&amp;" "&amp;Master[[#This Row],[Inventory Suffix]]&amp;" "&amp;Master[[#This Row],[Inventory Type - Lookup Picker]]</f>
        <v>W6 59593  SD</v>
      </c>
      <c r="C7" s="33" t="str">
        <f>""</f>
        <v/>
      </c>
      <c r="E7" s="3"/>
      <c r="I7" s="3"/>
    </row>
    <row r="8" spans="1:9" x14ac:dyDescent="0.25">
      <c r="A8" s="7"/>
      <c r="B8" s="17" t="str">
        <f>Master[[#This Row],[Accession Prefix (NPGS)]]&amp;" "&amp;Master[[#This Row],[Accession Number -Assigned]]&amp;" "&amp;Master[[#This Row],[Inventory Suffix]]&amp;" "&amp;Master[[#This Row],[Inventory Type - Lookup Picker]]</f>
        <v>W6 59594  SD</v>
      </c>
      <c r="C8" s="33" t="str">
        <f>""</f>
        <v/>
      </c>
      <c r="E8" s="3"/>
      <c r="I8" s="3"/>
    </row>
    <row r="9" spans="1:9" x14ac:dyDescent="0.25">
      <c r="A9" s="7"/>
      <c r="B9" s="17" t="str">
        <f>Master[[#This Row],[Accession Prefix (NPGS)]]&amp;" "&amp;Master[[#This Row],[Accession Number -Assigned]]&amp;" "&amp;Master[[#This Row],[Inventory Suffix]]&amp;" "&amp;Master[[#This Row],[Inventory Type - Lookup Picker]]</f>
        <v>W6 59595  SD</v>
      </c>
      <c r="C9" s="33" t="str">
        <f>""</f>
        <v/>
      </c>
      <c r="E9" s="3"/>
      <c r="I9" s="3"/>
    </row>
    <row r="10" spans="1:9" x14ac:dyDescent="0.25">
      <c r="A10" s="7"/>
      <c r="B10" s="17" t="str">
        <f>Master[[#This Row],[Accession Prefix (NPGS)]]&amp;" "&amp;Master[[#This Row],[Accession Number -Assigned]]&amp;" "&amp;Master[[#This Row],[Inventory Suffix]]&amp;" "&amp;Master[[#This Row],[Inventory Type - Lookup Picker]]</f>
        <v>W6 59596  SD</v>
      </c>
      <c r="C10" s="33" t="str">
        <f>""</f>
        <v/>
      </c>
      <c r="E10" s="3"/>
      <c r="I10" s="3"/>
    </row>
    <row r="11" spans="1:9" x14ac:dyDescent="0.25">
      <c r="A11" s="7"/>
      <c r="B11" s="17" t="str">
        <f>Master[[#This Row],[Accession Prefix (NPGS)]]&amp;" "&amp;Master[[#This Row],[Accession Number -Assigned]]&amp;" "&amp;Master[[#This Row],[Inventory Suffix]]&amp;" "&amp;Master[[#This Row],[Inventory Type - Lookup Picker]]</f>
        <v>W6 59597  SD</v>
      </c>
      <c r="C11" s="33" t="str">
        <f>""</f>
        <v/>
      </c>
      <c r="E11" s="3"/>
      <c r="I11" s="3"/>
    </row>
    <row r="12" spans="1:9" x14ac:dyDescent="0.25">
      <c r="A12" s="7"/>
      <c r="B12" s="17" t="str">
        <f>Master[[#This Row],[Accession Prefix (NPGS)]]&amp;" "&amp;Master[[#This Row],[Accession Number -Assigned]]&amp;" "&amp;Master[[#This Row],[Inventory Suffix]]&amp;" "&amp;Master[[#This Row],[Inventory Type - Lookup Picker]]</f>
        <v>W6 59598  SD</v>
      </c>
      <c r="C12" s="33" t="str">
        <f>""</f>
        <v/>
      </c>
      <c r="E12" s="3"/>
      <c r="I12" s="3"/>
    </row>
    <row r="13" spans="1:9" x14ac:dyDescent="0.25">
      <c r="A13" s="7"/>
      <c r="B13" s="17" t="str">
        <f>Master[[#This Row],[Accession Prefix (NPGS)]]&amp;" "&amp;Master[[#This Row],[Accession Number -Assigned]]&amp;" "&amp;Master[[#This Row],[Inventory Suffix]]&amp;" "&amp;Master[[#This Row],[Inventory Type - Lookup Picker]]</f>
        <v>W6 59599  SD</v>
      </c>
      <c r="C13" s="33" t="str">
        <f>""</f>
        <v/>
      </c>
      <c r="E13" s="3"/>
      <c r="I13" s="3"/>
    </row>
    <row r="14" spans="1:9" x14ac:dyDescent="0.25">
      <c r="A14" s="7"/>
      <c r="B14" s="17" t="str">
        <f>Master[[#This Row],[Accession Prefix (NPGS)]]&amp;" "&amp;Master[[#This Row],[Accession Number -Assigned]]&amp;" "&amp;Master[[#This Row],[Inventory Suffix]]&amp;" "&amp;Master[[#This Row],[Inventory Type - Lookup Picker]]</f>
        <v>W6 59600  SD</v>
      </c>
      <c r="C14" s="33" t="str">
        <f>""</f>
        <v/>
      </c>
      <c r="E14" s="3"/>
      <c r="I14" s="3"/>
    </row>
    <row r="15" spans="1:9" x14ac:dyDescent="0.25">
      <c r="A15" s="7"/>
      <c r="B15" s="17" t="str">
        <f>Master[[#This Row],[Accession Prefix (NPGS)]]&amp;" "&amp;Master[[#This Row],[Accession Number -Assigned]]&amp;" "&amp;Master[[#This Row],[Inventory Suffix]]&amp;" "&amp;Master[[#This Row],[Inventory Type - Lookup Picker]]</f>
        <v>W6 59601  SD</v>
      </c>
      <c r="C15" s="33" t="str">
        <f>""</f>
        <v/>
      </c>
      <c r="E15" s="3"/>
      <c r="I15" s="3"/>
    </row>
    <row r="16" spans="1:9" x14ac:dyDescent="0.25">
      <c r="A16" s="7"/>
      <c r="B16" s="17" t="str">
        <f>Master[[#This Row],[Accession Prefix (NPGS)]]&amp;" "&amp;Master[[#This Row],[Accession Number -Assigned]]&amp;" "&amp;Master[[#This Row],[Inventory Suffix]]&amp;" "&amp;Master[[#This Row],[Inventory Type - Lookup Picker]]</f>
        <v>W6 59602  SD</v>
      </c>
      <c r="C16" s="33" t="str">
        <f>""</f>
        <v/>
      </c>
      <c r="E16" s="3"/>
      <c r="I16" s="3"/>
    </row>
    <row r="17" spans="1:9" x14ac:dyDescent="0.25">
      <c r="A17" s="7"/>
      <c r="B17" s="17" t="str">
        <f>Master[[#This Row],[Accession Prefix (NPGS)]]&amp;" "&amp;Master[[#This Row],[Accession Number -Assigned]]&amp;" "&amp;Master[[#This Row],[Inventory Suffix]]&amp;" "&amp;Master[[#This Row],[Inventory Type - Lookup Picker]]</f>
        <v>W6 59603  SD</v>
      </c>
      <c r="C17" s="33" t="str">
        <f>""</f>
        <v/>
      </c>
      <c r="E17" s="3"/>
      <c r="I17" s="3"/>
    </row>
    <row r="18" spans="1:9" x14ac:dyDescent="0.25">
      <c r="A18" s="7"/>
      <c r="B18" s="17" t="str">
        <f>Master[[#This Row],[Accession Prefix (NPGS)]]&amp;" "&amp;Master[[#This Row],[Accession Number -Assigned]]&amp;" "&amp;Master[[#This Row],[Inventory Suffix]]&amp;" "&amp;Master[[#This Row],[Inventory Type - Lookup Picker]]</f>
        <v>W6 59604  SD</v>
      </c>
      <c r="C18" s="33" t="str">
        <f>""</f>
        <v/>
      </c>
      <c r="E18" s="3"/>
      <c r="I18" s="3"/>
    </row>
    <row r="19" spans="1:9" x14ac:dyDescent="0.25">
      <c r="A19" s="7"/>
      <c r="B19" s="17" t="str">
        <f>Master[[#This Row],[Accession Prefix (NPGS)]]&amp;" "&amp;Master[[#This Row],[Accession Number -Assigned]]&amp;" "&amp;Master[[#This Row],[Inventory Suffix]]&amp;" "&amp;Master[[#This Row],[Inventory Type - Lookup Picker]]</f>
        <v>W6 59605  SD</v>
      </c>
      <c r="C19" s="33" t="str">
        <f>""</f>
        <v/>
      </c>
      <c r="E19" s="3"/>
      <c r="I19" s="3"/>
    </row>
    <row r="20" spans="1:9" x14ac:dyDescent="0.25">
      <c r="A20" s="7"/>
      <c r="B20" s="17" t="str">
        <f>Master[[#This Row],[Accession Prefix (NPGS)]]&amp;" "&amp;Master[[#This Row],[Accession Number -Assigned]]&amp;" "&amp;Master[[#This Row],[Inventory Suffix]]&amp;" "&amp;Master[[#This Row],[Inventory Type - Lookup Picker]]</f>
        <v>W6 59606  SD</v>
      </c>
      <c r="C20" s="33" t="str">
        <f>""</f>
        <v/>
      </c>
      <c r="E20" s="3"/>
      <c r="I20" s="3"/>
    </row>
    <row r="21" spans="1:9" x14ac:dyDescent="0.25">
      <c r="A21" s="7"/>
      <c r="B21" s="17" t="str">
        <f>Master[[#This Row],[Accession Prefix (NPGS)]]&amp;" "&amp;Master[[#This Row],[Accession Number -Assigned]]&amp;" "&amp;Master[[#This Row],[Inventory Suffix]]&amp;" "&amp;Master[[#This Row],[Inventory Type - Lookup Picker]]</f>
        <v>W6 59607  SD</v>
      </c>
      <c r="C21" s="33" t="str">
        <f>""</f>
        <v/>
      </c>
      <c r="E21" s="3"/>
      <c r="I21" s="3"/>
    </row>
    <row r="22" spans="1:9" x14ac:dyDescent="0.25">
      <c r="B22" s="17" t="str">
        <f>Master[[#This Row],[Accession Prefix (NPGS)]]&amp;" "&amp;Master[[#This Row],[Accession Number -Assigned]]&amp;" "&amp;Master[[#This Row],[Inventory Suffix]]&amp;" "&amp;Master[[#This Row],[Inventory Type - Lookup Picker]]</f>
        <v>W6 59608  SD</v>
      </c>
      <c r="C22" s="33" t="str">
        <f>""</f>
        <v/>
      </c>
      <c r="E22" s="3"/>
      <c r="I22" s="3"/>
    </row>
    <row r="23" spans="1:9" x14ac:dyDescent="0.25">
      <c r="B23" s="17" t="str">
        <f>Master[[#This Row],[Accession Prefix (NPGS)]]&amp;" "&amp;Master[[#This Row],[Accession Number -Assigned]]&amp;" "&amp;Master[[#This Row],[Inventory Suffix]]&amp;" "&amp;Master[[#This Row],[Inventory Type - Lookup Picker]]</f>
        <v>W6 59609  SD</v>
      </c>
      <c r="C23" s="33" t="str">
        <f>""</f>
        <v/>
      </c>
      <c r="E23" s="3"/>
      <c r="I23" s="3"/>
    </row>
    <row r="24" spans="1:9" x14ac:dyDescent="0.25">
      <c r="B24" s="17" t="str">
        <f>Master[[#This Row],[Accession Prefix (NPGS)]]&amp;" "&amp;Master[[#This Row],[Accession Number -Assigned]]&amp;" "&amp;Master[[#This Row],[Inventory Suffix]]&amp;" "&amp;Master[[#This Row],[Inventory Type - Lookup Picker]]</f>
        <v>W6 59610  SD</v>
      </c>
      <c r="C24" s="33" t="str">
        <f>""</f>
        <v/>
      </c>
      <c r="E24" s="3"/>
      <c r="I24" s="3"/>
    </row>
    <row r="25" spans="1:9" x14ac:dyDescent="0.25">
      <c r="B25" s="17" t="str">
        <f>Master[[#This Row],[Accession Prefix (NPGS)]]&amp;" "&amp;Master[[#This Row],[Accession Number -Assigned]]&amp;" "&amp;Master[[#This Row],[Inventory Suffix]]&amp;" "&amp;Master[[#This Row],[Inventory Type - Lookup Picker]]</f>
        <v>W6 59611  SD</v>
      </c>
      <c r="C25" s="33" t="str">
        <f>""</f>
        <v/>
      </c>
      <c r="E25" s="3"/>
      <c r="I25" s="3"/>
    </row>
    <row r="26" spans="1:9" x14ac:dyDescent="0.25">
      <c r="B26" s="17" t="str">
        <f>Master[[#This Row],[Accession Prefix (NPGS)]]&amp;" "&amp;Master[[#This Row],[Accession Number -Assigned]]&amp;" "&amp;Master[[#This Row],[Inventory Suffix]]&amp;" "&amp;Master[[#This Row],[Inventory Type - Lookup Picker]]</f>
        <v>W6 59612  SD</v>
      </c>
      <c r="C26" s="33" t="str">
        <f>""</f>
        <v/>
      </c>
      <c r="E26" s="3"/>
      <c r="I26" s="3"/>
    </row>
    <row r="27" spans="1:9" x14ac:dyDescent="0.25">
      <c r="B27" s="17" t="str">
        <f>Master[[#This Row],[Accession Prefix (NPGS)]]&amp;" "&amp;Master[[#This Row],[Accession Number -Assigned]]&amp;" "&amp;Master[[#This Row],[Inventory Suffix]]&amp;" "&amp;Master[[#This Row],[Inventory Type - Lookup Picker]]</f>
        <v>W6 59613  SD</v>
      </c>
      <c r="C27" s="33" t="str">
        <f>""</f>
        <v/>
      </c>
      <c r="E27" s="3"/>
      <c r="I27" s="3"/>
    </row>
    <row r="28" spans="1:9" x14ac:dyDescent="0.25">
      <c r="B28" s="17" t="str">
        <f>Master[[#This Row],[Accession Prefix (NPGS)]]&amp;" "&amp;Master[[#This Row],[Accession Number -Assigned]]&amp;" "&amp;Master[[#This Row],[Inventory Suffix]]&amp;" "&amp;Master[[#This Row],[Inventory Type - Lookup Picker]]</f>
        <v>W6 59614  SD</v>
      </c>
      <c r="C28" s="33" t="str">
        <f>""</f>
        <v/>
      </c>
      <c r="E28" s="3"/>
      <c r="I28" s="3"/>
    </row>
    <row r="29" spans="1:9" x14ac:dyDescent="0.25">
      <c r="B29" s="17" t="str">
        <f>Master[[#This Row],[Accession Prefix (NPGS)]]&amp;" "&amp;Master[[#This Row],[Accession Number -Assigned]]&amp;" "&amp;Master[[#This Row],[Inventory Suffix]]&amp;" "&amp;Master[[#This Row],[Inventory Type - Lookup Picker]]</f>
        <v>W6 59615  SD</v>
      </c>
      <c r="C29" s="33" t="str">
        <f>""</f>
        <v/>
      </c>
      <c r="E29" s="3"/>
      <c r="I29" s="3"/>
    </row>
    <row r="30" spans="1:9" x14ac:dyDescent="0.25">
      <c r="B30" s="17" t="str">
        <f>Master[[#This Row],[Accession Prefix (NPGS)]]&amp;" "&amp;Master[[#This Row],[Accession Number -Assigned]]&amp;" "&amp;Master[[#This Row],[Inventory Suffix]]&amp;" "&amp;Master[[#This Row],[Inventory Type - Lookup Picker]]</f>
        <v>W6 59616  SD</v>
      </c>
      <c r="C30" s="33" t="str">
        <f>""</f>
        <v/>
      </c>
      <c r="E30" s="3"/>
      <c r="I30" s="3"/>
    </row>
    <row r="31" spans="1:9" x14ac:dyDescent="0.25">
      <c r="B31" s="17" t="str">
        <f>Master[[#This Row],[Accession Prefix (NPGS)]]&amp;" "&amp;Master[[#This Row],[Accession Number -Assigned]]&amp;" "&amp;Master[[#This Row],[Inventory Suffix]]&amp;" "&amp;Master[[#This Row],[Inventory Type - Lookup Picker]]</f>
        <v>W6 59617  SD</v>
      </c>
      <c r="C31" s="33" t="str">
        <f>""</f>
        <v/>
      </c>
      <c r="E31" s="3"/>
      <c r="I31" s="3"/>
    </row>
    <row r="32" spans="1:9" x14ac:dyDescent="0.25">
      <c r="B32" s="17" t="str">
        <f>Master[[#This Row],[Accession Prefix (NPGS)]]&amp;" "&amp;Master[[#This Row],[Accession Number -Assigned]]&amp;" "&amp;Master[[#This Row],[Inventory Suffix]]&amp;" "&amp;Master[[#This Row],[Inventory Type - Lookup Picker]]</f>
        <v>W6 59618  SD</v>
      </c>
      <c r="C32" s="33" t="str">
        <f>""</f>
        <v/>
      </c>
      <c r="E32" s="3"/>
      <c r="I32" s="3"/>
    </row>
    <row r="33" spans="2:9" x14ac:dyDescent="0.25">
      <c r="B33" s="17" t="str">
        <f>Master[[#This Row],[Accession Prefix (NPGS)]]&amp;" "&amp;Master[[#This Row],[Accession Number -Assigned]]&amp;" "&amp;Master[[#This Row],[Inventory Suffix]]&amp;" "&amp;Master[[#This Row],[Inventory Type - Lookup Picker]]</f>
        <v>W6 59619  SD</v>
      </c>
      <c r="C33" s="33" t="str">
        <f>""</f>
        <v/>
      </c>
      <c r="E33" s="3"/>
      <c r="I33" s="3"/>
    </row>
    <row r="34" spans="2:9" x14ac:dyDescent="0.25">
      <c r="B34" s="17" t="str">
        <f>Master[[#This Row],[Accession Prefix (NPGS)]]&amp;" "&amp;Master[[#This Row],[Accession Number -Assigned]]&amp;" "&amp;Master[[#This Row],[Inventory Suffix]]&amp;" "&amp;Master[[#This Row],[Inventory Type - Lookup Picker]]</f>
        <v>W6 59620  SD</v>
      </c>
      <c r="C34" s="33" t="str">
        <f>""</f>
        <v/>
      </c>
      <c r="E34" s="3"/>
      <c r="I34" s="3"/>
    </row>
    <row r="35" spans="2:9" x14ac:dyDescent="0.25">
      <c r="B35" s="17" t="str">
        <f>Master[[#This Row],[Accession Prefix (NPGS)]]&amp;" "&amp;Master[[#This Row],[Accession Number -Assigned]]&amp;" "&amp;Master[[#This Row],[Inventory Suffix]]&amp;" "&amp;Master[[#This Row],[Inventory Type - Lookup Picker]]</f>
        <v>W6 59621  SD</v>
      </c>
      <c r="C35" s="33" t="str">
        <f>""</f>
        <v/>
      </c>
      <c r="E35" s="3"/>
      <c r="I35" s="3"/>
    </row>
    <row r="36" spans="2:9" x14ac:dyDescent="0.25">
      <c r="B36" s="17" t="str">
        <f>Master[[#This Row],[Accession Prefix (NPGS)]]&amp;" "&amp;Master[[#This Row],[Accession Number -Assigned]]&amp;" "&amp;Master[[#This Row],[Inventory Suffix]]&amp;" "&amp;Master[[#This Row],[Inventory Type - Lookup Picker]]</f>
        <v>W6 59622  SD</v>
      </c>
      <c r="C36" s="33" t="str">
        <f>""</f>
        <v/>
      </c>
      <c r="E36" s="3"/>
      <c r="I36" s="3"/>
    </row>
    <row r="37" spans="2:9" x14ac:dyDescent="0.25">
      <c r="B37" s="17" t="str">
        <f>Master[[#This Row],[Accession Prefix (NPGS)]]&amp;" "&amp;Master[[#This Row],[Accession Number -Assigned]]&amp;" "&amp;Master[[#This Row],[Inventory Suffix]]&amp;" "&amp;Master[[#This Row],[Inventory Type - Lookup Picker]]</f>
        <v>W6 59623  SD</v>
      </c>
      <c r="C37" s="33" t="str">
        <f>""</f>
        <v/>
      </c>
      <c r="E37" s="3"/>
      <c r="I37" s="3"/>
    </row>
    <row r="38" spans="2:9" x14ac:dyDescent="0.25">
      <c r="B38" s="17" t="str">
        <f>Master[[#This Row],[Accession Prefix (NPGS)]]&amp;" "&amp;Master[[#This Row],[Accession Number -Assigned]]&amp;" "&amp;Master[[#This Row],[Inventory Suffix]]&amp;" "&amp;Master[[#This Row],[Inventory Type - Lookup Picker]]</f>
        <v>W6 59624  SD</v>
      </c>
      <c r="C38" s="33" t="str">
        <f>""</f>
        <v/>
      </c>
      <c r="E38" s="3"/>
      <c r="I38" s="3"/>
    </row>
    <row r="39" spans="2:9" x14ac:dyDescent="0.25">
      <c r="B39" s="17" t="str">
        <f>Master[[#This Row],[Accession Prefix (NPGS)]]&amp;" "&amp;Master[[#This Row],[Accession Number -Assigned]]&amp;" "&amp;Master[[#This Row],[Inventory Suffix]]&amp;" "&amp;Master[[#This Row],[Inventory Type - Lookup Picker]]</f>
        <v>W6 59625  SD</v>
      </c>
      <c r="C39" s="33" t="str">
        <f>""</f>
        <v/>
      </c>
      <c r="E39" s="3"/>
      <c r="I39" s="3"/>
    </row>
    <row r="40" spans="2:9" x14ac:dyDescent="0.25">
      <c r="B40" s="17" t="str">
        <f>Master[[#This Row],[Accession Prefix (NPGS)]]&amp;" "&amp;Master[[#This Row],[Accession Number -Assigned]]&amp;" "&amp;Master[[#This Row],[Inventory Suffix]]&amp;" "&amp;Master[[#This Row],[Inventory Type - Lookup Picker]]</f>
        <v>W6 59626  SD</v>
      </c>
      <c r="C40" s="33" t="str">
        <f>""</f>
        <v/>
      </c>
      <c r="E40" s="3"/>
      <c r="I40" s="3"/>
    </row>
    <row r="41" spans="2:9" x14ac:dyDescent="0.25">
      <c r="B41" s="17" t="str">
        <f>Master[[#This Row],[Accession Prefix (NPGS)]]&amp;" "&amp;Master[[#This Row],[Accession Number -Assigned]]&amp;" "&amp;Master[[#This Row],[Inventory Suffix]]&amp;" "&amp;Master[[#This Row],[Inventory Type - Lookup Picker]]</f>
        <v>W6 59627  SD</v>
      </c>
      <c r="C41" s="33" t="str">
        <f>""</f>
        <v/>
      </c>
      <c r="E41" s="3"/>
      <c r="I41" s="3"/>
    </row>
    <row r="42" spans="2:9" x14ac:dyDescent="0.25">
      <c r="B42" s="17" t="str">
        <f>Master[[#This Row],[Accession Prefix (NPGS)]]&amp;" "&amp;Master[[#This Row],[Accession Number -Assigned]]&amp;" "&amp;Master[[#This Row],[Inventory Suffix]]&amp;" "&amp;Master[[#This Row],[Inventory Type - Lookup Picker]]</f>
        <v>W6 59628  SD</v>
      </c>
      <c r="C42" s="33" t="str">
        <f>""</f>
        <v/>
      </c>
      <c r="E42" s="3"/>
      <c r="I42" s="3"/>
    </row>
    <row r="43" spans="2:9" x14ac:dyDescent="0.25">
      <c r="B43" s="17" t="str">
        <f>Master[[#This Row],[Accession Prefix (NPGS)]]&amp;" "&amp;Master[[#This Row],[Accession Number -Assigned]]&amp;" "&amp;Master[[#This Row],[Inventory Suffix]]&amp;" "&amp;Master[[#This Row],[Inventory Type - Lookup Picker]]</f>
        <v>W6 59629  SD</v>
      </c>
      <c r="C43" s="33" t="str">
        <f>""</f>
        <v/>
      </c>
      <c r="E43" s="3"/>
      <c r="I43" s="3"/>
    </row>
    <row r="44" spans="2:9" x14ac:dyDescent="0.25">
      <c r="B44" s="17" t="str">
        <f>Master[[#This Row],[Accession Prefix (NPGS)]]&amp;" "&amp;Master[[#This Row],[Accession Number -Assigned]]&amp;" "&amp;Master[[#This Row],[Inventory Suffix]]&amp;" "&amp;Master[[#This Row],[Inventory Type - Lookup Picker]]</f>
        <v>W6 59630  SD</v>
      </c>
      <c r="C44" s="33" t="str">
        <f>""</f>
        <v/>
      </c>
      <c r="E44" s="3"/>
      <c r="I44" s="3"/>
    </row>
    <row r="45" spans="2:9" x14ac:dyDescent="0.25">
      <c r="B45" s="17" t="str">
        <f>Master[[#This Row],[Accession Prefix (NPGS)]]&amp;" "&amp;Master[[#This Row],[Accession Number -Assigned]]&amp;" "&amp;Master[[#This Row],[Inventory Suffix]]&amp;" "&amp;Master[[#This Row],[Inventory Type - Lookup Picker]]</f>
        <v>W6 59631  SD</v>
      </c>
      <c r="C45" s="33" t="str">
        <f>""</f>
        <v/>
      </c>
      <c r="E45" s="3"/>
      <c r="I45" s="3"/>
    </row>
    <row r="46" spans="2:9" x14ac:dyDescent="0.25">
      <c r="B46" s="17" t="str">
        <f>Master[[#This Row],[Accession Prefix (NPGS)]]&amp;" "&amp;Master[[#This Row],[Accession Number -Assigned]]&amp;" "&amp;Master[[#This Row],[Inventory Suffix]]&amp;" "&amp;Master[[#This Row],[Inventory Type - Lookup Picker]]</f>
        <v>W6 59632  SD</v>
      </c>
      <c r="C46" s="33" t="str">
        <f>""</f>
        <v/>
      </c>
      <c r="E46" s="3"/>
      <c r="I46" s="3"/>
    </row>
    <row r="47" spans="2:9" x14ac:dyDescent="0.25">
      <c r="B47" s="17" t="str">
        <f>Master[[#This Row],[Accession Prefix (NPGS)]]&amp;" "&amp;Master[[#This Row],[Accession Number -Assigned]]&amp;" "&amp;Master[[#This Row],[Inventory Suffix]]&amp;" "&amp;Master[[#This Row],[Inventory Type - Lookup Picker]]</f>
        <v>W6 59633  SD</v>
      </c>
      <c r="C47" s="33" t="str">
        <f>""</f>
        <v/>
      </c>
      <c r="E47" s="3"/>
      <c r="I47" s="3"/>
    </row>
    <row r="48" spans="2:9" x14ac:dyDescent="0.25">
      <c r="B48" s="17" t="str">
        <f>Master[[#This Row],[Accession Prefix (NPGS)]]&amp;" "&amp;Master[[#This Row],[Accession Number -Assigned]]&amp;" "&amp;Master[[#This Row],[Inventory Suffix]]&amp;" "&amp;Master[[#This Row],[Inventory Type - Lookup Picker]]</f>
        <v>W6 59634  SD</v>
      </c>
      <c r="C48" s="33" t="str">
        <f>""</f>
        <v/>
      </c>
      <c r="E48" s="3"/>
      <c r="I48" s="3"/>
    </row>
    <row r="49" spans="2:9" x14ac:dyDescent="0.25">
      <c r="B49" s="17" t="str">
        <f>Master[[#This Row],[Accession Prefix (NPGS)]]&amp;" "&amp;Master[[#This Row],[Accession Number -Assigned]]&amp;" "&amp;Master[[#This Row],[Inventory Suffix]]&amp;" "&amp;Master[[#This Row],[Inventory Type - Lookup Picker]]</f>
        <v>W6 59635  SD</v>
      </c>
      <c r="C49" s="33" t="str">
        <f>""</f>
        <v/>
      </c>
      <c r="E49" s="3"/>
      <c r="I49" s="3"/>
    </row>
    <row r="50" spans="2:9" x14ac:dyDescent="0.25">
      <c r="B50" s="17" t="str">
        <f>Master[[#This Row],[Accession Prefix (NPGS)]]&amp;" "&amp;Master[[#This Row],[Accession Number -Assigned]]&amp;" "&amp;Master[[#This Row],[Inventory Suffix]]&amp;" "&amp;Master[[#This Row],[Inventory Type - Lookup Picker]]</f>
        <v>W6 59636  SD</v>
      </c>
      <c r="C50" s="33" t="str">
        <f>""</f>
        <v/>
      </c>
      <c r="E50" s="3"/>
      <c r="I50" s="3"/>
    </row>
    <row r="51" spans="2:9" x14ac:dyDescent="0.25">
      <c r="B51" s="17" t="str">
        <f>Master[[#This Row],[Accession Prefix (NPGS)]]&amp;" "&amp;Master[[#This Row],[Accession Number -Assigned]]&amp;" "&amp;Master[[#This Row],[Inventory Suffix]]&amp;" "&amp;Master[[#This Row],[Inventory Type - Lookup Picker]]</f>
        <v>W6 59637  SD</v>
      </c>
      <c r="C51" s="33" t="str">
        <f>""</f>
        <v/>
      </c>
      <c r="E51" s="3"/>
      <c r="I51" s="3"/>
    </row>
    <row r="52" spans="2:9" x14ac:dyDescent="0.25">
      <c r="B52" s="17" t="str">
        <f>Master[[#This Row],[Accession Prefix (NPGS)]]&amp;" "&amp;Master[[#This Row],[Accession Number -Assigned]]&amp;" "&amp;Master[[#This Row],[Inventory Suffix]]&amp;" "&amp;Master[[#This Row],[Inventory Type - Lookup Picker]]</f>
        <v>W6 59638  SD</v>
      </c>
      <c r="C52" s="33" t="str">
        <f>""</f>
        <v/>
      </c>
      <c r="E52" s="3"/>
      <c r="I52" s="3"/>
    </row>
    <row r="53" spans="2:9" x14ac:dyDescent="0.25">
      <c r="B53" s="17" t="str">
        <f>Master[[#This Row],[Accession Prefix (NPGS)]]&amp;" "&amp;Master[[#This Row],[Accession Number -Assigned]]&amp;" "&amp;Master[[#This Row],[Inventory Suffix]]&amp;" "&amp;Master[[#This Row],[Inventory Type - Lookup Picker]]</f>
        <v>W6 59639  SD</v>
      </c>
      <c r="C53" s="33" t="str">
        <f>""</f>
        <v/>
      </c>
      <c r="E53" s="3"/>
      <c r="I53" s="3"/>
    </row>
    <row r="54" spans="2:9" x14ac:dyDescent="0.25">
      <c r="B54" s="17" t="str">
        <f>Master[[#This Row],[Accession Prefix (NPGS)]]&amp;" "&amp;Master[[#This Row],[Accession Number -Assigned]]&amp;" "&amp;Master[[#This Row],[Inventory Suffix]]&amp;" "&amp;Master[[#This Row],[Inventory Type - Lookup Picker]]</f>
        <v>W6 59640  SD</v>
      </c>
      <c r="C54" s="33" t="str">
        <f>""</f>
        <v/>
      </c>
      <c r="E54" s="3"/>
      <c r="I54" s="3"/>
    </row>
    <row r="55" spans="2:9" x14ac:dyDescent="0.25">
      <c r="B55" s="17" t="str">
        <f>Master[[#This Row],[Accession Prefix (NPGS)]]&amp;" "&amp;Master[[#This Row],[Accession Number -Assigned]]&amp;" "&amp;Master[[#This Row],[Inventory Suffix]]&amp;" "&amp;Master[[#This Row],[Inventory Type - Lookup Picker]]</f>
        <v>W6 59641  SD</v>
      </c>
      <c r="C55" s="33" t="str">
        <f>""</f>
        <v/>
      </c>
      <c r="E55" s="3"/>
      <c r="I55" s="3"/>
    </row>
    <row r="56" spans="2:9" x14ac:dyDescent="0.25">
      <c r="B56" s="17" t="str">
        <f>Master[[#This Row],[Accession Prefix (NPGS)]]&amp;" "&amp;Master[[#This Row],[Accession Number -Assigned]]&amp;" "&amp;Master[[#This Row],[Inventory Suffix]]&amp;" "&amp;Master[[#This Row],[Inventory Type - Lookup Picker]]</f>
        <v>W6 59642  SD</v>
      </c>
      <c r="C56" s="33" t="str">
        <f>""</f>
        <v/>
      </c>
      <c r="E56" s="3"/>
      <c r="I56" s="3"/>
    </row>
    <row r="57" spans="2:9" x14ac:dyDescent="0.25">
      <c r="B57" s="17" t="str">
        <f>Master[[#This Row],[Accession Prefix (NPGS)]]&amp;" "&amp;Master[[#This Row],[Accession Number -Assigned]]&amp;" "&amp;Master[[#This Row],[Inventory Suffix]]&amp;" "&amp;Master[[#This Row],[Inventory Type - Lookup Picker]]</f>
        <v>W6 59643  SD</v>
      </c>
      <c r="C57" s="33" t="str">
        <f>""</f>
        <v/>
      </c>
      <c r="E57" s="3"/>
      <c r="I57" s="3"/>
    </row>
    <row r="58" spans="2:9" x14ac:dyDescent="0.25">
      <c r="B58" s="17" t="str">
        <f>Master[[#This Row],[Accession Prefix (NPGS)]]&amp;" "&amp;Master[[#This Row],[Accession Number -Assigned]]&amp;" "&amp;Master[[#This Row],[Inventory Suffix]]&amp;" "&amp;Master[[#This Row],[Inventory Type - Lookup Picker]]</f>
        <v>W6 59644  SD</v>
      </c>
      <c r="C58" s="33" t="str">
        <f>""</f>
        <v/>
      </c>
      <c r="E58" s="3"/>
      <c r="I58" s="3"/>
    </row>
    <row r="59" spans="2:9" x14ac:dyDescent="0.25">
      <c r="B59" s="17" t="str">
        <f>Master[[#This Row],[Accession Prefix (NPGS)]]&amp;" "&amp;Master[[#This Row],[Accession Number -Assigned]]&amp;" "&amp;Master[[#This Row],[Inventory Suffix]]&amp;" "&amp;Master[[#This Row],[Inventory Type - Lookup Picker]]</f>
        <v>W6 59645  SD</v>
      </c>
      <c r="C59" s="33" t="str">
        <f>""</f>
        <v/>
      </c>
      <c r="E59" s="3"/>
      <c r="I59" s="3"/>
    </row>
    <row r="60" spans="2:9" x14ac:dyDescent="0.25">
      <c r="B60" s="17" t="str">
        <f>Master[[#This Row],[Accession Prefix (NPGS)]]&amp;" "&amp;Master[[#This Row],[Accession Number -Assigned]]&amp;" "&amp;Master[[#This Row],[Inventory Suffix]]&amp;" "&amp;Master[[#This Row],[Inventory Type - Lookup Picker]]</f>
        <v>W6 59646  SD</v>
      </c>
      <c r="C60" s="33" t="str">
        <f>""</f>
        <v/>
      </c>
      <c r="E60" s="3"/>
      <c r="I60" s="3"/>
    </row>
    <row r="61" spans="2:9" x14ac:dyDescent="0.25">
      <c r="B61" s="17" t="str">
        <f>Master[[#This Row],[Accession Prefix (NPGS)]]&amp;" "&amp;Master[[#This Row],[Accession Number -Assigned]]&amp;" "&amp;Master[[#This Row],[Inventory Suffix]]&amp;" "&amp;Master[[#This Row],[Inventory Type - Lookup Picker]]</f>
        <v>W6 59647  SD</v>
      </c>
      <c r="C61" s="33" t="str">
        <f>""</f>
        <v/>
      </c>
      <c r="E61" s="3"/>
      <c r="I61" s="3"/>
    </row>
    <row r="62" spans="2:9" x14ac:dyDescent="0.25">
      <c r="B62" s="17" t="str">
        <f>Master[[#This Row],[Accession Prefix (NPGS)]]&amp;" "&amp;Master[[#This Row],[Accession Number -Assigned]]&amp;" "&amp;Master[[#This Row],[Inventory Suffix]]&amp;" "&amp;Master[[#This Row],[Inventory Type - Lookup Picker]]</f>
        <v>W6 59648  SD</v>
      </c>
      <c r="C62" s="33" t="str">
        <f>""</f>
        <v/>
      </c>
      <c r="E62" s="3"/>
      <c r="I62" s="3"/>
    </row>
    <row r="63" spans="2:9" x14ac:dyDescent="0.25">
      <c r="B63" s="17" t="str">
        <f>Master[[#This Row],[Accession Prefix (NPGS)]]&amp;" "&amp;Master[[#This Row],[Accession Number -Assigned]]&amp;" "&amp;Master[[#This Row],[Inventory Suffix]]&amp;" "&amp;Master[[#This Row],[Inventory Type - Lookup Picker]]</f>
        <v>W6 59649  SD</v>
      </c>
      <c r="C63" s="33" t="str">
        <f>""</f>
        <v/>
      </c>
      <c r="E63" s="3"/>
      <c r="I63" s="3"/>
    </row>
    <row r="64" spans="2:9" x14ac:dyDescent="0.25">
      <c r="B64" s="17" t="str">
        <f>Master[[#This Row],[Accession Prefix (NPGS)]]&amp;" "&amp;Master[[#This Row],[Accession Number -Assigned]]&amp;" "&amp;Master[[#This Row],[Inventory Suffix]]&amp;" "&amp;Master[[#This Row],[Inventory Type - Lookup Picker]]</f>
        <v>W6 59650  SD</v>
      </c>
      <c r="C64" s="33" t="str">
        <f>""</f>
        <v/>
      </c>
      <c r="E64" s="3"/>
      <c r="I64" s="3"/>
    </row>
    <row r="65" spans="2:9" x14ac:dyDescent="0.25">
      <c r="B65" s="17" t="str">
        <f>Master[[#This Row],[Accession Prefix (NPGS)]]&amp;" "&amp;Master[[#This Row],[Accession Number -Assigned]]&amp;" "&amp;Master[[#This Row],[Inventory Suffix]]&amp;" "&amp;Master[[#This Row],[Inventory Type - Lookup Picker]]</f>
        <v>W6 59651  SD</v>
      </c>
      <c r="C65" s="33" t="str">
        <f>""</f>
        <v/>
      </c>
      <c r="E65" s="3"/>
      <c r="I65" s="3"/>
    </row>
    <row r="66" spans="2:9" x14ac:dyDescent="0.25">
      <c r="B66" s="17" t="str">
        <f>Master[[#This Row],[Accession Prefix (NPGS)]]&amp;" "&amp;Master[[#This Row],[Accession Number -Assigned]]&amp;" "&amp;Master[[#This Row],[Inventory Suffix]]&amp;" "&amp;Master[[#This Row],[Inventory Type - Lookup Picker]]</f>
        <v>W6 59652  SD</v>
      </c>
      <c r="C66" s="33" t="str">
        <f>""</f>
        <v/>
      </c>
      <c r="E66" s="3"/>
      <c r="I66" s="3"/>
    </row>
    <row r="67" spans="2:9" x14ac:dyDescent="0.25">
      <c r="B67" s="17" t="str">
        <f>Master[[#This Row],[Accession Prefix (NPGS)]]&amp;" "&amp;Master[[#This Row],[Accession Number -Assigned]]&amp;" "&amp;Master[[#This Row],[Inventory Suffix]]&amp;" "&amp;Master[[#This Row],[Inventory Type - Lookup Picker]]</f>
        <v>W6 59653  SD</v>
      </c>
      <c r="C67" s="33" t="str">
        <f>""</f>
        <v/>
      </c>
      <c r="E67" s="3"/>
      <c r="I67" s="3"/>
    </row>
    <row r="68" spans="2:9" x14ac:dyDescent="0.25">
      <c r="B68" s="17" t="str">
        <f>Master[[#This Row],[Accession Prefix (NPGS)]]&amp;" "&amp;Master[[#This Row],[Accession Number -Assigned]]&amp;" "&amp;Master[[#This Row],[Inventory Suffix]]&amp;" "&amp;Master[[#This Row],[Inventory Type - Lookup Picker]]</f>
        <v>W6 59654  SD</v>
      </c>
      <c r="C68" s="33" t="str">
        <f>""</f>
        <v/>
      </c>
      <c r="E68" s="3"/>
      <c r="I68" s="3"/>
    </row>
    <row r="69" spans="2:9" x14ac:dyDescent="0.25">
      <c r="B69" s="17" t="str">
        <f>Master[[#This Row],[Accession Prefix (NPGS)]]&amp;" "&amp;Master[[#This Row],[Accession Number -Assigned]]&amp;" "&amp;Master[[#This Row],[Inventory Suffix]]&amp;" "&amp;Master[[#This Row],[Inventory Type - Lookup Picker]]</f>
        <v>W6 59655  SD</v>
      </c>
      <c r="C69" s="33" t="str">
        <f>""</f>
        <v/>
      </c>
      <c r="E69" s="3"/>
      <c r="I69" s="3"/>
    </row>
    <row r="70" spans="2:9" x14ac:dyDescent="0.25">
      <c r="B70" s="17" t="str">
        <f>Master[[#This Row],[Accession Prefix (NPGS)]]&amp;" "&amp;Master[[#This Row],[Accession Number -Assigned]]&amp;" "&amp;Master[[#This Row],[Inventory Suffix]]&amp;" "&amp;Master[[#This Row],[Inventory Type - Lookup Picker]]</f>
        <v>W6 59656  SD</v>
      </c>
      <c r="C70" s="33" t="str">
        <f>""</f>
        <v/>
      </c>
      <c r="E70" s="3"/>
      <c r="I70" s="3"/>
    </row>
    <row r="71" spans="2:9" x14ac:dyDescent="0.25">
      <c r="B71" s="17" t="str">
        <f>Master[[#This Row],[Accession Prefix (NPGS)]]&amp;" "&amp;Master[[#This Row],[Accession Number -Assigned]]&amp;" "&amp;Master[[#This Row],[Inventory Suffix]]&amp;" "&amp;Master[[#This Row],[Inventory Type - Lookup Picker]]</f>
        <v>W6 59657  SD</v>
      </c>
      <c r="C71" s="33" t="str">
        <f>""</f>
        <v/>
      </c>
      <c r="E71" s="3"/>
      <c r="I71" s="3"/>
    </row>
    <row r="72" spans="2:9" x14ac:dyDescent="0.25">
      <c r="B72" s="17" t="str">
        <f>Master[[#This Row],[Accession Prefix (NPGS)]]&amp;" "&amp;Master[[#This Row],[Accession Number -Assigned]]&amp;" "&amp;Master[[#This Row],[Inventory Suffix]]&amp;" "&amp;Master[[#This Row],[Inventory Type - Lookup Picker]]</f>
        <v>W6 59658  SD</v>
      </c>
      <c r="C72" s="33" t="str">
        <f>""</f>
        <v/>
      </c>
      <c r="E72" s="3"/>
      <c r="I72" s="3"/>
    </row>
    <row r="73" spans="2:9" x14ac:dyDescent="0.25">
      <c r="B73" s="17" t="str">
        <f>Master[[#This Row],[Accession Prefix (NPGS)]]&amp;" "&amp;Master[[#This Row],[Accession Number -Assigned]]&amp;" "&amp;Master[[#This Row],[Inventory Suffix]]&amp;" "&amp;Master[[#This Row],[Inventory Type - Lookup Picker]]</f>
        <v>W6 59659  SD</v>
      </c>
      <c r="C73" s="33" t="str">
        <f>""</f>
        <v/>
      </c>
      <c r="E73" s="3"/>
      <c r="I73" s="3"/>
    </row>
    <row r="74" spans="2:9" x14ac:dyDescent="0.25">
      <c r="B74" s="17" t="str">
        <f>Master[[#This Row],[Accession Prefix (NPGS)]]&amp;" "&amp;Master[[#This Row],[Accession Number -Assigned]]&amp;" "&amp;Master[[#This Row],[Inventory Suffix]]&amp;" "&amp;Master[[#This Row],[Inventory Type - Lookup Picker]]</f>
        <v>W6 59660  SD</v>
      </c>
      <c r="C74" s="33" t="str">
        <f>""</f>
        <v/>
      </c>
      <c r="E74" s="3"/>
      <c r="I74" s="3"/>
    </row>
    <row r="75" spans="2:9" x14ac:dyDescent="0.25">
      <c r="B75" s="17" t="str">
        <f>Master[[#This Row],[Accession Prefix (NPGS)]]&amp;" "&amp;Master[[#This Row],[Accession Number -Assigned]]&amp;" "&amp;Master[[#This Row],[Inventory Suffix]]&amp;" "&amp;Master[[#This Row],[Inventory Type - Lookup Picker]]</f>
        <v>W6 59661  SD</v>
      </c>
      <c r="C75" s="33" t="str">
        <f>""</f>
        <v/>
      </c>
      <c r="E75" s="3"/>
      <c r="I75" s="3"/>
    </row>
    <row r="76" spans="2:9" x14ac:dyDescent="0.25">
      <c r="B76" s="17" t="str">
        <f>Master[[#This Row],[Accession Prefix (NPGS)]]&amp;" "&amp;Master[[#This Row],[Accession Number -Assigned]]&amp;" "&amp;Master[[#This Row],[Inventory Suffix]]&amp;" "&amp;Master[[#This Row],[Inventory Type - Lookup Picker]]</f>
        <v>W6 59662  SD</v>
      </c>
      <c r="C76" s="33" t="str">
        <f>""</f>
        <v/>
      </c>
      <c r="E76" s="3"/>
      <c r="I76" s="3"/>
    </row>
    <row r="77" spans="2:9" x14ac:dyDescent="0.25">
      <c r="B77" s="17" t="str">
        <f>Master[[#This Row],[Accession Prefix (NPGS)]]&amp;" "&amp;Master[[#This Row],[Accession Number -Assigned]]&amp;" "&amp;Master[[#This Row],[Inventory Suffix]]&amp;" "&amp;Master[[#This Row],[Inventory Type - Lookup Picker]]</f>
        <v>W6 59663  SD</v>
      </c>
      <c r="C77" s="33" t="str">
        <f>""</f>
        <v/>
      </c>
      <c r="E77" s="3"/>
      <c r="I77" s="3"/>
    </row>
    <row r="78" spans="2:9" x14ac:dyDescent="0.25">
      <c r="B78" s="17" t="str">
        <f>Master[[#This Row],[Accession Prefix (NPGS)]]&amp;" "&amp;Master[[#This Row],[Accession Number -Assigned]]&amp;" "&amp;Master[[#This Row],[Inventory Suffix]]&amp;" "&amp;Master[[#This Row],[Inventory Type - Lookup Picker]]</f>
        <v>W6 59664  SD</v>
      </c>
      <c r="C78" s="33" t="str">
        <f>""</f>
        <v/>
      </c>
      <c r="E78" s="3"/>
      <c r="I78" s="3"/>
    </row>
    <row r="79" spans="2:9" x14ac:dyDescent="0.25">
      <c r="B79" s="17" t="str">
        <f>Master[[#This Row],[Accession Prefix (NPGS)]]&amp;" "&amp;Master[[#This Row],[Accession Number -Assigned]]&amp;" "&amp;Master[[#This Row],[Inventory Suffix]]&amp;" "&amp;Master[[#This Row],[Inventory Type - Lookup Picker]]</f>
        <v>W6 59665  SD</v>
      </c>
      <c r="C79" s="33" t="str">
        <f>""</f>
        <v/>
      </c>
      <c r="E79" s="3"/>
      <c r="I79" s="3"/>
    </row>
    <row r="80" spans="2:9" x14ac:dyDescent="0.25">
      <c r="B80" s="17" t="str">
        <f>Master[[#This Row],[Accession Prefix (NPGS)]]&amp;" "&amp;Master[[#This Row],[Accession Number -Assigned]]&amp;" "&amp;Master[[#This Row],[Inventory Suffix]]&amp;" "&amp;Master[[#This Row],[Inventory Type - Lookup Picker]]</f>
        <v>W6 59666  SD</v>
      </c>
      <c r="C80" s="33" t="str">
        <f>""</f>
        <v/>
      </c>
      <c r="E80" s="3"/>
      <c r="I80" s="3"/>
    </row>
    <row r="81" spans="2:9" x14ac:dyDescent="0.25">
      <c r="B81" s="17" t="str">
        <f>Master[[#This Row],[Accession Prefix (NPGS)]]&amp;" "&amp;Master[[#This Row],[Accession Number -Assigned]]&amp;" "&amp;Master[[#This Row],[Inventory Suffix]]&amp;" "&amp;Master[[#This Row],[Inventory Type - Lookup Picker]]</f>
        <v>W6 59667  SD</v>
      </c>
      <c r="C81" s="33" t="str">
        <f>""</f>
        <v/>
      </c>
      <c r="E81" s="3"/>
      <c r="I81" s="3"/>
    </row>
    <row r="82" spans="2:9" x14ac:dyDescent="0.25">
      <c r="B82" s="17" t="str">
        <f>Master[[#This Row],[Accession Prefix (NPGS)]]&amp;" "&amp;Master[[#This Row],[Accession Number -Assigned]]&amp;" "&amp;Master[[#This Row],[Inventory Suffix]]&amp;" "&amp;Master[[#This Row],[Inventory Type - Lookup Picker]]</f>
        <v>W6 59668  SD</v>
      </c>
      <c r="C82" s="33" t="str">
        <f>""</f>
        <v/>
      </c>
      <c r="E82" s="3"/>
      <c r="I82" s="3"/>
    </row>
    <row r="83" spans="2:9" x14ac:dyDescent="0.25">
      <c r="B83" s="17" t="str">
        <f>Master[[#This Row],[Accession Prefix (NPGS)]]&amp;" "&amp;Master[[#This Row],[Accession Number -Assigned]]&amp;" "&amp;Master[[#This Row],[Inventory Suffix]]&amp;" "&amp;Master[[#This Row],[Inventory Type - Lookup Picker]]</f>
        <v>W6 59669  SD</v>
      </c>
      <c r="C83" s="33" t="str">
        <f>""</f>
        <v/>
      </c>
      <c r="E83" s="3"/>
      <c r="I83" s="3"/>
    </row>
    <row r="84" spans="2:9" x14ac:dyDescent="0.25">
      <c r="B84" s="17" t="str">
        <f>Master[[#This Row],[Accession Prefix (NPGS)]]&amp;" "&amp;Master[[#This Row],[Accession Number -Assigned]]&amp;" "&amp;Master[[#This Row],[Inventory Suffix]]&amp;" "&amp;Master[[#This Row],[Inventory Type - Lookup Picker]]</f>
        <v>W6 59670  SD</v>
      </c>
      <c r="C84" s="33" t="str">
        <f>""</f>
        <v/>
      </c>
      <c r="E84" s="3"/>
      <c r="I84" s="3"/>
    </row>
    <row r="85" spans="2:9" x14ac:dyDescent="0.25">
      <c r="B85" s="17" t="str">
        <f>Master[[#This Row],[Accession Prefix (NPGS)]]&amp;" "&amp;Master[[#This Row],[Accession Number -Assigned]]&amp;" "&amp;Master[[#This Row],[Inventory Suffix]]&amp;" "&amp;Master[[#This Row],[Inventory Type - Lookup Picker]]</f>
        <v>W6 59671  SD</v>
      </c>
      <c r="C85" s="33" t="str">
        <f>""</f>
        <v/>
      </c>
      <c r="E85" s="3"/>
      <c r="I85" s="3"/>
    </row>
    <row r="86" spans="2:9" x14ac:dyDescent="0.25">
      <c r="B86" s="17" t="str">
        <f>Master[[#This Row],[Accession Prefix (NPGS)]]&amp;" "&amp;Master[[#This Row],[Accession Number -Assigned]]&amp;" "&amp;Master[[#This Row],[Inventory Suffix]]&amp;" "&amp;Master[[#This Row],[Inventory Type - Lookup Picker]]</f>
        <v>W6 59672  SD</v>
      </c>
      <c r="C86" s="33" t="str">
        <f>""</f>
        <v/>
      </c>
      <c r="E86" s="3"/>
      <c r="I86" s="3"/>
    </row>
    <row r="87" spans="2:9" x14ac:dyDescent="0.25">
      <c r="B87" s="17" t="str">
        <f>Master[[#This Row],[Accession Prefix (NPGS)]]&amp;" "&amp;Master[[#This Row],[Accession Number -Assigned]]&amp;" "&amp;Master[[#This Row],[Inventory Suffix]]&amp;" "&amp;Master[[#This Row],[Inventory Type - Lookup Picker]]</f>
        <v>W6 59673  SD</v>
      </c>
      <c r="C87" s="33" t="str">
        <f>""</f>
        <v/>
      </c>
      <c r="E87" s="3"/>
      <c r="I87" s="3"/>
    </row>
    <row r="88" spans="2:9" x14ac:dyDescent="0.25">
      <c r="B88" s="17" t="str">
        <f>Master[[#This Row],[Accession Prefix (NPGS)]]&amp;" "&amp;Master[[#This Row],[Accession Number -Assigned]]&amp;" "&amp;Master[[#This Row],[Inventory Suffix]]&amp;" "&amp;Master[[#This Row],[Inventory Type - Lookup Picker]]</f>
        <v>W6 59674  SD</v>
      </c>
      <c r="C88" s="33" t="str">
        <f>""</f>
        <v/>
      </c>
      <c r="E88" s="3"/>
      <c r="I88" s="3"/>
    </row>
    <row r="89" spans="2:9" x14ac:dyDescent="0.25">
      <c r="B89" s="17" t="str">
        <f>Master[[#This Row],[Accession Prefix (NPGS)]]&amp;" "&amp;Master[[#This Row],[Accession Number -Assigned]]&amp;" "&amp;Master[[#This Row],[Inventory Suffix]]&amp;" "&amp;Master[[#This Row],[Inventory Type - Lookup Picker]]</f>
        <v>W6 59675  SD</v>
      </c>
      <c r="C89" s="33" t="str">
        <f>""</f>
        <v/>
      </c>
      <c r="E89" s="3"/>
      <c r="I89" s="3"/>
    </row>
    <row r="90" spans="2:9" x14ac:dyDescent="0.25">
      <c r="B90" s="17" t="str">
        <f>Master[[#This Row],[Accession Prefix (NPGS)]]&amp;" "&amp;Master[[#This Row],[Accession Number -Assigned]]&amp;" "&amp;Master[[#This Row],[Inventory Suffix]]&amp;" "&amp;Master[[#This Row],[Inventory Type - Lookup Picker]]</f>
        <v>W6 59676  SD</v>
      </c>
      <c r="C90" s="33" t="str">
        <f>""</f>
        <v/>
      </c>
      <c r="E90" s="3"/>
      <c r="I90" s="3"/>
    </row>
    <row r="91" spans="2:9" x14ac:dyDescent="0.25">
      <c r="B91" s="17" t="str">
        <f>Master[[#This Row],[Accession Prefix (NPGS)]]&amp;" "&amp;Master[[#This Row],[Accession Number -Assigned]]&amp;" "&amp;Master[[#This Row],[Inventory Suffix]]&amp;" "&amp;Master[[#This Row],[Inventory Type - Lookup Picker]]</f>
        <v>W6 59677  SD</v>
      </c>
      <c r="C91" s="33" t="str">
        <f>""</f>
        <v/>
      </c>
      <c r="E91" s="3"/>
      <c r="I91" s="3"/>
    </row>
    <row r="92" spans="2:9" x14ac:dyDescent="0.25">
      <c r="B92" s="17" t="str">
        <f>Master[[#This Row],[Accession Prefix (NPGS)]]&amp;" "&amp;Master[[#This Row],[Accession Number -Assigned]]&amp;" "&amp;Master[[#This Row],[Inventory Suffix]]&amp;" "&amp;Master[[#This Row],[Inventory Type - Lookup Picker]]</f>
        <v>W6 59678  SD</v>
      </c>
      <c r="C92" s="33" t="str">
        <f>""</f>
        <v/>
      </c>
      <c r="E92" s="3"/>
      <c r="I92" s="3"/>
    </row>
    <row r="93" spans="2:9" x14ac:dyDescent="0.25">
      <c r="B93" s="17" t="str">
        <f>Master[[#This Row],[Accession Prefix (NPGS)]]&amp;" "&amp;Master[[#This Row],[Accession Number -Assigned]]&amp;" "&amp;Master[[#This Row],[Inventory Suffix]]&amp;" "&amp;Master[[#This Row],[Inventory Type - Lookup Picker]]</f>
        <v>W6 59679  SD</v>
      </c>
      <c r="C93" s="33" t="str">
        <f>""</f>
        <v/>
      </c>
      <c r="E93" s="3"/>
      <c r="I93" s="3"/>
    </row>
    <row r="94" spans="2:9" x14ac:dyDescent="0.25">
      <c r="B94" s="17" t="str">
        <f>Master[[#This Row],[Accession Prefix (NPGS)]]&amp;" "&amp;Master[[#This Row],[Accession Number -Assigned]]&amp;" "&amp;Master[[#This Row],[Inventory Suffix]]&amp;" "&amp;Master[[#This Row],[Inventory Type - Lookup Picker]]</f>
        <v>W6 59680  SD</v>
      </c>
      <c r="C94" s="33" t="str">
        <f>""</f>
        <v/>
      </c>
      <c r="E94" s="3"/>
      <c r="I94" s="3"/>
    </row>
    <row r="95" spans="2:9" x14ac:dyDescent="0.25">
      <c r="B95" s="17" t="str">
        <f>Master[[#This Row],[Accession Prefix (NPGS)]]&amp;" "&amp;Master[[#This Row],[Accession Number -Assigned]]&amp;" "&amp;Master[[#This Row],[Inventory Suffix]]&amp;" "&amp;Master[[#This Row],[Inventory Type - Lookup Picker]]</f>
        <v>W6 59681  SD</v>
      </c>
      <c r="C95" s="33" t="str">
        <f>""</f>
        <v/>
      </c>
      <c r="E95" s="3"/>
      <c r="I95" s="3"/>
    </row>
    <row r="96" spans="2:9" x14ac:dyDescent="0.25">
      <c r="B96" s="17" t="str">
        <f>Master[[#This Row],[Accession Prefix (NPGS)]]&amp;" "&amp;Master[[#This Row],[Accession Number -Assigned]]&amp;" "&amp;Master[[#This Row],[Inventory Suffix]]&amp;" "&amp;Master[[#This Row],[Inventory Type - Lookup Picker]]</f>
        <v>W6 59682  SD</v>
      </c>
      <c r="C96" s="33" t="str">
        <f>""</f>
        <v/>
      </c>
      <c r="E96" s="3"/>
      <c r="I96" s="3"/>
    </row>
    <row r="97" spans="2:3" x14ac:dyDescent="0.25">
      <c r="B97" s="17" t="str">
        <f>Master[[#This Row],[Accession Prefix (NPGS)]]&amp;" "&amp;Master[[#This Row],[Accession Number -Assigned]]&amp;" "&amp;Master[[#This Row],[Inventory Suffix]]&amp;" "&amp;Master[[#This Row],[Inventory Type - Lookup Picker]]</f>
        <v>W6 59683  SD</v>
      </c>
      <c r="C97" s="33" t="str">
        <f>""</f>
        <v/>
      </c>
    </row>
    <row r="98" spans="2:3" x14ac:dyDescent="0.25">
      <c r="B98" s="17" t="str">
        <f>Master[[#This Row],[Accession Prefix (NPGS)]]&amp;" "&amp;Master[[#This Row],[Accession Number -Assigned]]&amp;" "&amp;Master[[#This Row],[Inventory Suffix]]&amp;" "&amp;Master[[#This Row],[Inventory Type - Lookup Picker]]</f>
        <v>W6 59684  SD</v>
      </c>
      <c r="C98" s="33" t="str">
        <f>""</f>
        <v/>
      </c>
    </row>
    <row r="99" spans="2:3" x14ac:dyDescent="0.25">
      <c r="B99" s="17" t="str">
        <f>Master[[#This Row],[Accession Prefix (NPGS)]]&amp;" "&amp;Master[[#This Row],[Accession Number -Assigned]]&amp;" "&amp;Master[[#This Row],[Inventory Suffix]]&amp;" "&amp;Master[[#This Row],[Inventory Type - Lookup Picker]]</f>
        <v>W6 59685  SD</v>
      </c>
      <c r="C99" s="33" t="str">
        <f>""</f>
        <v/>
      </c>
    </row>
    <row r="100" spans="2:3" x14ac:dyDescent="0.25">
      <c r="B100" s="17" t="str">
        <f>Master[[#This Row],[Accession Prefix (NPGS)]]&amp;" "&amp;Master[[#This Row],[Accession Number -Assigned]]&amp;" "&amp;Master[[#This Row],[Inventory Suffix]]&amp;" "&amp;Master[[#This Row],[Inventory Type - Lookup Picker]]</f>
        <v>W6 59686  SD</v>
      </c>
      <c r="C100" s="33" t="str">
        <f>""</f>
        <v/>
      </c>
    </row>
    <row r="101" spans="2:3" x14ac:dyDescent="0.25">
      <c r="B101" s="17" t="str">
        <f>Master[[#This Row],[Accession Prefix (NPGS)]]&amp;" "&amp;Master[[#This Row],[Accession Number -Assigned]]&amp;" "&amp;Master[[#This Row],[Inventory Suffix]]&amp;" "&amp;Master[[#This Row],[Inventory Type - Lookup Picker]]</f>
        <v>W6 59687  SD</v>
      </c>
      <c r="C101" s="33" t="str">
        <f>""</f>
        <v/>
      </c>
    </row>
    <row r="102" spans="2:3" x14ac:dyDescent="0.25">
      <c r="B102" s="17" t="str">
        <f>Master[[#This Row],[Accession Prefix (NPGS)]]&amp;" "&amp;Master[[#This Row],[Accession Number -Assigned]]&amp;" "&amp;Master[[#This Row],[Inventory Suffix]]&amp;" "&amp;Master[[#This Row],[Inventory Type - Lookup Picker]]</f>
        <v>W6 59688  SD</v>
      </c>
      <c r="C102" s="33" t="str">
        <f>""</f>
        <v/>
      </c>
    </row>
    <row r="103" spans="2:3" x14ac:dyDescent="0.25">
      <c r="B103" s="17" t="str">
        <f>Master[[#This Row],[Accession Prefix (NPGS)]]&amp;" "&amp;Master[[#This Row],[Accession Number -Assigned]]&amp;" "&amp;Master[[#This Row],[Inventory Suffix]]&amp;" "&amp;Master[[#This Row],[Inventory Type - Lookup Picker]]</f>
        <v>W6 59689  SD</v>
      </c>
      <c r="C103" s="33" t="str">
        <f>""</f>
        <v/>
      </c>
    </row>
    <row r="104" spans="2:3" x14ac:dyDescent="0.25">
      <c r="B104" s="17" t="str">
        <f>Master[[#This Row],[Accession Prefix (NPGS)]]&amp;" "&amp;Master[[#This Row],[Accession Number -Assigned]]&amp;" "&amp;Master[[#This Row],[Inventory Suffix]]&amp;" "&amp;Master[[#This Row],[Inventory Type - Lookup Picker]]</f>
        <v>W6 59690  SD</v>
      </c>
      <c r="C104" s="33" t="str">
        <f>""</f>
        <v/>
      </c>
    </row>
    <row r="105" spans="2:3" x14ac:dyDescent="0.25">
      <c r="B105" s="17" t="str">
        <f>Master[[#This Row],[Accession Prefix (NPGS)]]&amp;" "&amp;Master[[#This Row],[Accession Number -Assigned]]&amp;" "&amp;Master[[#This Row],[Inventory Suffix]]&amp;" "&amp;Master[[#This Row],[Inventory Type - Lookup Picker]]</f>
        <v>W6 59691  SD</v>
      </c>
      <c r="C105" s="33" t="str">
        <f>""</f>
        <v/>
      </c>
    </row>
    <row r="106" spans="2:3" x14ac:dyDescent="0.25">
      <c r="B106" s="17" t="str">
        <f>Master[[#This Row],[Accession Prefix (NPGS)]]&amp;" "&amp;Master[[#This Row],[Accession Number -Assigned]]&amp;" "&amp;Master[[#This Row],[Inventory Suffix]]&amp;" "&amp;Master[[#This Row],[Inventory Type - Lookup Picker]]</f>
        <v>W6 59692  SD</v>
      </c>
      <c r="C106" s="33" t="str">
        <f>""</f>
        <v/>
      </c>
    </row>
    <row r="107" spans="2:3" x14ac:dyDescent="0.25">
      <c r="B107" s="17" t="str">
        <f>Master[[#This Row],[Accession Prefix (NPGS)]]&amp;" "&amp;Master[[#This Row],[Accession Number -Assigned]]&amp;" "&amp;Master[[#This Row],[Inventory Suffix]]&amp;" "&amp;Master[[#This Row],[Inventory Type - Lookup Picker]]</f>
        <v>W6 59693  SD</v>
      </c>
      <c r="C107" s="33" t="str">
        <f>""</f>
        <v/>
      </c>
    </row>
    <row r="108" spans="2:3" x14ac:dyDescent="0.25">
      <c r="B108" s="17" t="str">
        <f>Master[[#This Row],[Accession Prefix (NPGS)]]&amp;" "&amp;Master[[#This Row],[Accession Number -Assigned]]&amp;" "&amp;Master[[#This Row],[Inventory Suffix]]&amp;" "&amp;Master[[#This Row],[Inventory Type - Lookup Picker]]</f>
        <v>W6 59694  SD</v>
      </c>
      <c r="C108" s="33" t="str">
        <f>""</f>
        <v/>
      </c>
    </row>
    <row r="109" spans="2:3" x14ac:dyDescent="0.25">
      <c r="B109" s="17" t="str">
        <f>Master[[#This Row],[Accession Prefix (NPGS)]]&amp;" "&amp;Master[[#This Row],[Accession Number -Assigned]]&amp;" "&amp;Master[[#This Row],[Inventory Suffix]]&amp;" "&amp;Master[[#This Row],[Inventory Type - Lookup Picker]]</f>
        <v>W6 59695  SD</v>
      </c>
      <c r="C109" s="33" t="str">
        <f>""</f>
        <v/>
      </c>
    </row>
    <row r="110" spans="2:3" x14ac:dyDescent="0.25">
      <c r="B110" s="17" t="str">
        <f>Master[[#This Row],[Accession Prefix (NPGS)]]&amp;" "&amp;Master[[#This Row],[Accession Number -Assigned]]&amp;" "&amp;Master[[#This Row],[Inventory Suffix]]&amp;" "&amp;Master[[#This Row],[Inventory Type - Lookup Picker]]</f>
        <v>W6 59696  SD</v>
      </c>
      <c r="C110" s="33" t="str">
        <f>""</f>
        <v/>
      </c>
    </row>
    <row r="111" spans="2:3" x14ac:dyDescent="0.25">
      <c r="B111" s="17" t="str">
        <f>Master[[#This Row],[Accession Prefix (NPGS)]]&amp;" "&amp;Master[[#This Row],[Accession Number -Assigned]]&amp;" "&amp;Master[[#This Row],[Inventory Suffix]]&amp;" "&amp;Master[[#This Row],[Inventory Type - Lookup Picker]]</f>
        <v>W6 59697  SD</v>
      </c>
      <c r="C111" s="33" t="str">
        <f>""</f>
        <v/>
      </c>
    </row>
    <row r="112" spans="2:3" x14ac:dyDescent="0.25">
      <c r="B112" s="17" t="str">
        <f>Master[[#This Row],[Accession Prefix (NPGS)]]&amp;" "&amp;Master[[#This Row],[Accession Number -Assigned]]&amp;" "&amp;Master[[#This Row],[Inventory Suffix]]&amp;" "&amp;Master[[#This Row],[Inventory Type - Lookup Picker]]</f>
        <v>W6 59698  SD</v>
      </c>
      <c r="C112" s="33" t="str">
        <f>""</f>
        <v/>
      </c>
    </row>
    <row r="113" spans="2:3" x14ac:dyDescent="0.25">
      <c r="B113" s="17" t="str">
        <f>Master[[#This Row],[Accession Prefix (NPGS)]]&amp;" "&amp;Master[[#This Row],[Accession Number -Assigned]]&amp;" "&amp;Master[[#This Row],[Inventory Suffix]]&amp;" "&amp;Master[[#This Row],[Inventory Type - Lookup Picker]]</f>
        <v>W6 59699  SD</v>
      </c>
      <c r="C113" s="33" t="str">
        <f>""</f>
        <v/>
      </c>
    </row>
    <row r="114" spans="2:3" x14ac:dyDescent="0.25">
      <c r="B114" s="17" t="str">
        <f>Master[[#This Row],[Accession Prefix (NPGS)]]&amp;" "&amp;Master[[#This Row],[Accession Number -Assigned]]&amp;" "&amp;Master[[#This Row],[Inventory Suffix]]&amp;" "&amp;Master[[#This Row],[Inventory Type - Lookup Picker]]</f>
        <v>W6 59700  SD</v>
      </c>
      <c r="C114" s="33" t="str">
        <f>""</f>
        <v/>
      </c>
    </row>
    <row r="115" spans="2:3" x14ac:dyDescent="0.25">
      <c r="B115" s="17" t="str">
        <f>Master[[#This Row],[Accession Prefix (NPGS)]]&amp;" "&amp;Master[[#This Row],[Accession Number -Assigned]]&amp;" "&amp;Master[[#This Row],[Inventory Suffix]]&amp;" "&amp;Master[[#This Row],[Inventory Type - Lookup Picker]]</f>
        <v>W6 59701  SD</v>
      </c>
      <c r="C115" s="33" t="str">
        <f>""</f>
        <v/>
      </c>
    </row>
    <row r="116" spans="2:3" x14ac:dyDescent="0.25">
      <c r="B116" s="17" t="str">
        <f>Master[[#This Row],[Accession Prefix (NPGS)]]&amp;" "&amp;Master[[#This Row],[Accession Number -Assigned]]&amp;" "&amp;Master[[#This Row],[Inventory Suffix]]&amp;" "&amp;Master[[#This Row],[Inventory Type - Lookup Picker]]</f>
        <v>W6 59702  SD</v>
      </c>
      <c r="C116" s="33" t="str">
        <f>""</f>
        <v/>
      </c>
    </row>
    <row r="117" spans="2:3" x14ac:dyDescent="0.25">
      <c r="B117" s="17" t="str">
        <f>Master[[#This Row],[Accession Prefix (NPGS)]]&amp;" "&amp;Master[[#This Row],[Accession Number -Assigned]]&amp;" "&amp;Master[[#This Row],[Inventory Suffix]]&amp;" "&amp;Master[[#This Row],[Inventory Type - Lookup Picker]]</f>
        <v>W6 59703  SD</v>
      </c>
      <c r="C117" s="33" t="str">
        <f>""</f>
        <v/>
      </c>
    </row>
    <row r="118" spans="2:3" x14ac:dyDescent="0.25">
      <c r="B118" s="17" t="str">
        <f>Master[[#This Row],[Accession Prefix (NPGS)]]&amp;" "&amp;Master[[#This Row],[Accession Number -Assigned]]&amp;" "&amp;Master[[#This Row],[Inventory Suffix]]&amp;" "&amp;Master[[#This Row],[Inventory Type - Lookup Picker]]</f>
        <v>W6 59704  SD</v>
      </c>
      <c r="C118" s="33" t="str">
        <f>""</f>
        <v/>
      </c>
    </row>
    <row r="119" spans="2:3" x14ac:dyDescent="0.25">
      <c r="B119" s="17" t="str">
        <f>Master[[#This Row],[Accession Prefix (NPGS)]]&amp;" "&amp;Master[[#This Row],[Accession Number -Assigned]]&amp;" "&amp;Master[[#This Row],[Inventory Suffix]]&amp;" "&amp;Master[[#This Row],[Inventory Type - Lookup Picker]]</f>
        <v>W6 59705  SD</v>
      </c>
      <c r="C119" s="33" t="str">
        <f>""</f>
        <v/>
      </c>
    </row>
    <row r="120" spans="2:3" x14ac:dyDescent="0.25">
      <c r="B120" s="17" t="str">
        <f>Master[[#This Row],[Accession Prefix (NPGS)]]&amp;" "&amp;Master[[#This Row],[Accession Number -Assigned]]&amp;" "&amp;Master[[#This Row],[Inventory Suffix]]&amp;" "&amp;Master[[#This Row],[Inventory Type - Lookup Picker]]</f>
        <v>W6 59706  SD</v>
      </c>
      <c r="C120" s="33" t="str">
        <f>""</f>
        <v/>
      </c>
    </row>
    <row r="121" spans="2:3" x14ac:dyDescent="0.25">
      <c r="B121" s="17" t="str">
        <f>Master[[#This Row],[Accession Prefix (NPGS)]]&amp;" "&amp;Master[[#This Row],[Accession Number -Assigned]]&amp;" "&amp;Master[[#This Row],[Inventory Suffix]]&amp;" "&amp;Master[[#This Row],[Inventory Type - Lookup Picker]]</f>
        <v>W6 59707  SD</v>
      </c>
      <c r="C121" s="33" t="str">
        <f>""</f>
        <v/>
      </c>
    </row>
    <row r="122" spans="2:3" x14ac:dyDescent="0.25">
      <c r="B122" s="17" t="str">
        <f>Master[[#This Row],[Accession Prefix (NPGS)]]&amp;" "&amp;Master[[#This Row],[Accession Number -Assigned]]&amp;" "&amp;Master[[#This Row],[Inventory Suffix]]&amp;" "&amp;Master[[#This Row],[Inventory Type - Lookup Picker]]</f>
        <v>W6 59708  SD</v>
      </c>
      <c r="C122" s="33" t="str">
        <f>""</f>
        <v/>
      </c>
    </row>
    <row r="123" spans="2:3" x14ac:dyDescent="0.25">
      <c r="B123" s="17" t="str">
        <f>Master[[#This Row],[Accession Prefix (NPGS)]]&amp;" "&amp;Master[[#This Row],[Accession Number -Assigned]]&amp;" "&amp;Master[[#This Row],[Inventory Suffix]]&amp;" "&amp;Master[[#This Row],[Inventory Type - Lookup Picker]]</f>
        <v>W6 59709  SD</v>
      </c>
      <c r="C123" s="33" t="str">
        <f>""</f>
        <v/>
      </c>
    </row>
    <row r="124" spans="2:3" x14ac:dyDescent="0.25">
      <c r="B124" s="17" t="str">
        <f>Master[[#This Row],[Accession Prefix (NPGS)]]&amp;" "&amp;Master[[#This Row],[Accession Number -Assigned]]&amp;" "&amp;Master[[#This Row],[Inventory Suffix]]&amp;" "&amp;Master[[#This Row],[Inventory Type - Lookup Picker]]</f>
        <v>W6 59710  SD</v>
      </c>
      <c r="C124" s="33" t="str">
        <f>""</f>
        <v/>
      </c>
    </row>
    <row r="125" spans="2:3" x14ac:dyDescent="0.25">
      <c r="B125" s="17" t="str">
        <f>Master[[#This Row],[Accession Prefix (NPGS)]]&amp;" "&amp;Master[[#This Row],[Accession Number -Assigned]]&amp;" "&amp;Master[[#This Row],[Inventory Suffix]]&amp;" "&amp;Master[[#This Row],[Inventory Type - Lookup Picker]]</f>
        <v>W6 59711  SD</v>
      </c>
      <c r="C125" s="33" t="str">
        <f>""</f>
        <v/>
      </c>
    </row>
    <row r="126" spans="2:3" x14ac:dyDescent="0.25">
      <c r="B126" s="17" t="str">
        <f>Master[[#This Row],[Accession Prefix (NPGS)]]&amp;" "&amp;Master[[#This Row],[Accession Number -Assigned]]&amp;" "&amp;Master[[#This Row],[Inventory Suffix]]&amp;" "&amp;Master[[#This Row],[Inventory Type - Lookup Picker]]</f>
        <v>W6 59712  SD</v>
      </c>
      <c r="C126" s="33" t="str">
        <f>""</f>
        <v/>
      </c>
    </row>
    <row r="127" spans="2:3" x14ac:dyDescent="0.25">
      <c r="B127" s="17" t="str">
        <f>Master[[#This Row],[Accession Prefix (NPGS)]]&amp;" "&amp;Master[[#This Row],[Accession Number -Assigned]]&amp;" "&amp;Master[[#This Row],[Inventory Suffix]]&amp;" "&amp;Master[[#This Row],[Inventory Type - Lookup Picker]]</f>
        <v>W6 59713  SD</v>
      </c>
      <c r="C127" s="33" t="str">
        <f>""</f>
        <v/>
      </c>
    </row>
    <row r="128" spans="2:3" x14ac:dyDescent="0.25">
      <c r="B128" s="17" t="str">
        <f>Master[[#This Row],[Accession Prefix (NPGS)]]&amp;" "&amp;Master[[#This Row],[Accession Number -Assigned]]&amp;" "&amp;Master[[#This Row],[Inventory Suffix]]&amp;" "&amp;Master[[#This Row],[Inventory Type - Lookup Picker]]</f>
        <v>W6 59714  SD</v>
      </c>
      <c r="C128" s="33" t="str">
        <f>""</f>
        <v/>
      </c>
    </row>
    <row r="129" spans="2:3" x14ac:dyDescent="0.25">
      <c r="B129" s="17" t="str">
        <f>Master[[#This Row],[Accession Prefix (NPGS)]]&amp;" "&amp;Master[[#This Row],[Accession Number -Assigned]]&amp;" "&amp;Master[[#This Row],[Inventory Suffix]]&amp;" "&amp;Master[[#This Row],[Inventory Type - Lookup Picker]]</f>
        <v>W6 59715  SD</v>
      </c>
      <c r="C129" s="33" t="str">
        <f>""</f>
        <v/>
      </c>
    </row>
    <row r="130" spans="2:3" x14ac:dyDescent="0.25">
      <c r="B130" s="17" t="str">
        <f>Master[[#This Row],[Accession Prefix (NPGS)]]&amp;" "&amp;Master[[#This Row],[Accession Number -Assigned]]&amp;" "&amp;Master[[#This Row],[Inventory Suffix]]&amp;" "&amp;Master[[#This Row],[Inventory Type - Lookup Picker]]</f>
        <v>W6 59716  SD</v>
      </c>
      <c r="C130" s="33" t="str">
        <f>""</f>
        <v/>
      </c>
    </row>
    <row r="131" spans="2:3" x14ac:dyDescent="0.25">
      <c r="B131" s="17" t="str">
        <f>Master[[#This Row],[Accession Prefix (NPGS)]]&amp;" "&amp;Master[[#This Row],[Accession Number -Assigned]]&amp;" "&amp;Master[[#This Row],[Inventory Suffix]]&amp;" "&amp;Master[[#This Row],[Inventory Type - Lookup Picker]]</f>
        <v>W6 59717  SD</v>
      </c>
      <c r="C131" s="33" t="str">
        <f>""</f>
        <v/>
      </c>
    </row>
    <row r="132" spans="2:3" x14ac:dyDescent="0.25">
      <c r="B132" s="17" t="str">
        <f>Master[[#This Row],[Accession Prefix (NPGS)]]&amp;" "&amp;Master[[#This Row],[Accession Number -Assigned]]&amp;" "&amp;Master[[#This Row],[Inventory Suffix]]&amp;" "&amp;Master[[#This Row],[Inventory Type - Lookup Picker]]</f>
        <v>W6 59718  SD</v>
      </c>
      <c r="C132" s="33" t="str">
        <f>""</f>
        <v/>
      </c>
    </row>
    <row r="133" spans="2:3" x14ac:dyDescent="0.25">
      <c r="B133" s="17" t="str">
        <f>Master[[#This Row],[Accession Prefix (NPGS)]]&amp;" "&amp;Master[[#This Row],[Accession Number -Assigned]]&amp;" "&amp;Master[[#This Row],[Inventory Suffix]]&amp;" "&amp;Master[[#This Row],[Inventory Type - Lookup Picker]]</f>
        <v>W6 59719  SD</v>
      </c>
      <c r="C133" s="33" t="str">
        <f>""</f>
        <v/>
      </c>
    </row>
    <row r="134" spans="2:3" x14ac:dyDescent="0.25">
      <c r="B134" s="17" t="str">
        <f>Master[[#This Row],[Accession Prefix (NPGS)]]&amp;" "&amp;Master[[#This Row],[Accession Number -Assigned]]&amp;" "&amp;Master[[#This Row],[Inventory Suffix]]&amp;" "&amp;Master[[#This Row],[Inventory Type - Lookup Picker]]</f>
        <v>W6 59720  SD</v>
      </c>
      <c r="C134" s="33" t="str">
        <f>""</f>
        <v/>
      </c>
    </row>
    <row r="135" spans="2:3" x14ac:dyDescent="0.25">
      <c r="B135" s="17" t="str">
        <f>Master[[#This Row],[Accession Prefix (NPGS)]]&amp;" "&amp;Master[[#This Row],[Accession Number -Assigned]]&amp;" "&amp;Master[[#This Row],[Inventory Suffix]]&amp;" "&amp;Master[[#This Row],[Inventory Type - Lookup Picker]]</f>
        <v>W6 59721  SD</v>
      </c>
      <c r="C135" s="33" t="str">
        <f>""</f>
        <v/>
      </c>
    </row>
    <row r="136" spans="2:3" x14ac:dyDescent="0.25">
      <c r="B136" s="17" t="str">
        <f>Master[[#This Row],[Accession Prefix (NPGS)]]&amp;" "&amp;Master[[#This Row],[Accession Number -Assigned]]&amp;" "&amp;Master[[#This Row],[Inventory Suffix]]&amp;" "&amp;Master[[#This Row],[Inventory Type - Lookup Picker]]</f>
        <v>W6 59722  SD</v>
      </c>
      <c r="C136" s="33" t="str">
        <f>""</f>
        <v/>
      </c>
    </row>
    <row r="137" spans="2:3" x14ac:dyDescent="0.25">
      <c r="B137" s="17" t="str">
        <f>Master[[#This Row],[Accession Prefix (NPGS)]]&amp;" "&amp;Master[[#This Row],[Accession Number -Assigned]]&amp;" "&amp;Master[[#This Row],[Inventory Suffix]]&amp;" "&amp;Master[[#This Row],[Inventory Type - Lookup Picker]]</f>
        <v>W6 59723  SD</v>
      </c>
      <c r="C137" s="33" t="str">
        <f>""</f>
        <v/>
      </c>
    </row>
    <row r="138" spans="2:3" x14ac:dyDescent="0.25">
      <c r="B138" s="17" t="str">
        <f>Master[[#This Row],[Accession Prefix (NPGS)]]&amp;" "&amp;Master[[#This Row],[Accession Number -Assigned]]&amp;" "&amp;Master[[#This Row],[Inventory Suffix]]&amp;" "&amp;Master[[#This Row],[Inventory Type - Lookup Picker]]</f>
        <v>W6 59724  SD</v>
      </c>
      <c r="C138" s="33" t="str">
        <f>""</f>
        <v/>
      </c>
    </row>
    <row r="139" spans="2:3" x14ac:dyDescent="0.25">
      <c r="B139" s="17" t="str">
        <f>Master[[#This Row],[Accession Prefix (NPGS)]]&amp;" "&amp;Master[[#This Row],[Accession Number -Assigned]]&amp;" "&amp;Master[[#This Row],[Inventory Suffix]]&amp;" "&amp;Master[[#This Row],[Inventory Type - Lookup Picker]]</f>
        <v>W6 59725  SD</v>
      </c>
      <c r="C139" s="33" t="str">
        <f>""</f>
        <v/>
      </c>
    </row>
    <row r="140" spans="2:3" x14ac:dyDescent="0.25">
      <c r="B140" s="17" t="str">
        <f>Master[[#This Row],[Accession Prefix (NPGS)]]&amp;" "&amp;Master[[#This Row],[Accession Number -Assigned]]&amp;" "&amp;Master[[#This Row],[Inventory Suffix]]&amp;" "&amp;Master[[#This Row],[Inventory Type - Lookup Picker]]</f>
        <v>W6 59726  SD</v>
      </c>
      <c r="C140" s="33" t="str">
        <f>""</f>
        <v/>
      </c>
    </row>
    <row r="141" spans="2:3" x14ac:dyDescent="0.25">
      <c r="B141" s="17" t="str">
        <f>Master[[#This Row],[Accession Prefix (NPGS)]]&amp;" "&amp;Master[[#This Row],[Accession Number -Assigned]]&amp;" "&amp;Master[[#This Row],[Inventory Suffix]]&amp;" "&amp;Master[[#This Row],[Inventory Type - Lookup Picker]]</f>
        <v>W6 59727  SD</v>
      </c>
      <c r="C141" s="33" t="str">
        <f>""</f>
        <v/>
      </c>
    </row>
    <row r="142" spans="2:3" x14ac:dyDescent="0.25">
      <c r="B142" s="17" t="str">
        <f>Master[[#This Row],[Accession Prefix (NPGS)]]&amp;" "&amp;Master[[#This Row],[Accession Number -Assigned]]&amp;" "&amp;Master[[#This Row],[Inventory Suffix]]&amp;" "&amp;Master[[#This Row],[Inventory Type - Lookup Picker]]</f>
        <v>W6 59728  SD</v>
      </c>
      <c r="C142" s="33" t="str">
        <f>""</f>
        <v/>
      </c>
    </row>
    <row r="143" spans="2:3" x14ac:dyDescent="0.25">
      <c r="B143" s="17" t="str">
        <f>Master[[#This Row],[Accession Prefix (NPGS)]]&amp;" "&amp;Master[[#This Row],[Accession Number -Assigned]]&amp;" "&amp;Master[[#This Row],[Inventory Suffix]]&amp;" "&amp;Master[[#This Row],[Inventory Type - Lookup Picker]]</f>
        <v>W6 59729  SD</v>
      </c>
      <c r="C143" s="33" t="str">
        <f>""</f>
        <v/>
      </c>
    </row>
    <row r="144" spans="2:3" x14ac:dyDescent="0.25">
      <c r="B144" s="17" t="str">
        <f>Master[[#This Row],[Accession Prefix (NPGS)]]&amp;" "&amp;Master[[#This Row],[Accession Number -Assigned]]&amp;" "&amp;Master[[#This Row],[Inventory Suffix]]&amp;" "&amp;Master[[#This Row],[Inventory Type - Lookup Picker]]</f>
        <v>W6 59730  SD</v>
      </c>
      <c r="C144" s="33" t="str">
        <f>""</f>
        <v/>
      </c>
    </row>
    <row r="145" spans="2:3" x14ac:dyDescent="0.25">
      <c r="B145" s="17" t="str">
        <f>Master[[#This Row],[Accession Prefix (NPGS)]]&amp;" "&amp;Master[[#This Row],[Accession Number -Assigned]]&amp;" "&amp;Master[[#This Row],[Inventory Suffix]]&amp;" "&amp;Master[[#This Row],[Inventory Type - Lookup Picker]]</f>
        <v>W6 59731  SD</v>
      </c>
      <c r="C145" s="33" t="str">
        <f>""</f>
        <v/>
      </c>
    </row>
    <row r="146" spans="2:3" x14ac:dyDescent="0.25">
      <c r="B146" s="17" t="str">
        <f>Master[[#This Row],[Accession Prefix (NPGS)]]&amp;" "&amp;Master[[#This Row],[Accession Number -Assigned]]&amp;" "&amp;Master[[#This Row],[Inventory Suffix]]&amp;" "&amp;Master[[#This Row],[Inventory Type - Lookup Picker]]</f>
        <v>W6 59732  SD</v>
      </c>
      <c r="C146" s="33" t="str">
        <f>""</f>
        <v/>
      </c>
    </row>
    <row r="147" spans="2:3" x14ac:dyDescent="0.25">
      <c r="B147" s="17" t="str">
        <f>Master[[#This Row],[Accession Prefix (NPGS)]]&amp;" "&amp;Master[[#This Row],[Accession Number -Assigned]]&amp;" "&amp;Master[[#This Row],[Inventory Suffix]]&amp;" "&amp;Master[[#This Row],[Inventory Type - Lookup Picker]]</f>
        <v>W6 59733  SD</v>
      </c>
      <c r="C147" s="33" t="str">
        <f>""</f>
        <v/>
      </c>
    </row>
    <row r="148" spans="2:3" x14ac:dyDescent="0.25">
      <c r="B148" s="17" t="str">
        <f>Master[[#This Row],[Accession Prefix (NPGS)]]&amp;" "&amp;Master[[#This Row],[Accession Number -Assigned]]&amp;" "&amp;Master[[#This Row],[Inventory Suffix]]&amp;" "&amp;Master[[#This Row],[Inventory Type - Lookup Picker]]</f>
        <v>W6 59734  SD</v>
      </c>
      <c r="C148" s="33" t="str">
        <f>""</f>
        <v/>
      </c>
    </row>
    <row r="149" spans="2:3" x14ac:dyDescent="0.25">
      <c r="B149" s="17" t="str">
        <f>Master[[#This Row],[Accession Prefix (NPGS)]]&amp;" "&amp;Master[[#This Row],[Accession Number -Assigned]]&amp;" "&amp;Master[[#This Row],[Inventory Suffix]]&amp;" "&amp;Master[[#This Row],[Inventory Type - Lookup Picker]]</f>
        <v>W6 59735  SD</v>
      </c>
      <c r="C149" s="33" t="str">
        <f>""</f>
        <v/>
      </c>
    </row>
    <row r="150" spans="2:3" x14ac:dyDescent="0.25">
      <c r="B150" s="17" t="str">
        <f>Master[[#This Row],[Accession Prefix (NPGS)]]&amp;" "&amp;Master[[#This Row],[Accession Number -Assigned]]&amp;" "&amp;Master[[#This Row],[Inventory Suffix]]&amp;" "&amp;Master[[#This Row],[Inventory Type - Lookup Picker]]</f>
        <v>W6 59736  SD</v>
      </c>
      <c r="C150" s="33" t="str">
        <f>""</f>
        <v/>
      </c>
    </row>
    <row r="151" spans="2:3" x14ac:dyDescent="0.25">
      <c r="B151" s="17" t="str">
        <f>Master[[#This Row],[Accession Prefix (NPGS)]]&amp;" "&amp;Master[[#This Row],[Accession Number -Assigned]]&amp;" "&amp;Master[[#This Row],[Inventory Suffix]]&amp;" "&amp;Master[[#This Row],[Inventory Type - Lookup Picker]]</f>
        <v>W6 59737  SD</v>
      </c>
      <c r="C151" s="33" t="str">
        <f>""</f>
        <v/>
      </c>
    </row>
    <row r="152" spans="2:3" x14ac:dyDescent="0.25">
      <c r="B152" s="17" t="str">
        <f>Master[[#This Row],[Accession Prefix (NPGS)]]&amp;" "&amp;Master[[#This Row],[Accession Number -Assigned]]&amp;" "&amp;Master[[#This Row],[Inventory Suffix]]&amp;" "&amp;Master[[#This Row],[Inventory Type - Lookup Picker]]</f>
        <v xml:space="preserve">   </v>
      </c>
      <c r="C152" s="33" t="str">
        <f>""</f>
        <v/>
      </c>
    </row>
    <row r="153" spans="2:3" x14ac:dyDescent="0.25">
      <c r="B153" s="17" t="str">
        <f>Master[[#This Row],[Accession Prefix (NPGS)]]&amp;" "&amp;Master[[#This Row],[Accession Number -Assigned]]&amp;" "&amp;Master[[#This Row],[Inventory Suffix]]&amp;" "&amp;Master[[#This Row],[Inventory Type - Lookup Picker]]</f>
        <v xml:space="preserve">   </v>
      </c>
      <c r="C153" s="33" t="str">
        <f>""</f>
        <v/>
      </c>
    </row>
    <row r="154" spans="2:3" x14ac:dyDescent="0.25">
      <c r="B154" s="17" t="str">
        <f>Master[[#This Row],[Accession Prefix (NPGS)]]&amp;" "&amp;Master[[#This Row],[Accession Number -Assigned]]&amp;" "&amp;Master[[#This Row],[Inventory Suffix]]&amp;" "&amp;Master[[#This Row],[Inventory Type - Lookup Picker]]</f>
        <v xml:space="preserve">   </v>
      </c>
      <c r="C154" s="33" t="str">
        <f>""</f>
        <v/>
      </c>
    </row>
    <row r="155" spans="2:3" x14ac:dyDescent="0.25">
      <c r="B155" s="17" t="str">
        <f>Master[[#This Row],[Accession Prefix (NPGS)]]&amp;" "&amp;Master[[#This Row],[Accession Number -Assigned]]&amp;" "&amp;Master[[#This Row],[Inventory Suffix]]&amp;" "&amp;Master[[#This Row],[Inventory Type - Lookup Picker]]</f>
        <v xml:space="preserve">   </v>
      </c>
      <c r="C155" s="33" t="str">
        <f>""</f>
        <v/>
      </c>
    </row>
    <row r="156" spans="2:3" x14ac:dyDescent="0.25">
      <c r="B156" s="17" t="str">
        <f>Master[[#This Row],[Accession Prefix (NPGS)]]&amp;" "&amp;Master[[#This Row],[Accession Number -Assigned]]&amp;" "&amp;Master[[#This Row],[Inventory Suffix]]&amp;" "&amp;Master[[#This Row],[Inventory Type - Lookup Picker]]</f>
        <v xml:space="preserve">   </v>
      </c>
      <c r="C156" s="33" t="str">
        <f>""</f>
        <v/>
      </c>
    </row>
    <row r="157" spans="2:3" x14ac:dyDescent="0.25">
      <c r="B157" s="17" t="str">
        <f>Master[[#This Row],[Accession Prefix (NPGS)]]&amp;" "&amp;Master[[#This Row],[Accession Number -Assigned]]&amp;" "&amp;Master[[#This Row],[Inventory Suffix]]&amp;" "&amp;Master[[#This Row],[Inventory Type - Lookup Picker]]</f>
        <v xml:space="preserve">   </v>
      </c>
      <c r="C157" s="33" t="str">
        <f>""</f>
        <v/>
      </c>
    </row>
    <row r="158" spans="2:3" x14ac:dyDescent="0.25">
      <c r="B158" s="17" t="str">
        <f>Master[[#This Row],[Accession Prefix (NPGS)]]&amp;" "&amp;Master[[#This Row],[Accession Number -Assigned]]&amp;" "&amp;Master[[#This Row],[Inventory Suffix]]&amp;" "&amp;Master[[#This Row],[Inventory Type - Lookup Picker]]</f>
        <v xml:space="preserve">   </v>
      </c>
      <c r="C158" s="33" t="str">
        <f>""</f>
        <v/>
      </c>
    </row>
    <row r="159" spans="2:3" x14ac:dyDescent="0.25">
      <c r="B159" s="17" t="str">
        <f>Master[[#This Row],[Accession Prefix (NPGS)]]&amp;" "&amp;Master[[#This Row],[Accession Number -Assigned]]&amp;" "&amp;Master[[#This Row],[Inventory Suffix]]&amp;" "&amp;Master[[#This Row],[Inventory Type - Lookup Picker]]</f>
        <v xml:space="preserve">   </v>
      </c>
      <c r="C159" s="33" t="str">
        <f>""</f>
        <v/>
      </c>
    </row>
    <row r="160" spans="2:3" x14ac:dyDescent="0.25">
      <c r="B160" s="17" t="str">
        <f>Master[[#This Row],[Accession Prefix (NPGS)]]&amp;" "&amp;Master[[#This Row],[Accession Number -Assigned]]&amp;" "&amp;Master[[#This Row],[Inventory Suffix]]&amp;" "&amp;Master[[#This Row],[Inventory Type - Lookup Picker]]</f>
        <v xml:space="preserve">   </v>
      </c>
      <c r="C160" s="33" t="str">
        <f>""</f>
        <v/>
      </c>
    </row>
    <row r="161" spans="2:3" x14ac:dyDescent="0.25">
      <c r="B161" s="17" t="str">
        <f>Master[[#This Row],[Accession Prefix (NPGS)]]&amp;" "&amp;Master[[#This Row],[Accession Number -Assigned]]&amp;" "&amp;Master[[#This Row],[Inventory Suffix]]&amp;" "&amp;Master[[#This Row],[Inventory Type - Lookup Picker]]</f>
        <v xml:space="preserve">   </v>
      </c>
      <c r="C161" s="33" t="str">
        <f>""</f>
        <v/>
      </c>
    </row>
    <row r="162" spans="2:3" x14ac:dyDescent="0.25">
      <c r="B162" s="17" t="str">
        <f>Master[[#This Row],[Accession Prefix (NPGS)]]&amp;" "&amp;Master[[#This Row],[Accession Number -Assigned]]&amp;" "&amp;Master[[#This Row],[Inventory Suffix]]&amp;" "&amp;Master[[#This Row],[Inventory Type - Lookup Picker]]</f>
        <v xml:space="preserve">   </v>
      </c>
      <c r="C162" s="33" t="str">
        <f>""</f>
        <v/>
      </c>
    </row>
    <row r="163" spans="2:3" x14ac:dyDescent="0.25">
      <c r="B163" s="17" t="str">
        <f>Master[[#This Row],[Accession Prefix (NPGS)]]&amp;" "&amp;Master[[#This Row],[Accession Number -Assigned]]&amp;" "&amp;Master[[#This Row],[Inventory Suffix]]&amp;" "&amp;Master[[#This Row],[Inventory Type - Lookup Picker]]</f>
        <v xml:space="preserve">   </v>
      </c>
      <c r="C163" s="33" t="str">
        <f>""</f>
        <v/>
      </c>
    </row>
    <row r="164" spans="2:3" x14ac:dyDescent="0.25">
      <c r="B164" s="17" t="str">
        <f>Master[[#This Row],[Accession Prefix (NPGS)]]&amp;" "&amp;Master[[#This Row],[Accession Number -Assigned]]&amp;" "&amp;Master[[#This Row],[Inventory Suffix]]&amp;" "&amp;Master[[#This Row],[Inventory Type - Lookup Picker]]</f>
        <v xml:space="preserve">   </v>
      </c>
      <c r="C164" s="33" t="str">
        <f>""</f>
        <v/>
      </c>
    </row>
    <row r="165" spans="2:3" x14ac:dyDescent="0.25">
      <c r="B165" s="17" t="str">
        <f>Master[[#This Row],[Accession Prefix (NPGS)]]&amp;" "&amp;Master[[#This Row],[Accession Number -Assigned]]&amp;" "&amp;Master[[#This Row],[Inventory Suffix]]&amp;" "&amp;Master[[#This Row],[Inventory Type - Lookup Picker]]</f>
        <v xml:space="preserve">   </v>
      </c>
      <c r="C165" s="33" t="str">
        <f>""</f>
        <v/>
      </c>
    </row>
    <row r="166" spans="2:3" x14ac:dyDescent="0.25">
      <c r="B166" s="17" t="str">
        <f>Master[[#This Row],[Accession Prefix (NPGS)]]&amp;" "&amp;Master[[#This Row],[Accession Number -Assigned]]&amp;" "&amp;Master[[#This Row],[Inventory Suffix]]&amp;" "&amp;Master[[#This Row],[Inventory Type - Lookup Picker]]</f>
        <v xml:space="preserve">   </v>
      </c>
      <c r="C166" s="33" t="str">
        <f>""</f>
        <v/>
      </c>
    </row>
    <row r="167" spans="2:3" x14ac:dyDescent="0.25">
      <c r="B167" s="17" t="str">
        <f>Master[[#This Row],[Accession Prefix (NPGS)]]&amp;" "&amp;Master[[#This Row],[Accession Number -Assigned]]&amp;" "&amp;Master[[#This Row],[Inventory Suffix]]&amp;" "&amp;Master[[#This Row],[Inventory Type - Lookup Picker]]</f>
        <v xml:space="preserve">   </v>
      </c>
      <c r="C167" s="33" t="str">
        <f>""</f>
        <v/>
      </c>
    </row>
    <row r="168" spans="2:3" x14ac:dyDescent="0.25">
      <c r="B168" s="17" t="str">
        <f>Master[[#This Row],[Accession Prefix (NPGS)]]&amp;" "&amp;Master[[#This Row],[Accession Number -Assigned]]&amp;" "&amp;Master[[#This Row],[Inventory Suffix]]&amp;" "&amp;Master[[#This Row],[Inventory Type - Lookup Picker]]</f>
        <v xml:space="preserve">   </v>
      </c>
      <c r="C168" s="33" t="str">
        <f>""</f>
        <v/>
      </c>
    </row>
    <row r="169" spans="2:3" x14ac:dyDescent="0.25">
      <c r="B169" s="17" t="str">
        <f>Master[[#This Row],[Accession Prefix (NPGS)]]&amp;" "&amp;Master[[#This Row],[Accession Number -Assigned]]&amp;" "&amp;Master[[#This Row],[Inventory Suffix]]&amp;" "&amp;Master[[#This Row],[Inventory Type - Lookup Picker]]</f>
        <v xml:space="preserve">   </v>
      </c>
      <c r="C169" s="33" t="str">
        <f>""</f>
        <v/>
      </c>
    </row>
    <row r="170" spans="2:3" x14ac:dyDescent="0.25">
      <c r="B170" s="17" t="str">
        <f>Master[[#This Row],[Accession Prefix (NPGS)]]&amp;" "&amp;Master[[#This Row],[Accession Number -Assigned]]&amp;" "&amp;Master[[#This Row],[Inventory Suffix]]&amp;" "&amp;Master[[#This Row],[Inventory Type - Lookup Picker]]</f>
        <v xml:space="preserve">   </v>
      </c>
      <c r="C170" s="33" t="str">
        <f>""</f>
        <v/>
      </c>
    </row>
    <row r="171" spans="2:3" x14ac:dyDescent="0.25">
      <c r="B171" s="17" t="str">
        <f>Master[[#This Row],[Accession Prefix (NPGS)]]&amp;" "&amp;Master[[#This Row],[Accession Number -Assigned]]&amp;" "&amp;Master[[#This Row],[Inventory Suffix]]&amp;" "&amp;Master[[#This Row],[Inventory Type - Lookup Picker]]</f>
        <v xml:space="preserve">   </v>
      </c>
      <c r="C171" s="33" t="str">
        <f>""</f>
        <v/>
      </c>
    </row>
    <row r="172" spans="2:3" x14ac:dyDescent="0.25">
      <c r="B172" s="17" t="str">
        <f>Master[[#This Row],[Accession Prefix (NPGS)]]&amp;" "&amp;Master[[#This Row],[Accession Number -Assigned]]&amp;" "&amp;Master[[#This Row],[Inventory Suffix]]&amp;" "&amp;Master[[#This Row],[Inventory Type - Lookup Picker]]</f>
        <v xml:space="preserve">   </v>
      </c>
      <c r="C172" s="33" t="str">
        <f>""</f>
        <v/>
      </c>
    </row>
    <row r="173" spans="2:3" x14ac:dyDescent="0.25">
      <c r="B173" s="17" t="str">
        <f>Master[[#This Row],[Accession Prefix (NPGS)]]&amp;" "&amp;Master[[#This Row],[Accession Number -Assigned]]&amp;" "&amp;Master[[#This Row],[Inventory Suffix]]&amp;" "&amp;Master[[#This Row],[Inventory Type - Lookup Picker]]</f>
        <v xml:space="preserve">   </v>
      </c>
      <c r="C173" s="33" t="str">
        <f>""</f>
        <v/>
      </c>
    </row>
    <row r="174" spans="2:3" x14ac:dyDescent="0.25">
      <c r="B174" s="17" t="str">
        <f>Master[[#This Row],[Accession Prefix (NPGS)]]&amp;" "&amp;Master[[#This Row],[Accession Number -Assigned]]&amp;" "&amp;Master[[#This Row],[Inventory Suffix]]&amp;" "&amp;Master[[#This Row],[Inventory Type - Lookup Picker]]</f>
        <v xml:space="preserve">   </v>
      </c>
      <c r="C174" s="33" t="str">
        <f>""</f>
        <v/>
      </c>
    </row>
    <row r="175" spans="2:3" x14ac:dyDescent="0.25">
      <c r="B175" s="17" t="str">
        <f>Master[[#This Row],[Accession Prefix (NPGS)]]&amp;" "&amp;Master[[#This Row],[Accession Number -Assigned]]&amp;" "&amp;Master[[#This Row],[Inventory Suffix]]&amp;" "&amp;Master[[#This Row],[Inventory Type - Lookup Picker]]</f>
        <v xml:space="preserve">   </v>
      </c>
      <c r="C175" s="33" t="str">
        <f>""</f>
        <v/>
      </c>
    </row>
    <row r="176" spans="2:3" x14ac:dyDescent="0.25">
      <c r="B176" s="17" t="str">
        <f>Master[[#This Row],[Accession Prefix (NPGS)]]&amp;" "&amp;Master[[#This Row],[Accession Number -Assigned]]&amp;" "&amp;Master[[#This Row],[Inventory Suffix]]&amp;" "&amp;Master[[#This Row],[Inventory Type - Lookup Picker]]</f>
        <v xml:space="preserve">   </v>
      </c>
      <c r="C176" s="33" t="str">
        <f>""</f>
        <v/>
      </c>
    </row>
    <row r="177" spans="2:3" x14ac:dyDescent="0.25">
      <c r="B177" s="17" t="str">
        <f>Master[[#This Row],[Accession Prefix (NPGS)]]&amp;" "&amp;Master[[#This Row],[Accession Number -Assigned]]&amp;" "&amp;Master[[#This Row],[Inventory Suffix]]&amp;" "&amp;Master[[#This Row],[Inventory Type - Lookup Picker]]</f>
        <v xml:space="preserve">   </v>
      </c>
      <c r="C177" s="33" t="str">
        <f>""</f>
        <v/>
      </c>
    </row>
    <row r="178" spans="2:3" x14ac:dyDescent="0.25">
      <c r="B178" s="17" t="str">
        <f>Master[[#This Row],[Accession Prefix (NPGS)]]&amp;" "&amp;Master[[#This Row],[Accession Number -Assigned]]&amp;" "&amp;Master[[#This Row],[Inventory Suffix]]&amp;" "&amp;Master[[#This Row],[Inventory Type - Lookup Picker]]</f>
        <v xml:space="preserve">   </v>
      </c>
      <c r="C178" s="33" t="str">
        <f>""</f>
        <v/>
      </c>
    </row>
    <row r="179" spans="2:3" x14ac:dyDescent="0.25">
      <c r="B179" s="17" t="str">
        <f>Master[[#This Row],[Accession Prefix (NPGS)]]&amp;" "&amp;Master[[#This Row],[Accession Number -Assigned]]&amp;" "&amp;Master[[#This Row],[Inventory Suffix]]&amp;" "&amp;Master[[#This Row],[Inventory Type - Lookup Picker]]</f>
        <v xml:space="preserve">   </v>
      </c>
      <c r="C179" s="33" t="str">
        <f>""</f>
        <v/>
      </c>
    </row>
    <row r="180" spans="2:3" x14ac:dyDescent="0.25">
      <c r="B180" s="17" t="str">
        <f>Master[[#This Row],[Accession Prefix (NPGS)]]&amp;" "&amp;Master[[#This Row],[Accession Number -Assigned]]&amp;" "&amp;Master[[#This Row],[Inventory Suffix]]&amp;" "&amp;Master[[#This Row],[Inventory Type - Lookup Picker]]</f>
        <v xml:space="preserve">   </v>
      </c>
      <c r="C180" s="33" t="str">
        <f>""</f>
        <v/>
      </c>
    </row>
    <row r="181" spans="2:3" x14ac:dyDescent="0.25">
      <c r="B181" s="17" t="str">
        <f>Master[[#This Row],[Accession Prefix (NPGS)]]&amp;" "&amp;Master[[#This Row],[Accession Number -Assigned]]&amp;" "&amp;Master[[#This Row],[Inventory Suffix]]&amp;" "&amp;Master[[#This Row],[Inventory Type - Lookup Picker]]</f>
        <v xml:space="preserve">   </v>
      </c>
      <c r="C181" s="33" t="str">
        <f>""</f>
        <v/>
      </c>
    </row>
    <row r="182" spans="2:3" x14ac:dyDescent="0.25">
      <c r="B182" s="17" t="str">
        <f>Master[[#This Row],[Accession Prefix (NPGS)]]&amp;" "&amp;Master[[#This Row],[Accession Number -Assigned]]&amp;" "&amp;Master[[#This Row],[Inventory Suffix]]&amp;" "&amp;Master[[#This Row],[Inventory Type - Lookup Picker]]</f>
        <v xml:space="preserve">   </v>
      </c>
      <c r="C182" s="33" t="str">
        <f>""</f>
        <v/>
      </c>
    </row>
    <row r="183" spans="2:3" x14ac:dyDescent="0.25">
      <c r="B183" s="17" t="str">
        <f>Master[[#This Row],[Accession Prefix (NPGS)]]&amp;" "&amp;Master[[#This Row],[Accession Number -Assigned]]&amp;" "&amp;Master[[#This Row],[Inventory Suffix]]&amp;" "&amp;Master[[#This Row],[Inventory Type - Lookup Picker]]</f>
        <v xml:space="preserve">   </v>
      </c>
      <c r="C183" s="33" t="str">
        <f>""</f>
        <v/>
      </c>
    </row>
    <row r="184" spans="2:3" x14ac:dyDescent="0.25">
      <c r="B184" s="17" t="str">
        <f>Master[[#This Row],[Accession Prefix (NPGS)]]&amp;" "&amp;Master[[#This Row],[Accession Number -Assigned]]&amp;" "&amp;Master[[#This Row],[Inventory Suffix]]&amp;" "&amp;Master[[#This Row],[Inventory Type - Lookup Picker]]</f>
        <v xml:space="preserve">   </v>
      </c>
      <c r="C184" s="33" t="str">
        <f>""</f>
        <v/>
      </c>
    </row>
    <row r="185" spans="2:3" x14ac:dyDescent="0.25">
      <c r="B185" s="17" t="str">
        <f>Master[[#This Row],[Accession Prefix (NPGS)]]&amp;" "&amp;Master[[#This Row],[Accession Number -Assigned]]&amp;" "&amp;Master[[#This Row],[Inventory Suffix]]&amp;" "&amp;Master[[#This Row],[Inventory Type - Lookup Picker]]</f>
        <v xml:space="preserve">   </v>
      </c>
      <c r="C185" s="33" t="str">
        <f>""</f>
        <v/>
      </c>
    </row>
    <row r="186" spans="2:3" x14ac:dyDescent="0.25">
      <c r="B186" s="17" t="str">
        <f>Master[[#This Row],[Accession Prefix (NPGS)]]&amp;" "&amp;Master[[#This Row],[Accession Number -Assigned]]&amp;" "&amp;Master[[#This Row],[Inventory Suffix]]&amp;" "&amp;Master[[#This Row],[Inventory Type - Lookup Picker]]</f>
        <v xml:space="preserve">   </v>
      </c>
      <c r="C186" s="33" t="str">
        <f>""</f>
        <v/>
      </c>
    </row>
    <row r="187" spans="2:3" x14ac:dyDescent="0.25">
      <c r="B187" s="17" t="str">
        <f>Master[[#This Row],[Accession Prefix (NPGS)]]&amp;" "&amp;Master[[#This Row],[Accession Number -Assigned]]&amp;" "&amp;Master[[#This Row],[Inventory Suffix]]&amp;" "&amp;Master[[#This Row],[Inventory Type - Lookup Picker]]</f>
        <v xml:space="preserve">   </v>
      </c>
      <c r="C187" s="33" t="str">
        <f>""</f>
        <v/>
      </c>
    </row>
    <row r="188" spans="2:3" x14ac:dyDescent="0.25">
      <c r="B188" s="17" t="str">
        <f>Master[[#This Row],[Accession Prefix (NPGS)]]&amp;" "&amp;Master[[#This Row],[Accession Number -Assigned]]&amp;" "&amp;Master[[#This Row],[Inventory Suffix]]&amp;" "&amp;Master[[#This Row],[Inventory Type - Lookup Picker]]</f>
        <v xml:space="preserve">   </v>
      </c>
      <c r="C188" s="33" t="str">
        <f>""</f>
        <v/>
      </c>
    </row>
    <row r="189" spans="2:3" x14ac:dyDescent="0.25">
      <c r="B189" s="17" t="str">
        <f>Master[[#This Row],[Accession Prefix (NPGS)]]&amp;" "&amp;Master[[#This Row],[Accession Number -Assigned]]&amp;" "&amp;Master[[#This Row],[Inventory Suffix]]&amp;" "&amp;Master[[#This Row],[Inventory Type - Lookup Picker]]</f>
        <v xml:space="preserve">   </v>
      </c>
      <c r="C189" s="33" t="str">
        <f>""</f>
        <v/>
      </c>
    </row>
    <row r="190" spans="2:3" x14ac:dyDescent="0.25">
      <c r="B190" s="17" t="str">
        <f>Master[[#This Row],[Accession Prefix (NPGS)]]&amp;" "&amp;Master[[#This Row],[Accession Number -Assigned]]&amp;" "&amp;Master[[#This Row],[Inventory Suffix]]&amp;" "&amp;Master[[#This Row],[Inventory Type - Lookup Picker]]</f>
        <v xml:space="preserve">   </v>
      </c>
      <c r="C190" s="33" t="str">
        <f>""</f>
        <v/>
      </c>
    </row>
    <row r="191" spans="2:3" x14ac:dyDescent="0.25">
      <c r="B191" s="17" t="str">
        <f>Master[[#This Row],[Accession Prefix (NPGS)]]&amp;" "&amp;Master[[#This Row],[Accession Number -Assigned]]&amp;" "&amp;Master[[#This Row],[Inventory Suffix]]&amp;" "&amp;Master[[#This Row],[Inventory Type - Lookup Picker]]</f>
        <v xml:space="preserve">   </v>
      </c>
      <c r="C191" s="33" t="str">
        <f>""</f>
        <v/>
      </c>
    </row>
    <row r="192" spans="2:3" x14ac:dyDescent="0.25">
      <c r="B192" s="17" t="str">
        <f>Master[[#This Row],[Accession Prefix (NPGS)]]&amp;" "&amp;Master[[#This Row],[Accession Number -Assigned]]&amp;" "&amp;Master[[#This Row],[Inventory Suffix]]&amp;" "&amp;Master[[#This Row],[Inventory Type - Lookup Picker]]</f>
        <v xml:space="preserve">   </v>
      </c>
      <c r="C192" s="33" t="str">
        <f>""</f>
        <v/>
      </c>
    </row>
    <row r="193" spans="2:3" x14ac:dyDescent="0.25">
      <c r="B193" s="17" t="str">
        <f>Master[[#This Row],[Accession Prefix (NPGS)]]&amp;" "&amp;Master[[#This Row],[Accession Number -Assigned]]&amp;" "&amp;Master[[#This Row],[Inventory Suffix]]&amp;" "&amp;Master[[#This Row],[Inventory Type - Lookup Picker]]</f>
        <v xml:space="preserve">   </v>
      </c>
      <c r="C193" s="33" t="str">
        <f>""</f>
        <v/>
      </c>
    </row>
    <row r="194" spans="2:3" x14ac:dyDescent="0.25">
      <c r="B194" s="17" t="str">
        <f>Master[[#This Row],[Accession Prefix (NPGS)]]&amp;" "&amp;Master[[#This Row],[Accession Number -Assigned]]&amp;" "&amp;Master[[#This Row],[Inventory Suffix]]&amp;" "&amp;Master[[#This Row],[Inventory Type - Lookup Picker]]</f>
        <v xml:space="preserve">   </v>
      </c>
      <c r="C194" s="33" t="str">
        <f>""</f>
        <v/>
      </c>
    </row>
    <row r="195" spans="2:3" x14ac:dyDescent="0.25">
      <c r="B195" s="17" t="str">
        <f>Master[[#This Row],[Accession Prefix (NPGS)]]&amp;" "&amp;Master[[#This Row],[Accession Number -Assigned]]&amp;" "&amp;Master[[#This Row],[Inventory Suffix]]&amp;" "&amp;Master[[#This Row],[Inventory Type - Lookup Picker]]</f>
        <v xml:space="preserve">   </v>
      </c>
      <c r="C195" s="33" t="str">
        <f>""</f>
        <v/>
      </c>
    </row>
    <row r="196" spans="2:3" x14ac:dyDescent="0.25">
      <c r="B196" s="17" t="str">
        <f>Master[[#This Row],[Accession Prefix (NPGS)]]&amp;" "&amp;Master[[#This Row],[Accession Number -Assigned]]&amp;" "&amp;Master[[#This Row],[Inventory Suffix]]&amp;" "&amp;Master[[#This Row],[Inventory Type - Lookup Picker]]</f>
        <v xml:space="preserve">   </v>
      </c>
      <c r="C196" s="33" t="str">
        <f>""</f>
        <v/>
      </c>
    </row>
    <row r="197" spans="2:3" x14ac:dyDescent="0.25">
      <c r="B197" s="17" t="str">
        <f>Master[[#This Row],[Accession Prefix (NPGS)]]&amp;" "&amp;Master[[#This Row],[Accession Number -Assigned]]&amp;" "&amp;Master[[#This Row],[Inventory Suffix]]&amp;" "&amp;Master[[#This Row],[Inventory Type - Lookup Picker]]</f>
        <v xml:space="preserve">   </v>
      </c>
      <c r="C197" s="33" t="str">
        <f>""</f>
        <v/>
      </c>
    </row>
    <row r="198" spans="2:3" x14ac:dyDescent="0.25">
      <c r="B198" s="17" t="str">
        <f>Master[[#This Row],[Accession Prefix (NPGS)]]&amp;" "&amp;Master[[#This Row],[Accession Number -Assigned]]&amp;" "&amp;Master[[#This Row],[Inventory Suffix]]&amp;" "&amp;Master[[#This Row],[Inventory Type - Lookup Picker]]</f>
        <v xml:space="preserve">   </v>
      </c>
      <c r="C198" s="33" t="str">
        <f>""</f>
        <v/>
      </c>
    </row>
    <row r="199" spans="2:3" x14ac:dyDescent="0.25">
      <c r="B199" s="17" t="str">
        <f>Master[[#This Row],[Accession Prefix (NPGS)]]&amp;" "&amp;Master[[#This Row],[Accession Number -Assigned]]&amp;" "&amp;Master[[#This Row],[Inventory Suffix]]&amp;" "&amp;Master[[#This Row],[Inventory Type - Lookup Picker]]</f>
        <v xml:space="preserve">   </v>
      </c>
      <c r="C199" s="33" t="str">
        <f>""</f>
        <v/>
      </c>
    </row>
    <row r="200" spans="2:3" x14ac:dyDescent="0.25">
      <c r="B200" s="17" t="str">
        <f>Master[[#This Row],[Accession Prefix (NPGS)]]&amp;" "&amp;Master[[#This Row],[Accession Number -Assigned]]&amp;" "&amp;Master[[#This Row],[Inventory Suffix]]&amp;" "&amp;Master[[#This Row],[Inventory Type - Lookup Picker]]</f>
        <v xml:space="preserve">   </v>
      </c>
      <c r="C200" s="33" t="str">
        <f>""</f>
        <v/>
      </c>
    </row>
    <row r="201" spans="2:3" x14ac:dyDescent="0.25">
      <c r="B201" s="17" t="str">
        <f>Master[[#This Row],[Accession Prefix (NPGS)]]&amp;" "&amp;Master[[#This Row],[Accession Number -Assigned]]&amp;" "&amp;Master[[#This Row],[Inventory Suffix]]&amp;" "&amp;Master[[#This Row],[Inventory Type - Lookup Picker]]</f>
        <v xml:space="preserve">   </v>
      </c>
      <c r="C201" s="33" t="str">
        <f>""</f>
        <v/>
      </c>
    </row>
  </sheetData>
  <pageMargins left="0.7" right="0.7" top="0.75" bottom="0.75" header="0.3" footer="0.3"/>
  <legacy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34998626667073579"/>
  </sheetPr>
  <dimension ref="A1:Y201"/>
  <sheetViews>
    <sheetView workbookViewId="0">
      <selection activeCell="A2" sqref="A2"/>
    </sheetView>
  </sheetViews>
  <sheetFormatPr defaultColWidth="10.7109375" defaultRowHeight="15" x14ac:dyDescent="0.25"/>
  <cols>
    <col min="1" max="1" width="11" bestFit="1" customWidth="1"/>
    <col min="2" max="2" width="24.85546875" bestFit="1" customWidth="1"/>
    <col min="3" max="3" width="17.85546875" bestFit="1" customWidth="1"/>
  </cols>
  <sheetData>
    <row r="1" spans="1:25" s="6" customFormat="1" ht="27.75" customHeight="1" x14ac:dyDescent="0.25">
      <c r="A1" s="6" t="s">
        <v>528</v>
      </c>
      <c r="B1" s="6" t="s">
        <v>529</v>
      </c>
      <c r="C1" s="6" t="s">
        <v>31</v>
      </c>
      <c r="D1" s="6" t="s">
        <v>530</v>
      </c>
      <c r="E1" s="6" t="s">
        <v>531</v>
      </c>
      <c r="F1" s="6" t="s">
        <v>532</v>
      </c>
      <c r="G1" s="6" t="s">
        <v>533</v>
      </c>
      <c r="H1" s="6" t="s">
        <v>534</v>
      </c>
      <c r="I1" s="6" t="s">
        <v>535</v>
      </c>
      <c r="J1" s="6" t="s">
        <v>536</v>
      </c>
      <c r="K1" s="6" t="s">
        <v>537</v>
      </c>
      <c r="L1" s="6" t="s">
        <v>538</v>
      </c>
      <c r="M1" s="6" t="s">
        <v>539</v>
      </c>
      <c r="N1" s="6" t="s">
        <v>540</v>
      </c>
      <c r="O1" s="6" t="s">
        <v>541</v>
      </c>
      <c r="P1" s="6" t="s">
        <v>542</v>
      </c>
      <c r="Q1" s="6" t="s">
        <v>543</v>
      </c>
      <c r="R1" s="6" t="s">
        <v>9</v>
      </c>
    </row>
    <row r="2" spans="1:25" x14ac:dyDescent="0.25">
      <c r="B2" t="str">
        <f t="shared" ref="B2:B33" si="0">"W6.GERMS.FROM.DONOR"</f>
        <v>W6.GERMS.FROM.DONOR</v>
      </c>
      <c r="C2" t="str">
        <f>Master[[#This Row],[Inventory Prefix]]&amp;" "&amp;Master[[#This Row],[Inventory Number]]&amp;" "&amp;Master[[#This Row],[Inventory Suffix]]&amp;" "&amp;Master[[#This Row],[Inventory Type - Lookup Picker]]</f>
        <v>W6 57036 2019o SD</v>
      </c>
      <c r="D2" t="str">
        <f>"mm/yyyy"</f>
        <v>mm/yyyy</v>
      </c>
      <c r="E2" s="77" t="str">
        <f>IF(Master[[#This Row],[GERMS from DONOR (test date)]]="","",Master[[#This Row],[GERMS from DONOR (test date)]])</f>
        <v/>
      </c>
      <c r="I2" s="17" t="str">
        <f>IF(Master[[#This Row],[GERMS from DONOR (viability)]]="","",Master[[#This Row],[GERMS from DONOR (viability)]])</f>
        <v/>
      </c>
      <c r="U2" s="8"/>
      <c r="W2" s="8"/>
      <c r="Y2" s="8"/>
    </row>
    <row r="3" spans="1:25" x14ac:dyDescent="0.25">
      <c r="B3" t="str">
        <f t="shared" si="0"/>
        <v>W6.GERMS.FROM.DONOR</v>
      </c>
      <c r="C3" t="str">
        <f>Master[[#This Row],[Inventory Prefix]]&amp;" "&amp;Master[[#This Row],[Inventory Number]]&amp;" "&amp;Master[[#This Row],[Inventory Suffix]]&amp;" "&amp;Master[[#This Row],[Inventory Type - Lookup Picker]]</f>
        <v>W6   SD</v>
      </c>
      <c r="D3" t="str">
        <f>"mm/yyyy"</f>
        <v>mm/yyyy</v>
      </c>
      <c r="E3" s="77" t="str">
        <f>IF(Master[[#This Row],[GERMS from DONOR (test date)]]="","",Master[[#This Row],[GERMS from DONOR (test date)]])</f>
        <v/>
      </c>
      <c r="I3" s="17" t="str">
        <f>IF(Master[[#This Row],[GERMS from DONOR (viability)]]="","",Master[[#This Row],[GERMS from DONOR (viability)]])</f>
        <v/>
      </c>
    </row>
    <row r="4" spans="1:25" x14ac:dyDescent="0.25">
      <c r="B4" t="str">
        <f t="shared" si="0"/>
        <v>W6.GERMS.FROM.DONOR</v>
      </c>
      <c r="C4" s="45" t="str">
        <f>Master[[#This Row],[Inventory Prefix]]&amp;" "&amp;Master[[#This Row],[Inventory Number]]&amp;" "&amp;Master[[#This Row],[Inventory Suffix]]&amp;" "&amp;Master[[#This Row],[Inventory Type - Lookup Picker]]</f>
        <v>W6   SD</v>
      </c>
      <c r="D4" s="45" t="str">
        <f t="shared" ref="D4:D35" si="1">"mm/yyyy"</f>
        <v>mm/yyyy</v>
      </c>
      <c r="E4" s="77" t="str">
        <f>IF(Master[[#This Row],[GERMS from DONOR (test date)]]="","",Master[[#This Row],[GERMS from DONOR (test date)]])</f>
        <v/>
      </c>
      <c r="I4" s="76" t="str">
        <f>IF(Master[[#This Row],[GERMS from DONOR (viability)]]="","",Master[[#This Row],[GERMS from DONOR (viability)]])</f>
        <v/>
      </c>
    </row>
    <row r="5" spans="1:25" x14ac:dyDescent="0.25">
      <c r="B5" t="str">
        <f t="shared" si="0"/>
        <v>W6.GERMS.FROM.DONOR</v>
      </c>
      <c r="C5" s="45" t="str">
        <f>Master[[#This Row],[Inventory Prefix]]&amp;" "&amp;Master[[#This Row],[Inventory Number]]&amp;" "&amp;Master[[#This Row],[Inventory Suffix]]&amp;" "&amp;Master[[#This Row],[Inventory Type - Lookup Picker]]</f>
        <v>W6   SD</v>
      </c>
      <c r="D5" s="45" t="str">
        <f t="shared" si="1"/>
        <v>mm/yyyy</v>
      </c>
      <c r="E5" s="77" t="str">
        <f>IF(Master[[#This Row],[GERMS from DONOR (test date)]]="","",Master[[#This Row],[GERMS from DONOR (test date)]])</f>
        <v/>
      </c>
      <c r="I5" s="76" t="str">
        <f>IF(Master[[#This Row],[GERMS from DONOR (viability)]]="","",Master[[#This Row],[GERMS from DONOR (viability)]])</f>
        <v/>
      </c>
    </row>
    <row r="6" spans="1:25" x14ac:dyDescent="0.25">
      <c r="B6" t="str">
        <f t="shared" si="0"/>
        <v>W6.GERMS.FROM.DONOR</v>
      </c>
      <c r="C6" s="45" t="str">
        <f>Master[[#This Row],[Inventory Prefix]]&amp;" "&amp;Master[[#This Row],[Inventory Number]]&amp;" "&amp;Master[[#This Row],[Inventory Suffix]]&amp;" "&amp;Master[[#This Row],[Inventory Type - Lookup Picker]]</f>
        <v>W6   SD</v>
      </c>
      <c r="D6" s="45" t="str">
        <f t="shared" si="1"/>
        <v>mm/yyyy</v>
      </c>
      <c r="E6" s="77" t="str">
        <f>IF(Master[[#This Row],[GERMS from DONOR (test date)]]="","",Master[[#This Row],[GERMS from DONOR (test date)]])</f>
        <v/>
      </c>
      <c r="I6" s="76" t="str">
        <f>IF(Master[[#This Row],[GERMS from DONOR (viability)]]="","",Master[[#This Row],[GERMS from DONOR (viability)]])</f>
        <v/>
      </c>
    </row>
    <row r="7" spans="1:25" x14ac:dyDescent="0.25">
      <c r="B7" t="str">
        <f t="shared" si="0"/>
        <v>W6.GERMS.FROM.DONOR</v>
      </c>
      <c r="C7" s="45" t="str">
        <f>Master[[#This Row],[Inventory Prefix]]&amp;" "&amp;Master[[#This Row],[Inventory Number]]&amp;" "&amp;Master[[#This Row],[Inventory Suffix]]&amp;" "&amp;Master[[#This Row],[Inventory Type - Lookup Picker]]</f>
        <v>W6   SD</v>
      </c>
      <c r="D7" s="45" t="str">
        <f t="shared" si="1"/>
        <v>mm/yyyy</v>
      </c>
      <c r="E7" s="77" t="str">
        <f>IF(Master[[#This Row],[GERMS from DONOR (test date)]]="","",Master[[#This Row],[GERMS from DONOR (test date)]])</f>
        <v/>
      </c>
      <c r="I7" s="76" t="str">
        <f>IF(Master[[#This Row],[GERMS from DONOR (viability)]]="","",Master[[#This Row],[GERMS from DONOR (viability)]])</f>
        <v/>
      </c>
    </row>
    <row r="8" spans="1:25" x14ac:dyDescent="0.25">
      <c r="B8" t="str">
        <f t="shared" si="0"/>
        <v>W6.GERMS.FROM.DONOR</v>
      </c>
      <c r="C8" s="45" t="str">
        <f>Master[[#This Row],[Inventory Prefix]]&amp;" "&amp;Master[[#This Row],[Inventory Number]]&amp;" "&amp;Master[[#This Row],[Inventory Suffix]]&amp;" "&amp;Master[[#This Row],[Inventory Type - Lookup Picker]]</f>
        <v>W6   SD</v>
      </c>
      <c r="D8" s="45" t="str">
        <f t="shared" si="1"/>
        <v>mm/yyyy</v>
      </c>
      <c r="E8" s="77" t="str">
        <f>IF(Master[[#This Row],[GERMS from DONOR (test date)]]="","",Master[[#This Row],[GERMS from DONOR (test date)]])</f>
        <v/>
      </c>
      <c r="I8" s="76" t="str">
        <f>IF(Master[[#This Row],[GERMS from DONOR (viability)]]="","",Master[[#This Row],[GERMS from DONOR (viability)]])</f>
        <v/>
      </c>
    </row>
    <row r="9" spans="1:25" x14ac:dyDescent="0.25">
      <c r="B9" t="str">
        <f t="shared" si="0"/>
        <v>W6.GERMS.FROM.DONOR</v>
      </c>
      <c r="C9" s="45" t="str">
        <f>Master[[#This Row],[Inventory Prefix]]&amp;" "&amp;Master[[#This Row],[Inventory Number]]&amp;" "&amp;Master[[#This Row],[Inventory Suffix]]&amp;" "&amp;Master[[#This Row],[Inventory Type - Lookup Picker]]</f>
        <v>W6   SD</v>
      </c>
      <c r="D9" s="45" t="str">
        <f t="shared" si="1"/>
        <v>mm/yyyy</v>
      </c>
      <c r="E9" s="77" t="str">
        <f>IF(Master[[#This Row],[GERMS from DONOR (test date)]]="","",Master[[#This Row],[GERMS from DONOR (test date)]])</f>
        <v/>
      </c>
      <c r="I9" s="76" t="str">
        <f>IF(Master[[#This Row],[GERMS from DONOR (viability)]]="","",Master[[#This Row],[GERMS from DONOR (viability)]])</f>
        <v/>
      </c>
    </row>
    <row r="10" spans="1:25" x14ac:dyDescent="0.25">
      <c r="B10" t="str">
        <f t="shared" si="0"/>
        <v>W6.GERMS.FROM.DONOR</v>
      </c>
      <c r="C10" s="45" t="str">
        <f>Master[[#This Row],[Inventory Prefix]]&amp;" "&amp;Master[[#This Row],[Inventory Number]]&amp;" "&amp;Master[[#This Row],[Inventory Suffix]]&amp;" "&amp;Master[[#This Row],[Inventory Type - Lookup Picker]]</f>
        <v>W6   SD</v>
      </c>
      <c r="D10" s="45" t="str">
        <f t="shared" si="1"/>
        <v>mm/yyyy</v>
      </c>
      <c r="E10" s="77" t="str">
        <f>IF(Master[[#This Row],[GERMS from DONOR (test date)]]="","",Master[[#This Row],[GERMS from DONOR (test date)]])</f>
        <v/>
      </c>
      <c r="I10" s="76" t="str">
        <f>IF(Master[[#This Row],[GERMS from DONOR (viability)]]="","",Master[[#This Row],[GERMS from DONOR (viability)]])</f>
        <v/>
      </c>
    </row>
    <row r="11" spans="1:25" x14ac:dyDescent="0.25">
      <c r="B11" t="str">
        <f t="shared" si="0"/>
        <v>W6.GERMS.FROM.DONOR</v>
      </c>
      <c r="C11" s="45" t="str">
        <f>Master[[#This Row],[Inventory Prefix]]&amp;" "&amp;Master[[#This Row],[Inventory Number]]&amp;" "&amp;Master[[#This Row],[Inventory Suffix]]&amp;" "&amp;Master[[#This Row],[Inventory Type - Lookup Picker]]</f>
        <v>W6   SD</v>
      </c>
      <c r="D11" s="45" t="str">
        <f t="shared" si="1"/>
        <v>mm/yyyy</v>
      </c>
      <c r="E11" s="77" t="str">
        <f>IF(Master[[#This Row],[GERMS from DONOR (test date)]]="","",Master[[#This Row],[GERMS from DONOR (test date)]])</f>
        <v/>
      </c>
      <c r="I11" s="76" t="str">
        <f>IF(Master[[#This Row],[GERMS from DONOR (viability)]]="","",Master[[#This Row],[GERMS from DONOR (viability)]])</f>
        <v/>
      </c>
    </row>
    <row r="12" spans="1:25" x14ac:dyDescent="0.25">
      <c r="B12" t="str">
        <f t="shared" si="0"/>
        <v>W6.GERMS.FROM.DONOR</v>
      </c>
      <c r="C12" s="45" t="str">
        <f>Master[[#This Row],[Inventory Prefix]]&amp;" "&amp;Master[[#This Row],[Inventory Number]]&amp;" "&amp;Master[[#This Row],[Inventory Suffix]]&amp;" "&amp;Master[[#This Row],[Inventory Type - Lookup Picker]]</f>
        <v>W6   SD</v>
      </c>
      <c r="D12" s="45" t="str">
        <f t="shared" si="1"/>
        <v>mm/yyyy</v>
      </c>
      <c r="E12" s="77" t="str">
        <f>IF(Master[[#This Row],[GERMS from DONOR (test date)]]="","",Master[[#This Row],[GERMS from DONOR (test date)]])</f>
        <v/>
      </c>
      <c r="I12" s="76" t="str">
        <f>IF(Master[[#This Row],[GERMS from DONOR (viability)]]="","",Master[[#This Row],[GERMS from DONOR (viability)]])</f>
        <v/>
      </c>
    </row>
    <row r="13" spans="1:25" x14ac:dyDescent="0.25">
      <c r="B13" t="str">
        <f t="shared" si="0"/>
        <v>W6.GERMS.FROM.DONOR</v>
      </c>
      <c r="C13" s="45" t="str">
        <f>Master[[#This Row],[Inventory Prefix]]&amp;" "&amp;Master[[#This Row],[Inventory Number]]&amp;" "&amp;Master[[#This Row],[Inventory Suffix]]&amp;" "&amp;Master[[#This Row],[Inventory Type - Lookup Picker]]</f>
        <v>W6   SD</v>
      </c>
      <c r="D13" s="45" t="str">
        <f t="shared" si="1"/>
        <v>mm/yyyy</v>
      </c>
      <c r="E13" s="77" t="str">
        <f>IF(Master[[#This Row],[GERMS from DONOR (test date)]]="","",Master[[#This Row],[GERMS from DONOR (test date)]])</f>
        <v/>
      </c>
      <c r="I13" s="76" t="str">
        <f>IF(Master[[#This Row],[GERMS from DONOR (viability)]]="","",Master[[#This Row],[GERMS from DONOR (viability)]])</f>
        <v/>
      </c>
    </row>
    <row r="14" spans="1:25" x14ac:dyDescent="0.25">
      <c r="B14" t="str">
        <f t="shared" si="0"/>
        <v>W6.GERMS.FROM.DONOR</v>
      </c>
      <c r="C14" s="45" t="str">
        <f>Master[[#This Row],[Inventory Prefix]]&amp;" "&amp;Master[[#This Row],[Inventory Number]]&amp;" "&amp;Master[[#This Row],[Inventory Suffix]]&amp;" "&amp;Master[[#This Row],[Inventory Type - Lookup Picker]]</f>
        <v>W6   SD</v>
      </c>
      <c r="D14" s="45" t="str">
        <f t="shared" si="1"/>
        <v>mm/yyyy</v>
      </c>
      <c r="E14" s="77" t="str">
        <f>IF(Master[[#This Row],[GERMS from DONOR (test date)]]="","",Master[[#This Row],[GERMS from DONOR (test date)]])</f>
        <v/>
      </c>
      <c r="I14" s="76" t="str">
        <f>IF(Master[[#This Row],[GERMS from DONOR (viability)]]="","",Master[[#This Row],[GERMS from DONOR (viability)]])</f>
        <v/>
      </c>
    </row>
    <row r="15" spans="1:25" x14ac:dyDescent="0.25">
      <c r="B15" t="str">
        <f t="shared" si="0"/>
        <v>W6.GERMS.FROM.DONOR</v>
      </c>
      <c r="C15" s="45" t="str">
        <f>Master[[#This Row],[Inventory Prefix]]&amp;" "&amp;Master[[#This Row],[Inventory Number]]&amp;" "&amp;Master[[#This Row],[Inventory Suffix]]&amp;" "&amp;Master[[#This Row],[Inventory Type - Lookup Picker]]</f>
        <v>W6   SD</v>
      </c>
      <c r="D15" s="45" t="str">
        <f t="shared" si="1"/>
        <v>mm/yyyy</v>
      </c>
      <c r="E15" s="77" t="str">
        <f>IF(Master[[#This Row],[GERMS from DONOR (test date)]]="","",Master[[#This Row],[GERMS from DONOR (test date)]])</f>
        <v/>
      </c>
      <c r="I15" s="76" t="str">
        <f>IF(Master[[#This Row],[GERMS from DONOR (viability)]]="","",Master[[#This Row],[GERMS from DONOR (viability)]])</f>
        <v/>
      </c>
    </row>
    <row r="16" spans="1:25" x14ac:dyDescent="0.25">
      <c r="B16" t="str">
        <f t="shared" si="0"/>
        <v>W6.GERMS.FROM.DONOR</v>
      </c>
      <c r="C16" s="45" t="str">
        <f>Master[[#This Row],[Inventory Prefix]]&amp;" "&amp;Master[[#This Row],[Inventory Number]]&amp;" "&amp;Master[[#This Row],[Inventory Suffix]]&amp;" "&amp;Master[[#This Row],[Inventory Type - Lookup Picker]]</f>
        <v>W6   SD</v>
      </c>
      <c r="D16" s="45" t="str">
        <f t="shared" si="1"/>
        <v>mm/yyyy</v>
      </c>
      <c r="E16" s="77" t="str">
        <f>IF(Master[[#This Row],[GERMS from DONOR (test date)]]="","",Master[[#This Row],[GERMS from DONOR (test date)]])</f>
        <v/>
      </c>
      <c r="I16" s="76" t="str">
        <f>IF(Master[[#This Row],[GERMS from DONOR (viability)]]="","",Master[[#This Row],[GERMS from DONOR (viability)]])</f>
        <v/>
      </c>
    </row>
    <row r="17" spans="2:9" x14ac:dyDescent="0.25">
      <c r="B17" t="str">
        <f t="shared" si="0"/>
        <v>W6.GERMS.FROM.DONOR</v>
      </c>
      <c r="C17" s="45" t="str">
        <f>Master[[#This Row],[Inventory Prefix]]&amp;" "&amp;Master[[#This Row],[Inventory Number]]&amp;" "&amp;Master[[#This Row],[Inventory Suffix]]&amp;" "&amp;Master[[#This Row],[Inventory Type - Lookup Picker]]</f>
        <v>W6   SD</v>
      </c>
      <c r="D17" s="45" t="str">
        <f t="shared" si="1"/>
        <v>mm/yyyy</v>
      </c>
      <c r="E17" s="77" t="str">
        <f>IF(Master[[#This Row],[GERMS from DONOR (test date)]]="","",Master[[#This Row],[GERMS from DONOR (test date)]])</f>
        <v/>
      </c>
      <c r="I17" s="76" t="str">
        <f>IF(Master[[#This Row],[GERMS from DONOR (viability)]]="","",Master[[#This Row],[GERMS from DONOR (viability)]])</f>
        <v/>
      </c>
    </row>
    <row r="18" spans="2:9" x14ac:dyDescent="0.25">
      <c r="B18" t="str">
        <f t="shared" si="0"/>
        <v>W6.GERMS.FROM.DONOR</v>
      </c>
      <c r="C18" s="45" t="str">
        <f>Master[[#This Row],[Inventory Prefix]]&amp;" "&amp;Master[[#This Row],[Inventory Number]]&amp;" "&amp;Master[[#This Row],[Inventory Suffix]]&amp;" "&amp;Master[[#This Row],[Inventory Type - Lookup Picker]]</f>
        <v>W6   SD</v>
      </c>
      <c r="D18" s="45" t="str">
        <f t="shared" si="1"/>
        <v>mm/yyyy</v>
      </c>
      <c r="E18" s="77" t="str">
        <f>IF(Master[[#This Row],[GERMS from DONOR (test date)]]="","",Master[[#This Row],[GERMS from DONOR (test date)]])</f>
        <v/>
      </c>
      <c r="I18" s="76" t="str">
        <f>IF(Master[[#This Row],[GERMS from DONOR (viability)]]="","",Master[[#This Row],[GERMS from DONOR (viability)]])</f>
        <v/>
      </c>
    </row>
    <row r="19" spans="2:9" x14ac:dyDescent="0.25">
      <c r="B19" t="str">
        <f t="shared" si="0"/>
        <v>W6.GERMS.FROM.DONOR</v>
      </c>
      <c r="C19" s="45" t="str">
        <f>Master[[#This Row],[Inventory Prefix]]&amp;" "&amp;Master[[#This Row],[Inventory Number]]&amp;" "&amp;Master[[#This Row],[Inventory Suffix]]&amp;" "&amp;Master[[#This Row],[Inventory Type - Lookup Picker]]</f>
        <v>W6   SD</v>
      </c>
      <c r="D19" s="45" t="str">
        <f t="shared" si="1"/>
        <v>mm/yyyy</v>
      </c>
      <c r="E19" s="77" t="str">
        <f>IF(Master[[#This Row],[GERMS from DONOR (test date)]]="","",Master[[#This Row],[GERMS from DONOR (test date)]])</f>
        <v/>
      </c>
      <c r="I19" s="76" t="str">
        <f>IF(Master[[#This Row],[GERMS from DONOR (viability)]]="","",Master[[#This Row],[GERMS from DONOR (viability)]])</f>
        <v/>
      </c>
    </row>
    <row r="20" spans="2:9" x14ac:dyDescent="0.25">
      <c r="B20" t="str">
        <f t="shared" si="0"/>
        <v>W6.GERMS.FROM.DONOR</v>
      </c>
      <c r="C20" s="45" t="str">
        <f>Master[[#This Row],[Inventory Prefix]]&amp;" "&amp;Master[[#This Row],[Inventory Number]]&amp;" "&amp;Master[[#This Row],[Inventory Suffix]]&amp;" "&amp;Master[[#This Row],[Inventory Type - Lookup Picker]]</f>
        <v>W6   SD</v>
      </c>
      <c r="D20" s="45" t="str">
        <f t="shared" si="1"/>
        <v>mm/yyyy</v>
      </c>
      <c r="E20" s="77" t="str">
        <f>IF(Master[[#This Row],[GERMS from DONOR (test date)]]="","",Master[[#This Row],[GERMS from DONOR (test date)]])</f>
        <v/>
      </c>
      <c r="I20" s="76" t="str">
        <f>IF(Master[[#This Row],[GERMS from DONOR (viability)]]="","",Master[[#This Row],[GERMS from DONOR (viability)]])</f>
        <v/>
      </c>
    </row>
    <row r="21" spans="2:9" x14ac:dyDescent="0.25">
      <c r="B21" t="str">
        <f t="shared" si="0"/>
        <v>W6.GERMS.FROM.DONOR</v>
      </c>
      <c r="C21" s="45" t="str">
        <f>Master[[#This Row],[Inventory Prefix]]&amp;" "&amp;Master[[#This Row],[Inventory Number]]&amp;" "&amp;Master[[#This Row],[Inventory Suffix]]&amp;" "&amp;Master[[#This Row],[Inventory Type - Lookup Picker]]</f>
        <v>W6   SD</v>
      </c>
      <c r="D21" s="45" t="str">
        <f t="shared" si="1"/>
        <v>mm/yyyy</v>
      </c>
      <c r="E21" s="77" t="str">
        <f>IF(Master[[#This Row],[GERMS from DONOR (test date)]]="","",Master[[#This Row],[GERMS from DONOR (test date)]])</f>
        <v/>
      </c>
      <c r="I21" s="76" t="str">
        <f>IF(Master[[#This Row],[GERMS from DONOR (viability)]]="","",Master[[#This Row],[GERMS from DONOR (viability)]])</f>
        <v/>
      </c>
    </row>
    <row r="22" spans="2:9" x14ac:dyDescent="0.25">
      <c r="B22" t="str">
        <f t="shared" si="0"/>
        <v>W6.GERMS.FROM.DONOR</v>
      </c>
      <c r="C22" s="45" t="str">
        <f>Master[[#This Row],[Inventory Prefix]]&amp;" "&amp;Master[[#This Row],[Inventory Number]]&amp;" "&amp;Master[[#This Row],[Inventory Suffix]]&amp;" "&amp;Master[[#This Row],[Inventory Type - Lookup Picker]]</f>
        <v>W6   SD</v>
      </c>
      <c r="D22" s="45" t="str">
        <f t="shared" si="1"/>
        <v>mm/yyyy</v>
      </c>
      <c r="E22" s="77" t="str">
        <f>IF(Master[[#This Row],[GERMS from DONOR (test date)]]="","",Master[[#This Row],[GERMS from DONOR (test date)]])</f>
        <v/>
      </c>
      <c r="I22" s="76" t="str">
        <f>IF(Master[[#This Row],[GERMS from DONOR (viability)]]="","",Master[[#This Row],[GERMS from DONOR (viability)]])</f>
        <v/>
      </c>
    </row>
    <row r="23" spans="2:9" x14ac:dyDescent="0.25">
      <c r="B23" t="str">
        <f t="shared" si="0"/>
        <v>W6.GERMS.FROM.DONOR</v>
      </c>
      <c r="C23" s="45" t="str">
        <f>Master[[#This Row],[Inventory Prefix]]&amp;" "&amp;Master[[#This Row],[Inventory Number]]&amp;" "&amp;Master[[#This Row],[Inventory Suffix]]&amp;" "&amp;Master[[#This Row],[Inventory Type - Lookup Picker]]</f>
        <v>W6   SD</v>
      </c>
      <c r="D23" s="45" t="str">
        <f t="shared" si="1"/>
        <v>mm/yyyy</v>
      </c>
      <c r="E23" s="77" t="str">
        <f>IF(Master[[#This Row],[GERMS from DONOR (test date)]]="","",Master[[#This Row],[GERMS from DONOR (test date)]])</f>
        <v/>
      </c>
      <c r="I23" s="76" t="str">
        <f>IF(Master[[#This Row],[GERMS from DONOR (viability)]]="","",Master[[#This Row],[GERMS from DONOR (viability)]])</f>
        <v/>
      </c>
    </row>
    <row r="24" spans="2:9" x14ac:dyDescent="0.25">
      <c r="B24" t="str">
        <f t="shared" si="0"/>
        <v>W6.GERMS.FROM.DONOR</v>
      </c>
      <c r="C24" s="45" t="str">
        <f>Master[[#This Row],[Inventory Prefix]]&amp;" "&amp;Master[[#This Row],[Inventory Number]]&amp;" "&amp;Master[[#This Row],[Inventory Suffix]]&amp;" "&amp;Master[[#This Row],[Inventory Type - Lookup Picker]]</f>
        <v>W6   SD</v>
      </c>
      <c r="D24" s="45" t="str">
        <f t="shared" si="1"/>
        <v>mm/yyyy</v>
      </c>
      <c r="E24" s="77" t="str">
        <f>IF(Master[[#This Row],[GERMS from DONOR (test date)]]="","",Master[[#This Row],[GERMS from DONOR (test date)]])</f>
        <v/>
      </c>
      <c r="I24" s="76" t="str">
        <f>IF(Master[[#This Row],[GERMS from DONOR (viability)]]="","",Master[[#This Row],[GERMS from DONOR (viability)]])</f>
        <v/>
      </c>
    </row>
    <row r="25" spans="2:9" x14ac:dyDescent="0.25">
      <c r="B25" t="str">
        <f t="shared" si="0"/>
        <v>W6.GERMS.FROM.DONOR</v>
      </c>
      <c r="C25" s="45" t="str">
        <f>Master[[#This Row],[Inventory Prefix]]&amp;" "&amp;Master[[#This Row],[Inventory Number]]&amp;" "&amp;Master[[#This Row],[Inventory Suffix]]&amp;" "&amp;Master[[#This Row],[Inventory Type - Lookup Picker]]</f>
        <v>W6   SD</v>
      </c>
      <c r="D25" s="45" t="str">
        <f t="shared" si="1"/>
        <v>mm/yyyy</v>
      </c>
      <c r="E25" s="77" t="str">
        <f>IF(Master[[#This Row],[GERMS from DONOR (test date)]]="","",Master[[#This Row],[GERMS from DONOR (test date)]])</f>
        <v/>
      </c>
      <c r="I25" s="76" t="str">
        <f>IF(Master[[#This Row],[GERMS from DONOR (viability)]]="","",Master[[#This Row],[GERMS from DONOR (viability)]])</f>
        <v/>
      </c>
    </row>
    <row r="26" spans="2:9" x14ac:dyDescent="0.25">
      <c r="B26" t="str">
        <f t="shared" si="0"/>
        <v>W6.GERMS.FROM.DONOR</v>
      </c>
      <c r="C26" s="45" t="str">
        <f>Master[[#This Row],[Inventory Prefix]]&amp;" "&amp;Master[[#This Row],[Inventory Number]]&amp;" "&amp;Master[[#This Row],[Inventory Suffix]]&amp;" "&amp;Master[[#This Row],[Inventory Type - Lookup Picker]]</f>
        <v>W6   SD</v>
      </c>
      <c r="D26" s="45" t="str">
        <f t="shared" si="1"/>
        <v>mm/yyyy</v>
      </c>
      <c r="E26" s="77" t="str">
        <f>IF(Master[[#This Row],[GERMS from DONOR (test date)]]="","",Master[[#This Row],[GERMS from DONOR (test date)]])</f>
        <v/>
      </c>
      <c r="I26" s="76" t="str">
        <f>IF(Master[[#This Row],[GERMS from DONOR (viability)]]="","",Master[[#This Row],[GERMS from DONOR (viability)]])</f>
        <v/>
      </c>
    </row>
    <row r="27" spans="2:9" x14ac:dyDescent="0.25">
      <c r="B27" t="str">
        <f t="shared" si="0"/>
        <v>W6.GERMS.FROM.DONOR</v>
      </c>
      <c r="C27" s="45" t="str">
        <f>Master[[#This Row],[Inventory Prefix]]&amp;" "&amp;Master[[#This Row],[Inventory Number]]&amp;" "&amp;Master[[#This Row],[Inventory Suffix]]&amp;" "&amp;Master[[#This Row],[Inventory Type - Lookup Picker]]</f>
        <v>W6   SD</v>
      </c>
      <c r="D27" s="45" t="str">
        <f t="shared" si="1"/>
        <v>mm/yyyy</v>
      </c>
      <c r="E27" s="77" t="str">
        <f>IF(Master[[#This Row],[GERMS from DONOR (test date)]]="","",Master[[#This Row],[GERMS from DONOR (test date)]])</f>
        <v/>
      </c>
      <c r="I27" s="76" t="str">
        <f>IF(Master[[#This Row],[GERMS from DONOR (viability)]]="","",Master[[#This Row],[GERMS from DONOR (viability)]])</f>
        <v/>
      </c>
    </row>
    <row r="28" spans="2:9" x14ac:dyDescent="0.25">
      <c r="B28" t="str">
        <f t="shared" si="0"/>
        <v>W6.GERMS.FROM.DONOR</v>
      </c>
      <c r="C28" s="45" t="str">
        <f>Master[[#This Row],[Inventory Prefix]]&amp;" "&amp;Master[[#This Row],[Inventory Number]]&amp;" "&amp;Master[[#This Row],[Inventory Suffix]]&amp;" "&amp;Master[[#This Row],[Inventory Type - Lookup Picker]]</f>
        <v>W6   SD</v>
      </c>
      <c r="D28" s="45" t="str">
        <f t="shared" si="1"/>
        <v>mm/yyyy</v>
      </c>
      <c r="E28" s="77" t="str">
        <f>IF(Master[[#This Row],[GERMS from DONOR (test date)]]="","",Master[[#This Row],[GERMS from DONOR (test date)]])</f>
        <v/>
      </c>
      <c r="I28" s="76" t="str">
        <f>IF(Master[[#This Row],[GERMS from DONOR (viability)]]="","",Master[[#This Row],[GERMS from DONOR (viability)]])</f>
        <v/>
      </c>
    </row>
    <row r="29" spans="2:9" x14ac:dyDescent="0.25">
      <c r="B29" t="str">
        <f t="shared" si="0"/>
        <v>W6.GERMS.FROM.DONOR</v>
      </c>
      <c r="C29" s="45" t="str">
        <f>Master[[#This Row],[Inventory Prefix]]&amp;" "&amp;Master[[#This Row],[Inventory Number]]&amp;" "&amp;Master[[#This Row],[Inventory Suffix]]&amp;" "&amp;Master[[#This Row],[Inventory Type - Lookup Picker]]</f>
        <v>W6   SD</v>
      </c>
      <c r="D29" s="45" t="str">
        <f t="shared" si="1"/>
        <v>mm/yyyy</v>
      </c>
      <c r="E29" s="77" t="str">
        <f>IF(Master[[#This Row],[GERMS from DONOR (test date)]]="","",Master[[#This Row],[GERMS from DONOR (test date)]])</f>
        <v/>
      </c>
      <c r="I29" s="76" t="str">
        <f>IF(Master[[#This Row],[GERMS from DONOR (viability)]]="","",Master[[#This Row],[GERMS from DONOR (viability)]])</f>
        <v/>
      </c>
    </row>
    <row r="30" spans="2:9" x14ac:dyDescent="0.25">
      <c r="B30" t="str">
        <f t="shared" si="0"/>
        <v>W6.GERMS.FROM.DONOR</v>
      </c>
      <c r="C30" s="45" t="str">
        <f>Master[[#This Row],[Inventory Prefix]]&amp;" "&amp;Master[[#This Row],[Inventory Number]]&amp;" "&amp;Master[[#This Row],[Inventory Suffix]]&amp;" "&amp;Master[[#This Row],[Inventory Type - Lookup Picker]]</f>
        <v>W6   SD</v>
      </c>
      <c r="D30" s="45" t="str">
        <f t="shared" si="1"/>
        <v>mm/yyyy</v>
      </c>
      <c r="E30" s="77" t="str">
        <f>IF(Master[[#This Row],[GERMS from DONOR (test date)]]="","",Master[[#This Row],[GERMS from DONOR (test date)]])</f>
        <v/>
      </c>
      <c r="I30" s="76" t="str">
        <f>IF(Master[[#This Row],[GERMS from DONOR (viability)]]="","",Master[[#This Row],[GERMS from DONOR (viability)]])</f>
        <v/>
      </c>
    </row>
    <row r="31" spans="2:9" x14ac:dyDescent="0.25">
      <c r="B31" t="str">
        <f t="shared" si="0"/>
        <v>W6.GERMS.FROM.DONOR</v>
      </c>
      <c r="C31" s="45" t="str">
        <f>Master[[#This Row],[Inventory Prefix]]&amp;" "&amp;Master[[#This Row],[Inventory Number]]&amp;" "&amp;Master[[#This Row],[Inventory Suffix]]&amp;" "&amp;Master[[#This Row],[Inventory Type - Lookup Picker]]</f>
        <v>W6   SD</v>
      </c>
      <c r="D31" s="45" t="str">
        <f t="shared" si="1"/>
        <v>mm/yyyy</v>
      </c>
      <c r="E31" s="77" t="str">
        <f>IF(Master[[#This Row],[GERMS from DONOR (test date)]]="","",Master[[#This Row],[GERMS from DONOR (test date)]])</f>
        <v/>
      </c>
      <c r="I31" s="76" t="str">
        <f>IF(Master[[#This Row],[GERMS from DONOR (viability)]]="","",Master[[#This Row],[GERMS from DONOR (viability)]])</f>
        <v/>
      </c>
    </row>
    <row r="32" spans="2:9" x14ac:dyDescent="0.25">
      <c r="B32" t="str">
        <f t="shared" si="0"/>
        <v>W6.GERMS.FROM.DONOR</v>
      </c>
      <c r="C32" s="45" t="str">
        <f>Master[[#This Row],[Inventory Prefix]]&amp;" "&amp;Master[[#This Row],[Inventory Number]]&amp;" "&amp;Master[[#This Row],[Inventory Suffix]]&amp;" "&amp;Master[[#This Row],[Inventory Type - Lookup Picker]]</f>
        <v>W6   SD</v>
      </c>
      <c r="D32" s="45" t="str">
        <f t="shared" si="1"/>
        <v>mm/yyyy</v>
      </c>
      <c r="E32" s="77" t="str">
        <f>IF(Master[[#This Row],[GERMS from DONOR (test date)]]="","",Master[[#This Row],[GERMS from DONOR (test date)]])</f>
        <v/>
      </c>
      <c r="I32" s="76" t="str">
        <f>IF(Master[[#This Row],[GERMS from DONOR (viability)]]="","",Master[[#This Row],[GERMS from DONOR (viability)]])</f>
        <v/>
      </c>
    </row>
    <row r="33" spans="2:9" x14ac:dyDescent="0.25">
      <c r="B33" t="str">
        <f t="shared" si="0"/>
        <v>W6.GERMS.FROM.DONOR</v>
      </c>
      <c r="C33" s="45" t="str">
        <f>Master[[#This Row],[Inventory Prefix]]&amp;" "&amp;Master[[#This Row],[Inventory Number]]&amp;" "&amp;Master[[#This Row],[Inventory Suffix]]&amp;" "&amp;Master[[#This Row],[Inventory Type - Lookup Picker]]</f>
        <v>W6   SD</v>
      </c>
      <c r="D33" s="45" t="str">
        <f t="shared" si="1"/>
        <v>mm/yyyy</v>
      </c>
      <c r="E33" s="77" t="str">
        <f>IF(Master[[#This Row],[GERMS from DONOR (test date)]]="","",Master[[#This Row],[GERMS from DONOR (test date)]])</f>
        <v/>
      </c>
      <c r="I33" s="76" t="str">
        <f>IF(Master[[#This Row],[GERMS from DONOR (viability)]]="","",Master[[#This Row],[GERMS from DONOR (viability)]])</f>
        <v/>
      </c>
    </row>
    <row r="34" spans="2:9" x14ac:dyDescent="0.25">
      <c r="B34" t="str">
        <f t="shared" ref="B34:B65" si="2">"W6.GERMS.FROM.DONOR"</f>
        <v>W6.GERMS.FROM.DONOR</v>
      </c>
      <c r="C34" s="45" t="str">
        <f>Master[[#This Row],[Inventory Prefix]]&amp;" "&amp;Master[[#This Row],[Inventory Number]]&amp;" "&amp;Master[[#This Row],[Inventory Suffix]]&amp;" "&amp;Master[[#This Row],[Inventory Type - Lookup Picker]]</f>
        <v>W6   SD</v>
      </c>
      <c r="D34" s="45" t="str">
        <f t="shared" si="1"/>
        <v>mm/yyyy</v>
      </c>
      <c r="E34" s="77" t="str">
        <f>IF(Master[[#This Row],[GERMS from DONOR (test date)]]="","",Master[[#This Row],[GERMS from DONOR (test date)]])</f>
        <v/>
      </c>
      <c r="I34" s="76" t="str">
        <f>IF(Master[[#This Row],[GERMS from DONOR (viability)]]="","",Master[[#This Row],[GERMS from DONOR (viability)]])</f>
        <v/>
      </c>
    </row>
    <row r="35" spans="2:9" x14ac:dyDescent="0.25">
      <c r="B35" t="str">
        <f t="shared" si="2"/>
        <v>W6.GERMS.FROM.DONOR</v>
      </c>
      <c r="C35" s="45" t="str">
        <f>Master[[#This Row],[Inventory Prefix]]&amp;" "&amp;Master[[#This Row],[Inventory Number]]&amp;" "&amp;Master[[#This Row],[Inventory Suffix]]&amp;" "&amp;Master[[#This Row],[Inventory Type - Lookup Picker]]</f>
        <v>W6   SD</v>
      </c>
      <c r="D35" s="45" t="str">
        <f t="shared" si="1"/>
        <v>mm/yyyy</v>
      </c>
      <c r="E35" s="77" t="str">
        <f>IF(Master[[#This Row],[GERMS from DONOR (test date)]]="","",Master[[#This Row],[GERMS from DONOR (test date)]])</f>
        <v/>
      </c>
      <c r="I35" s="76" t="str">
        <f>IF(Master[[#This Row],[GERMS from DONOR (viability)]]="","",Master[[#This Row],[GERMS from DONOR (viability)]])</f>
        <v/>
      </c>
    </row>
    <row r="36" spans="2:9" x14ac:dyDescent="0.25">
      <c r="B36" t="str">
        <f t="shared" si="2"/>
        <v>W6.GERMS.FROM.DONOR</v>
      </c>
      <c r="C36" s="45" t="str">
        <f>Master[[#This Row],[Inventory Prefix]]&amp;" "&amp;Master[[#This Row],[Inventory Number]]&amp;" "&amp;Master[[#This Row],[Inventory Suffix]]&amp;" "&amp;Master[[#This Row],[Inventory Type - Lookup Picker]]</f>
        <v>W6   SD</v>
      </c>
      <c r="D36" s="45" t="str">
        <f t="shared" ref="D36:D67" si="3">"mm/yyyy"</f>
        <v>mm/yyyy</v>
      </c>
      <c r="E36" s="77" t="str">
        <f>IF(Master[[#This Row],[GERMS from DONOR (test date)]]="","",Master[[#This Row],[GERMS from DONOR (test date)]])</f>
        <v/>
      </c>
      <c r="I36" s="76" t="str">
        <f>IF(Master[[#This Row],[GERMS from DONOR (viability)]]="","",Master[[#This Row],[GERMS from DONOR (viability)]])</f>
        <v/>
      </c>
    </row>
    <row r="37" spans="2:9" x14ac:dyDescent="0.25">
      <c r="B37" t="str">
        <f t="shared" si="2"/>
        <v>W6.GERMS.FROM.DONOR</v>
      </c>
      <c r="C37" s="45" t="str">
        <f>Master[[#This Row],[Inventory Prefix]]&amp;" "&amp;Master[[#This Row],[Inventory Number]]&amp;" "&amp;Master[[#This Row],[Inventory Suffix]]&amp;" "&amp;Master[[#This Row],[Inventory Type - Lookup Picker]]</f>
        <v>W6   SD</v>
      </c>
      <c r="D37" s="45" t="str">
        <f t="shared" si="3"/>
        <v>mm/yyyy</v>
      </c>
      <c r="E37" s="77" t="str">
        <f>IF(Master[[#This Row],[GERMS from DONOR (test date)]]="","",Master[[#This Row],[GERMS from DONOR (test date)]])</f>
        <v/>
      </c>
      <c r="I37" s="76" t="str">
        <f>IF(Master[[#This Row],[GERMS from DONOR (viability)]]="","",Master[[#This Row],[GERMS from DONOR (viability)]])</f>
        <v/>
      </c>
    </row>
    <row r="38" spans="2:9" x14ac:dyDescent="0.25">
      <c r="B38" t="str">
        <f t="shared" si="2"/>
        <v>W6.GERMS.FROM.DONOR</v>
      </c>
      <c r="C38" s="45" t="str">
        <f>Master[[#This Row],[Inventory Prefix]]&amp;" "&amp;Master[[#This Row],[Inventory Number]]&amp;" "&amp;Master[[#This Row],[Inventory Suffix]]&amp;" "&amp;Master[[#This Row],[Inventory Type - Lookup Picker]]</f>
        <v>W6   SD</v>
      </c>
      <c r="D38" s="45" t="str">
        <f t="shared" si="3"/>
        <v>mm/yyyy</v>
      </c>
      <c r="E38" s="77" t="str">
        <f>IF(Master[[#This Row],[GERMS from DONOR (test date)]]="","",Master[[#This Row],[GERMS from DONOR (test date)]])</f>
        <v/>
      </c>
      <c r="I38" s="76" t="str">
        <f>IF(Master[[#This Row],[GERMS from DONOR (viability)]]="","",Master[[#This Row],[GERMS from DONOR (viability)]])</f>
        <v/>
      </c>
    </row>
    <row r="39" spans="2:9" x14ac:dyDescent="0.25">
      <c r="B39" t="str">
        <f t="shared" si="2"/>
        <v>W6.GERMS.FROM.DONOR</v>
      </c>
      <c r="C39" s="45" t="str">
        <f>Master[[#This Row],[Inventory Prefix]]&amp;" "&amp;Master[[#This Row],[Inventory Number]]&amp;" "&amp;Master[[#This Row],[Inventory Suffix]]&amp;" "&amp;Master[[#This Row],[Inventory Type - Lookup Picker]]</f>
        <v>W6   SD</v>
      </c>
      <c r="D39" s="45" t="str">
        <f t="shared" si="3"/>
        <v>mm/yyyy</v>
      </c>
      <c r="E39" s="77" t="str">
        <f>IF(Master[[#This Row],[GERMS from DONOR (test date)]]="","",Master[[#This Row],[GERMS from DONOR (test date)]])</f>
        <v/>
      </c>
      <c r="I39" s="76" t="str">
        <f>IF(Master[[#This Row],[GERMS from DONOR (viability)]]="","",Master[[#This Row],[GERMS from DONOR (viability)]])</f>
        <v/>
      </c>
    </row>
    <row r="40" spans="2:9" x14ac:dyDescent="0.25">
      <c r="B40" t="str">
        <f t="shared" si="2"/>
        <v>W6.GERMS.FROM.DONOR</v>
      </c>
      <c r="C40" s="45" t="str">
        <f>Master[[#This Row],[Inventory Prefix]]&amp;" "&amp;Master[[#This Row],[Inventory Number]]&amp;" "&amp;Master[[#This Row],[Inventory Suffix]]&amp;" "&amp;Master[[#This Row],[Inventory Type - Lookup Picker]]</f>
        <v>W6   SD</v>
      </c>
      <c r="D40" s="45" t="str">
        <f t="shared" si="3"/>
        <v>mm/yyyy</v>
      </c>
      <c r="E40" s="77" t="str">
        <f>IF(Master[[#This Row],[GERMS from DONOR (test date)]]="","",Master[[#This Row],[GERMS from DONOR (test date)]])</f>
        <v/>
      </c>
      <c r="I40" s="76" t="str">
        <f>IF(Master[[#This Row],[GERMS from DONOR (viability)]]="","",Master[[#This Row],[GERMS from DONOR (viability)]])</f>
        <v/>
      </c>
    </row>
    <row r="41" spans="2:9" x14ac:dyDescent="0.25">
      <c r="B41" t="str">
        <f t="shared" si="2"/>
        <v>W6.GERMS.FROM.DONOR</v>
      </c>
      <c r="C41" s="45" t="str">
        <f>Master[[#This Row],[Inventory Prefix]]&amp;" "&amp;Master[[#This Row],[Inventory Number]]&amp;" "&amp;Master[[#This Row],[Inventory Suffix]]&amp;" "&amp;Master[[#This Row],[Inventory Type - Lookup Picker]]</f>
        <v>W6   SD</v>
      </c>
      <c r="D41" s="45" t="str">
        <f t="shared" si="3"/>
        <v>mm/yyyy</v>
      </c>
      <c r="E41" s="77" t="str">
        <f>IF(Master[[#This Row],[GERMS from DONOR (test date)]]="","",Master[[#This Row],[GERMS from DONOR (test date)]])</f>
        <v/>
      </c>
      <c r="I41" s="76" t="str">
        <f>IF(Master[[#This Row],[GERMS from DONOR (viability)]]="","",Master[[#This Row],[GERMS from DONOR (viability)]])</f>
        <v/>
      </c>
    </row>
    <row r="42" spans="2:9" x14ac:dyDescent="0.25">
      <c r="B42" t="str">
        <f t="shared" si="2"/>
        <v>W6.GERMS.FROM.DONOR</v>
      </c>
      <c r="C42" s="45" t="str">
        <f>Master[[#This Row],[Inventory Prefix]]&amp;" "&amp;Master[[#This Row],[Inventory Number]]&amp;" "&amp;Master[[#This Row],[Inventory Suffix]]&amp;" "&amp;Master[[#This Row],[Inventory Type - Lookup Picker]]</f>
        <v>W6   SD</v>
      </c>
      <c r="D42" s="45" t="str">
        <f t="shared" si="3"/>
        <v>mm/yyyy</v>
      </c>
      <c r="E42" s="77" t="str">
        <f>IF(Master[[#This Row],[GERMS from DONOR (test date)]]="","",Master[[#This Row],[GERMS from DONOR (test date)]])</f>
        <v/>
      </c>
      <c r="I42" s="76" t="str">
        <f>IF(Master[[#This Row],[GERMS from DONOR (viability)]]="","",Master[[#This Row],[GERMS from DONOR (viability)]])</f>
        <v/>
      </c>
    </row>
    <row r="43" spans="2:9" x14ac:dyDescent="0.25">
      <c r="B43" t="str">
        <f t="shared" si="2"/>
        <v>W6.GERMS.FROM.DONOR</v>
      </c>
      <c r="C43" s="45" t="str">
        <f>Master[[#This Row],[Inventory Prefix]]&amp;" "&amp;Master[[#This Row],[Inventory Number]]&amp;" "&amp;Master[[#This Row],[Inventory Suffix]]&amp;" "&amp;Master[[#This Row],[Inventory Type - Lookup Picker]]</f>
        <v>W6   SD</v>
      </c>
      <c r="D43" s="45" t="str">
        <f t="shared" si="3"/>
        <v>mm/yyyy</v>
      </c>
      <c r="E43" s="77" t="str">
        <f>IF(Master[[#This Row],[GERMS from DONOR (test date)]]="","",Master[[#This Row],[GERMS from DONOR (test date)]])</f>
        <v/>
      </c>
      <c r="I43" s="76" t="str">
        <f>IF(Master[[#This Row],[GERMS from DONOR (viability)]]="","",Master[[#This Row],[GERMS from DONOR (viability)]])</f>
        <v/>
      </c>
    </row>
    <row r="44" spans="2:9" x14ac:dyDescent="0.25">
      <c r="B44" t="str">
        <f t="shared" si="2"/>
        <v>W6.GERMS.FROM.DONOR</v>
      </c>
      <c r="C44" s="45" t="str">
        <f>Master[[#This Row],[Inventory Prefix]]&amp;" "&amp;Master[[#This Row],[Inventory Number]]&amp;" "&amp;Master[[#This Row],[Inventory Suffix]]&amp;" "&amp;Master[[#This Row],[Inventory Type - Lookup Picker]]</f>
        <v>W6   SD</v>
      </c>
      <c r="D44" s="45" t="str">
        <f t="shared" si="3"/>
        <v>mm/yyyy</v>
      </c>
      <c r="E44" s="77" t="str">
        <f>IF(Master[[#This Row],[GERMS from DONOR (test date)]]="","",Master[[#This Row],[GERMS from DONOR (test date)]])</f>
        <v/>
      </c>
      <c r="I44" s="76" t="str">
        <f>IF(Master[[#This Row],[GERMS from DONOR (viability)]]="","",Master[[#This Row],[GERMS from DONOR (viability)]])</f>
        <v/>
      </c>
    </row>
    <row r="45" spans="2:9" x14ac:dyDescent="0.25">
      <c r="B45" t="str">
        <f t="shared" si="2"/>
        <v>W6.GERMS.FROM.DONOR</v>
      </c>
      <c r="C45" s="45" t="str">
        <f>Master[[#This Row],[Inventory Prefix]]&amp;" "&amp;Master[[#This Row],[Inventory Number]]&amp;" "&amp;Master[[#This Row],[Inventory Suffix]]&amp;" "&amp;Master[[#This Row],[Inventory Type - Lookup Picker]]</f>
        <v>W6   SD</v>
      </c>
      <c r="D45" s="45" t="str">
        <f t="shared" si="3"/>
        <v>mm/yyyy</v>
      </c>
      <c r="E45" s="77" t="str">
        <f>IF(Master[[#This Row],[GERMS from DONOR (test date)]]="","",Master[[#This Row],[GERMS from DONOR (test date)]])</f>
        <v/>
      </c>
      <c r="I45" s="76" t="str">
        <f>IF(Master[[#This Row],[GERMS from DONOR (viability)]]="","",Master[[#This Row],[GERMS from DONOR (viability)]])</f>
        <v/>
      </c>
    </row>
    <row r="46" spans="2:9" x14ac:dyDescent="0.25">
      <c r="B46" t="str">
        <f t="shared" si="2"/>
        <v>W6.GERMS.FROM.DONOR</v>
      </c>
      <c r="C46" s="45" t="str">
        <f>Master[[#This Row],[Inventory Prefix]]&amp;" "&amp;Master[[#This Row],[Inventory Number]]&amp;" "&amp;Master[[#This Row],[Inventory Suffix]]&amp;" "&amp;Master[[#This Row],[Inventory Type - Lookup Picker]]</f>
        <v>W6   SD</v>
      </c>
      <c r="D46" s="45" t="str">
        <f t="shared" si="3"/>
        <v>mm/yyyy</v>
      </c>
      <c r="E46" s="77" t="str">
        <f>IF(Master[[#This Row],[GERMS from DONOR (test date)]]="","",Master[[#This Row],[GERMS from DONOR (test date)]])</f>
        <v/>
      </c>
      <c r="I46" s="76" t="str">
        <f>IF(Master[[#This Row],[GERMS from DONOR (viability)]]="","",Master[[#This Row],[GERMS from DONOR (viability)]])</f>
        <v/>
      </c>
    </row>
    <row r="47" spans="2:9" x14ac:dyDescent="0.25">
      <c r="B47" t="str">
        <f t="shared" si="2"/>
        <v>W6.GERMS.FROM.DONOR</v>
      </c>
      <c r="C47" s="45" t="str">
        <f>Master[[#This Row],[Inventory Prefix]]&amp;" "&amp;Master[[#This Row],[Inventory Number]]&amp;" "&amp;Master[[#This Row],[Inventory Suffix]]&amp;" "&amp;Master[[#This Row],[Inventory Type - Lookup Picker]]</f>
        <v>W6   SD</v>
      </c>
      <c r="D47" s="45" t="str">
        <f t="shared" si="3"/>
        <v>mm/yyyy</v>
      </c>
      <c r="E47" s="77" t="str">
        <f>IF(Master[[#This Row],[GERMS from DONOR (test date)]]="","",Master[[#This Row],[GERMS from DONOR (test date)]])</f>
        <v/>
      </c>
      <c r="I47" s="76" t="str">
        <f>IF(Master[[#This Row],[GERMS from DONOR (viability)]]="","",Master[[#This Row],[GERMS from DONOR (viability)]])</f>
        <v/>
      </c>
    </row>
    <row r="48" spans="2:9" x14ac:dyDescent="0.25">
      <c r="B48" t="str">
        <f t="shared" si="2"/>
        <v>W6.GERMS.FROM.DONOR</v>
      </c>
      <c r="C48" s="45" t="str">
        <f>Master[[#This Row],[Inventory Prefix]]&amp;" "&amp;Master[[#This Row],[Inventory Number]]&amp;" "&amp;Master[[#This Row],[Inventory Suffix]]&amp;" "&amp;Master[[#This Row],[Inventory Type - Lookup Picker]]</f>
        <v>W6   SD</v>
      </c>
      <c r="D48" s="45" t="str">
        <f t="shared" si="3"/>
        <v>mm/yyyy</v>
      </c>
      <c r="E48" s="77" t="str">
        <f>IF(Master[[#This Row],[GERMS from DONOR (test date)]]="","",Master[[#This Row],[GERMS from DONOR (test date)]])</f>
        <v/>
      </c>
      <c r="I48" s="76" t="str">
        <f>IF(Master[[#This Row],[GERMS from DONOR (viability)]]="","",Master[[#This Row],[GERMS from DONOR (viability)]])</f>
        <v/>
      </c>
    </row>
    <row r="49" spans="2:9" x14ac:dyDescent="0.25">
      <c r="B49" t="str">
        <f t="shared" si="2"/>
        <v>W6.GERMS.FROM.DONOR</v>
      </c>
      <c r="C49" s="45" t="str">
        <f>Master[[#This Row],[Inventory Prefix]]&amp;" "&amp;Master[[#This Row],[Inventory Number]]&amp;" "&amp;Master[[#This Row],[Inventory Suffix]]&amp;" "&amp;Master[[#This Row],[Inventory Type - Lookup Picker]]</f>
        <v>W6   SD</v>
      </c>
      <c r="D49" s="45" t="str">
        <f t="shared" si="3"/>
        <v>mm/yyyy</v>
      </c>
      <c r="E49" s="77" t="str">
        <f>IF(Master[[#This Row],[GERMS from DONOR (test date)]]="","",Master[[#This Row],[GERMS from DONOR (test date)]])</f>
        <v/>
      </c>
      <c r="I49" s="76" t="str">
        <f>IF(Master[[#This Row],[GERMS from DONOR (viability)]]="","",Master[[#This Row],[GERMS from DONOR (viability)]])</f>
        <v/>
      </c>
    </row>
    <row r="50" spans="2:9" x14ac:dyDescent="0.25">
      <c r="B50" t="str">
        <f t="shared" si="2"/>
        <v>W6.GERMS.FROM.DONOR</v>
      </c>
      <c r="C50" s="45" t="str">
        <f>Master[[#This Row],[Inventory Prefix]]&amp;" "&amp;Master[[#This Row],[Inventory Number]]&amp;" "&amp;Master[[#This Row],[Inventory Suffix]]&amp;" "&amp;Master[[#This Row],[Inventory Type - Lookup Picker]]</f>
        <v>W6   SD</v>
      </c>
      <c r="D50" s="45" t="str">
        <f t="shared" si="3"/>
        <v>mm/yyyy</v>
      </c>
      <c r="E50" s="77" t="str">
        <f>IF(Master[[#This Row],[GERMS from DONOR (test date)]]="","",Master[[#This Row],[GERMS from DONOR (test date)]])</f>
        <v/>
      </c>
      <c r="I50" s="76" t="str">
        <f>IF(Master[[#This Row],[GERMS from DONOR (viability)]]="","",Master[[#This Row],[GERMS from DONOR (viability)]])</f>
        <v/>
      </c>
    </row>
    <row r="51" spans="2:9" x14ac:dyDescent="0.25">
      <c r="B51" t="str">
        <f t="shared" si="2"/>
        <v>W6.GERMS.FROM.DONOR</v>
      </c>
      <c r="C51" s="45" t="str">
        <f>Master[[#This Row],[Inventory Prefix]]&amp;" "&amp;Master[[#This Row],[Inventory Number]]&amp;" "&amp;Master[[#This Row],[Inventory Suffix]]&amp;" "&amp;Master[[#This Row],[Inventory Type - Lookup Picker]]</f>
        <v>W6   SD</v>
      </c>
      <c r="D51" s="45" t="str">
        <f t="shared" si="3"/>
        <v>mm/yyyy</v>
      </c>
      <c r="E51" s="77" t="str">
        <f>IF(Master[[#This Row],[GERMS from DONOR (test date)]]="","",Master[[#This Row],[GERMS from DONOR (test date)]])</f>
        <v/>
      </c>
      <c r="I51" s="76" t="str">
        <f>IF(Master[[#This Row],[GERMS from DONOR (viability)]]="","",Master[[#This Row],[GERMS from DONOR (viability)]])</f>
        <v/>
      </c>
    </row>
    <row r="52" spans="2:9" x14ac:dyDescent="0.25">
      <c r="B52" t="str">
        <f t="shared" si="2"/>
        <v>W6.GERMS.FROM.DONOR</v>
      </c>
      <c r="C52" s="45" t="str">
        <f>Master[[#This Row],[Inventory Prefix]]&amp;" "&amp;Master[[#This Row],[Inventory Number]]&amp;" "&amp;Master[[#This Row],[Inventory Suffix]]&amp;" "&amp;Master[[#This Row],[Inventory Type - Lookup Picker]]</f>
        <v>W6   SD</v>
      </c>
      <c r="D52" s="45" t="str">
        <f t="shared" si="3"/>
        <v>mm/yyyy</v>
      </c>
      <c r="E52" s="77" t="str">
        <f>IF(Master[[#This Row],[GERMS from DONOR (test date)]]="","",Master[[#This Row],[GERMS from DONOR (test date)]])</f>
        <v/>
      </c>
      <c r="I52" s="76" t="str">
        <f>IF(Master[[#This Row],[GERMS from DONOR (viability)]]="","",Master[[#This Row],[GERMS from DONOR (viability)]])</f>
        <v/>
      </c>
    </row>
    <row r="53" spans="2:9" x14ac:dyDescent="0.25">
      <c r="B53" t="str">
        <f t="shared" si="2"/>
        <v>W6.GERMS.FROM.DONOR</v>
      </c>
      <c r="C53" s="45" t="str">
        <f>Master[[#This Row],[Inventory Prefix]]&amp;" "&amp;Master[[#This Row],[Inventory Number]]&amp;" "&amp;Master[[#This Row],[Inventory Suffix]]&amp;" "&amp;Master[[#This Row],[Inventory Type - Lookup Picker]]</f>
        <v>W6   SD</v>
      </c>
      <c r="D53" s="45" t="str">
        <f t="shared" si="3"/>
        <v>mm/yyyy</v>
      </c>
      <c r="E53" s="77" t="str">
        <f>IF(Master[[#This Row],[GERMS from DONOR (test date)]]="","",Master[[#This Row],[GERMS from DONOR (test date)]])</f>
        <v/>
      </c>
      <c r="I53" s="76" t="str">
        <f>IF(Master[[#This Row],[GERMS from DONOR (viability)]]="","",Master[[#This Row],[GERMS from DONOR (viability)]])</f>
        <v/>
      </c>
    </row>
    <row r="54" spans="2:9" x14ac:dyDescent="0.25">
      <c r="B54" t="str">
        <f t="shared" si="2"/>
        <v>W6.GERMS.FROM.DONOR</v>
      </c>
      <c r="C54" s="45" t="str">
        <f>Master[[#This Row],[Inventory Prefix]]&amp;" "&amp;Master[[#This Row],[Inventory Number]]&amp;" "&amp;Master[[#This Row],[Inventory Suffix]]&amp;" "&amp;Master[[#This Row],[Inventory Type - Lookup Picker]]</f>
        <v>W6   SD</v>
      </c>
      <c r="D54" s="45" t="str">
        <f t="shared" si="3"/>
        <v>mm/yyyy</v>
      </c>
      <c r="E54" s="77" t="str">
        <f>IF(Master[[#This Row],[GERMS from DONOR (test date)]]="","",Master[[#This Row],[GERMS from DONOR (test date)]])</f>
        <v/>
      </c>
      <c r="I54" s="76" t="str">
        <f>IF(Master[[#This Row],[GERMS from DONOR (viability)]]="","",Master[[#This Row],[GERMS from DONOR (viability)]])</f>
        <v/>
      </c>
    </row>
    <row r="55" spans="2:9" x14ac:dyDescent="0.25">
      <c r="B55" t="str">
        <f t="shared" si="2"/>
        <v>W6.GERMS.FROM.DONOR</v>
      </c>
      <c r="C55" s="45" t="str">
        <f>Master[[#This Row],[Inventory Prefix]]&amp;" "&amp;Master[[#This Row],[Inventory Number]]&amp;" "&amp;Master[[#This Row],[Inventory Suffix]]&amp;" "&amp;Master[[#This Row],[Inventory Type - Lookup Picker]]</f>
        <v>W6   SD</v>
      </c>
      <c r="D55" s="45" t="str">
        <f t="shared" si="3"/>
        <v>mm/yyyy</v>
      </c>
      <c r="E55" s="77" t="str">
        <f>IF(Master[[#This Row],[GERMS from DONOR (test date)]]="","",Master[[#This Row],[GERMS from DONOR (test date)]])</f>
        <v/>
      </c>
      <c r="I55" s="76" t="str">
        <f>IF(Master[[#This Row],[GERMS from DONOR (viability)]]="","",Master[[#This Row],[GERMS from DONOR (viability)]])</f>
        <v/>
      </c>
    </row>
    <row r="56" spans="2:9" x14ac:dyDescent="0.25">
      <c r="B56" t="str">
        <f t="shared" si="2"/>
        <v>W6.GERMS.FROM.DONOR</v>
      </c>
      <c r="C56" s="45" t="str">
        <f>Master[[#This Row],[Inventory Prefix]]&amp;" "&amp;Master[[#This Row],[Inventory Number]]&amp;" "&amp;Master[[#This Row],[Inventory Suffix]]&amp;" "&amp;Master[[#This Row],[Inventory Type - Lookup Picker]]</f>
        <v>W6   SD</v>
      </c>
      <c r="D56" s="45" t="str">
        <f t="shared" si="3"/>
        <v>mm/yyyy</v>
      </c>
      <c r="E56" s="77" t="str">
        <f>IF(Master[[#This Row],[GERMS from DONOR (test date)]]="","",Master[[#This Row],[GERMS from DONOR (test date)]])</f>
        <v/>
      </c>
      <c r="I56" s="76" t="str">
        <f>IF(Master[[#This Row],[GERMS from DONOR (viability)]]="","",Master[[#This Row],[GERMS from DONOR (viability)]])</f>
        <v/>
      </c>
    </row>
    <row r="57" spans="2:9" x14ac:dyDescent="0.25">
      <c r="B57" t="str">
        <f t="shared" si="2"/>
        <v>W6.GERMS.FROM.DONOR</v>
      </c>
      <c r="C57" s="45" t="str">
        <f>Master[[#This Row],[Inventory Prefix]]&amp;" "&amp;Master[[#This Row],[Inventory Number]]&amp;" "&amp;Master[[#This Row],[Inventory Suffix]]&amp;" "&amp;Master[[#This Row],[Inventory Type - Lookup Picker]]</f>
        <v>W6   SD</v>
      </c>
      <c r="D57" s="45" t="str">
        <f t="shared" si="3"/>
        <v>mm/yyyy</v>
      </c>
      <c r="E57" s="77" t="str">
        <f>IF(Master[[#This Row],[GERMS from DONOR (test date)]]="","",Master[[#This Row],[GERMS from DONOR (test date)]])</f>
        <v/>
      </c>
      <c r="I57" s="76" t="str">
        <f>IF(Master[[#This Row],[GERMS from DONOR (viability)]]="","",Master[[#This Row],[GERMS from DONOR (viability)]])</f>
        <v/>
      </c>
    </row>
    <row r="58" spans="2:9" x14ac:dyDescent="0.25">
      <c r="B58" t="str">
        <f t="shared" si="2"/>
        <v>W6.GERMS.FROM.DONOR</v>
      </c>
      <c r="C58" s="45" t="str">
        <f>Master[[#This Row],[Inventory Prefix]]&amp;" "&amp;Master[[#This Row],[Inventory Number]]&amp;" "&amp;Master[[#This Row],[Inventory Suffix]]&amp;" "&amp;Master[[#This Row],[Inventory Type - Lookup Picker]]</f>
        <v>W6   SD</v>
      </c>
      <c r="D58" s="45" t="str">
        <f t="shared" si="3"/>
        <v>mm/yyyy</v>
      </c>
      <c r="E58" s="77" t="str">
        <f>IF(Master[[#This Row],[GERMS from DONOR (test date)]]="","",Master[[#This Row],[GERMS from DONOR (test date)]])</f>
        <v/>
      </c>
      <c r="I58" s="76" t="str">
        <f>IF(Master[[#This Row],[GERMS from DONOR (viability)]]="","",Master[[#This Row],[GERMS from DONOR (viability)]])</f>
        <v/>
      </c>
    </row>
    <row r="59" spans="2:9" x14ac:dyDescent="0.25">
      <c r="B59" t="str">
        <f t="shared" si="2"/>
        <v>W6.GERMS.FROM.DONOR</v>
      </c>
      <c r="C59" s="45" t="str">
        <f>Master[[#This Row],[Inventory Prefix]]&amp;" "&amp;Master[[#This Row],[Inventory Number]]&amp;" "&amp;Master[[#This Row],[Inventory Suffix]]&amp;" "&amp;Master[[#This Row],[Inventory Type - Lookup Picker]]</f>
        <v>W6   SD</v>
      </c>
      <c r="D59" s="45" t="str">
        <f t="shared" si="3"/>
        <v>mm/yyyy</v>
      </c>
      <c r="E59" s="77" t="str">
        <f>IF(Master[[#This Row],[GERMS from DONOR (test date)]]="","",Master[[#This Row],[GERMS from DONOR (test date)]])</f>
        <v/>
      </c>
      <c r="I59" s="76" t="str">
        <f>IF(Master[[#This Row],[GERMS from DONOR (viability)]]="","",Master[[#This Row],[GERMS from DONOR (viability)]])</f>
        <v/>
      </c>
    </row>
    <row r="60" spans="2:9" x14ac:dyDescent="0.25">
      <c r="B60" t="str">
        <f t="shared" si="2"/>
        <v>W6.GERMS.FROM.DONOR</v>
      </c>
      <c r="C60" s="45" t="str">
        <f>Master[[#This Row],[Inventory Prefix]]&amp;" "&amp;Master[[#This Row],[Inventory Number]]&amp;" "&amp;Master[[#This Row],[Inventory Suffix]]&amp;" "&amp;Master[[#This Row],[Inventory Type - Lookup Picker]]</f>
        <v>W6   SD</v>
      </c>
      <c r="D60" s="45" t="str">
        <f t="shared" si="3"/>
        <v>mm/yyyy</v>
      </c>
      <c r="E60" s="77" t="str">
        <f>IF(Master[[#This Row],[GERMS from DONOR (test date)]]="","",Master[[#This Row],[GERMS from DONOR (test date)]])</f>
        <v/>
      </c>
      <c r="I60" s="76" t="str">
        <f>IF(Master[[#This Row],[GERMS from DONOR (viability)]]="","",Master[[#This Row],[GERMS from DONOR (viability)]])</f>
        <v/>
      </c>
    </row>
    <row r="61" spans="2:9" x14ac:dyDescent="0.25">
      <c r="B61" t="str">
        <f t="shared" si="2"/>
        <v>W6.GERMS.FROM.DONOR</v>
      </c>
      <c r="C61" s="45" t="str">
        <f>Master[[#This Row],[Inventory Prefix]]&amp;" "&amp;Master[[#This Row],[Inventory Number]]&amp;" "&amp;Master[[#This Row],[Inventory Suffix]]&amp;" "&amp;Master[[#This Row],[Inventory Type - Lookup Picker]]</f>
        <v>W6   SD</v>
      </c>
      <c r="D61" s="45" t="str">
        <f t="shared" si="3"/>
        <v>mm/yyyy</v>
      </c>
      <c r="E61" s="77" t="str">
        <f>IF(Master[[#This Row],[GERMS from DONOR (test date)]]="","",Master[[#This Row],[GERMS from DONOR (test date)]])</f>
        <v/>
      </c>
      <c r="I61" s="76" t="str">
        <f>IF(Master[[#This Row],[GERMS from DONOR (viability)]]="","",Master[[#This Row],[GERMS from DONOR (viability)]])</f>
        <v/>
      </c>
    </row>
    <row r="62" spans="2:9" x14ac:dyDescent="0.25">
      <c r="B62" t="str">
        <f t="shared" si="2"/>
        <v>W6.GERMS.FROM.DONOR</v>
      </c>
      <c r="C62" s="45" t="str">
        <f>Master[[#This Row],[Inventory Prefix]]&amp;" "&amp;Master[[#This Row],[Inventory Number]]&amp;" "&amp;Master[[#This Row],[Inventory Suffix]]&amp;" "&amp;Master[[#This Row],[Inventory Type - Lookup Picker]]</f>
        <v>W6   SD</v>
      </c>
      <c r="D62" s="45" t="str">
        <f t="shared" si="3"/>
        <v>mm/yyyy</v>
      </c>
      <c r="E62" s="77" t="str">
        <f>IF(Master[[#This Row],[GERMS from DONOR (test date)]]="","",Master[[#This Row],[GERMS from DONOR (test date)]])</f>
        <v/>
      </c>
      <c r="I62" s="76" t="str">
        <f>IF(Master[[#This Row],[GERMS from DONOR (viability)]]="","",Master[[#This Row],[GERMS from DONOR (viability)]])</f>
        <v/>
      </c>
    </row>
    <row r="63" spans="2:9" x14ac:dyDescent="0.25">
      <c r="B63" t="str">
        <f t="shared" si="2"/>
        <v>W6.GERMS.FROM.DONOR</v>
      </c>
      <c r="C63" s="45" t="str">
        <f>Master[[#This Row],[Inventory Prefix]]&amp;" "&amp;Master[[#This Row],[Inventory Number]]&amp;" "&amp;Master[[#This Row],[Inventory Suffix]]&amp;" "&amp;Master[[#This Row],[Inventory Type - Lookup Picker]]</f>
        <v>W6   SD</v>
      </c>
      <c r="D63" s="45" t="str">
        <f t="shared" si="3"/>
        <v>mm/yyyy</v>
      </c>
      <c r="E63" s="77" t="str">
        <f>IF(Master[[#This Row],[GERMS from DONOR (test date)]]="","",Master[[#This Row],[GERMS from DONOR (test date)]])</f>
        <v/>
      </c>
      <c r="I63" s="76" t="str">
        <f>IF(Master[[#This Row],[GERMS from DONOR (viability)]]="","",Master[[#This Row],[GERMS from DONOR (viability)]])</f>
        <v/>
      </c>
    </row>
    <row r="64" spans="2:9" x14ac:dyDescent="0.25">
      <c r="B64" t="str">
        <f t="shared" si="2"/>
        <v>W6.GERMS.FROM.DONOR</v>
      </c>
      <c r="C64" s="45" t="str">
        <f>Master[[#This Row],[Inventory Prefix]]&amp;" "&amp;Master[[#This Row],[Inventory Number]]&amp;" "&amp;Master[[#This Row],[Inventory Suffix]]&amp;" "&amp;Master[[#This Row],[Inventory Type - Lookup Picker]]</f>
        <v>W6   SD</v>
      </c>
      <c r="D64" s="45" t="str">
        <f t="shared" si="3"/>
        <v>mm/yyyy</v>
      </c>
      <c r="E64" s="77" t="str">
        <f>IF(Master[[#This Row],[GERMS from DONOR (test date)]]="","",Master[[#This Row],[GERMS from DONOR (test date)]])</f>
        <v/>
      </c>
      <c r="I64" s="76" t="str">
        <f>IF(Master[[#This Row],[GERMS from DONOR (viability)]]="","",Master[[#This Row],[GERMS from DONOR (viability)]])</f>
        <v/>
      </c>
    </row>
    <row r="65" spans="2:9" x14ac:dyDescent="0.25">
      <c r="B65" t="str">
        <f t="shared" si="2"/>
        <v>W6.GERMS.FROM.DONOR</v>
      </c>
      <c r="C65" s="45" t="str">
        <f>Master[[#This Row],[Inventory Prefix]]&amp;" "&amp;Master[[#This Row],[Inventory Number]]&amp;" "&amp;Master[[#This Row],[Inventory Suffix]]&amp;" "&amp;Master[[#This Row],[Inventory Type - Lookup Picker]]</f>
        <v>W6   SD</v>
      </c>
      <c r="D65" s="45" t="str">
        <f t="shared" si="3"/>
        <v>mm/yyyy</v>
      </c>
      <c r="E65" s="77" t="str">
        <f>IF(Master[[#This Row],[GERMS from DONOR (test date)]]="","",Master[[#This Row],[GERMS from DONOR (test date)]])</f>
        <v/>
      </c>
      <c r="I65" s="76" t="str">
        <f>IF(Master[[#This Row],[GERMS from DONOR (viability)]]="","",Master[[#This Row],[GERMS from DONOR (viability)]])</f>
        <v/>
      </c>
    </row>
    <row r="66" spans="2:9" x14ac:dyDescent="0.25">
      <c r="B66" t="str">
        <f t="shared" ref="B66:B97" si="4">"W6.GERMS.FROM.DONOR"</f>
        <v>W6.GERMS.FROM.DONOR</v>
      </c>
      <c r="C66" s="45" t="str">
        <f>Master[[#This Row],[Inventory Prefix]]&amp;" "&amp;Master[[#This Row],[Inventory Number]]&amp;" "&amp;Master[[#This Row],[Inventory Suffix]]&amp;" "&amp;Master[[#This Row],[Inventory Type - Lookup Picker]]</f>
        <v>W6   SD</v>
      </c>
      <c r="D66" s="45" t="str">
        <f t="shared" si="3"/>
        <v>mm/yyyy</v>
      </c>
      <c r="E66" s="77" t="str">
        <f>IF(Master[[#This Row],[GERMS from DONOR (test date)]]="","",Master[[#This Row],[GERMS from DONOR (test date)]])</f>
        <v/>
      </c>
      <c r="I66" s="76" t="str">
        <f>IF(Master[[#This Row],[GERMS from DONOR (viability)]]="","",Master[[#This Row],[GERMS from DONOR (viability)]])</f>
        <v/>
      </c>
    </row>
    <row r="67" spans="2:9" x14ac:dyDescent="0.25">
      <c r="B67" t="str">
        <f t="shared" si="4"/>
        <v>W6.GERMS.FROM.DONOR</v>
      </c>
      <c r="C67" s="45" t="str">
        <f>Master[[#This Row],[Inventory Prefix]]&amp;" "&amp;Master[[#This Row],[Inventory Number]]&amp;" "&amp;Master[[#This Row],[Inventory Suffix]]&amp;" "&amp;Master[[#This Row],[Inventory Type - Lookup Picker]]</f>
        <v>W6   SD</v>
      </c>
      <c r="D67" s="45" t="str">
        <f t="shared" si="3"/>
        <v>mm/yyyy</v>
      </c>
      <c r="E67" s="77" t="str">
        <f>IF(Master[[#This Row],[GERMS from DONOR (test date)]]="","",Master[[#This Row],[GERMS from DONOR (test date)]])</f>
        <v/>
      </c>
      <c r="I67" s="76" t="str">
        <f>IF(Master[[#This Row],[GERMS from DONOR (viability)]]="","",Master[[#This Row],[GERMS from DONOR (viability)]])</f>
        <v/>
      </c>
    </row>
    <row r="68" spans="2:9" x14ac:dyDescent="0.25">
      <c r="B68" t="str">
        <f t="shared" si="4"/>
        <v>W6.GERMS.FROM.DONOR</v>
      </c>
      <c r="C68" s="45" t="str">
        <f>Master[[#This Row],[Inventory Prefix]]&amp;" "&amp;Master[[#This Row],[Inventory Number]]&amp;" "&amp;Master[[#This Row],[Inventory Suffix]]&amp;" "&amp;Master[[#This Row],[Inventory Type - Lookup Picker]]</f>
        <v>W6   SD</v>
      </c>
      <c r="D68" s="45" t="str">
        <f t="shared" ref="D68:D99" si="5">"mm/yyyy"</f>
        <v>mm/yyyy</v>
      </c>
      <c r="E68" s="77" t="str">
        <f>IF(Master[[#This Row],[GERMS from DONOR (test date)]]="","",Master[[#This Row],[GERMS from DONOR (test date)]])</f>
        <v/>
      </c>
      <c r="I68" s="76" t="str">
        <f>IF(Master[[#This Row],[GERMS from DONOR (viability)]]="","",Master[[#This Row],[GERMS from DONOR (viability)]])</f>
        <v/>
      </c>
    </row>
    <row r="69" spans="2:9" x14ac:dyDescent="0.25">
      <c r="B69" t="str">
        <f t="shared" si="4"/>
        <v>W6.GERMS.FROM.DONOR</v>
      </c>
      <c r="C69" s="45" t="str">
        <f>Master[[#This Row],[Inventory Prefix]]&amp;" "&amp;Master[[#This Row],[Inventory Number]]&amp;" "&amp;Master[[#This Row],[Inventory Suffix]]&amp;" "&amp;Master[[#This Row],[Inventory Type - Lookup Picker]]</f>
        <v>W6   SD</v>
      </c>
      <c r="D69" s="45" t="str">
        <f t="shared" si="5"/>
        <v>mm/yyyy</v>
      </c>
      <c r="E69" s="77" t="str">
        <f>IF(Master[[#This Row],[GERMS from DONOR (test date)]]="","",Master[[#This Row],[GERMS from DONOR (test date)]])</f>
        <v/>
      </c>
      <c r="I69" s="76" t="str">
        <f>IF(Master[[#This Row],[GERMS from DONOR (viability)]]="","",Master[[#This Row],[GERMS from DONOR (viability)]])</f>
        <v/>
      </c>
    </row>
    <row r="70" spans="2:9" x14ac:dyDescent="0.25">
      <c r="B70" t="str">
        <f t="shared" si="4"/>
        <v>W6.GERMS.FROM.DONOR</v>
      </c>
      <c r="C70" s="45" t="str">
        <f>Master[[#This Row],[Inventory Prefix]]&amp;" "&amp;Master[[#This Row],[Inventory Number]]&amp;" "&amp;Master[[#This Row],[Inventory Suffix]]&amp;" "&amp;Master[[#This Row],[Inventory Type - Lookup Picker]]</f>
        <v>W6   SD</v>
      </c>
      <c r="D70" s="45" t="str">
        <f t="shared" si="5"/>
        <v>mm/yyyy</v>
      </c>
      <c r="E70" s="77" t="str">
        <f>IF(Master[[#This Row],[GERMS from DONOR (test date)]]="","",Master[[#This Row],[GERMS from DONOR (test date)]])</f>
        <v/>
      </c>
      <c r="I70" s="76" t="str">
        <f>IF(Master[[#This Row],[GERMS from DONOR (viability)]]="","",Master[[#This Row],[GERMS from DONOR (viability)]])</f>
        <v/>
      </c>
    </row>
    <row r="71" spans="2:9" x14ac:dyDescent="0.25">
      <c r="B71" t="str">
        <f t="shared" si="4"/>
        <v>W6.GERMS.FROM.DONOR</v>
      </c>
      <c r="C71" s="45" t="str">
        <f>Master[[#This Row],[Inventory Prefix]]&amp;" "&amp;Master[[#This Row],[Inventory Number]]&amp;" "&amp;Master[[#This Row],[Inventory Suffix]]&amp;" "&amp;Master[[#This Row],[Inventory Type - Lookup Picker]]</f>
        <v>W6   SD</v>
      </c>
      <c r="D71" s="45" t="str">
        <f t="shared" si="5"/>
        <v>mm/yyyy</v>
      </c>
      <c r="E71" s="77" t="str">
        <f>IF(Master[[#This Row],[GERMS from DONOR (test date)]]="","",Master[[#This Row],[GERMS from DONOR (test date)]])</f>
        <v/>
      </c>
      <c r="I71" s="76" t="str">
        <f>IF(Master[[#This Row],[GERMS from DONOR (viability)]]="","",Master[[#This Row],[GERMS from DONOR (viability)]])</f>
        <v/>
      </c>
    </row>
    <row r="72" spans="2:9" x14ac:dyDescent="0.25">
      <c r="B72" t="str">
        <f t="shared" si="4"/>
        <v>W6.GERMS.FROM.DONOR</v>
      </c>
      <c r="C72" s="45" t="str">
        <f>Master[[#This Row],[Inventory Prefix]]&amp;" "&amp;Master[[#This Row],[Inventory Number]]&amp;" "&amp;Master[[#This Row],[Inventory Suffix]]&amp;" "&amp;Master[[#This Row],[Inventory Type - Lookup Picker]]</f>
        <v>W6   SD</v>
      </c>
      <c r="D72" s="45" t="str">
        <f t="shared" si="5"/>
        <v>mm/yyyy</v>
      </c>
      <c r="E72" s="77" t="str">
        <f>IF(Master[[#This Row],[GERMS from DONOR (test date)]]="","",Master[[#This Row],[GERMS from DONOR (test date)]])</f>
        <v/>
      </c>
      <c r="I72" s="76" t="str">
        <f>IF(Master[[#This Row],[GERMS from DONOR (viability)]]="","",Master[[#This Row],[GERMS from DONOR (viability)]])</f>
        <v/>
      </c>
    </row>
    <row r="73" spans="2:9" x14ac:dyDescent="0.25">
      <c r="B73" t="str">
        <f t="shared" si="4"/>
        <v>W6.GERMS.FROM.DONOR</v>
      </c>
      <c r="C73" s="45" t="str">
        <f>Master[[#This Row],[Inventory Prefix]]&amp;" "&amp;Master[[#This Row],[Inventory Number]]&amp;" "&amp;Master[[#This Row],[Inventory Suffix]]&amp;" "&amp;Master[[#This Row],[Inventory Type - Lookup Picker]]</f>
        <v>W6   SD</v>
      </c>
      <c r="D73" s="45" t="str">
        <f t="shared" si="5"/>
        <v>mm/yyyy</v>
      </c>
      <c r="E73" s="77" t="str">
        <f>IF(Master[[#This Row],[GERMS from DONOR (test date)]]="","",Master[[#This Row],[GERMS from DONOR (test date)]])</f>
        <v/>
      </c>
      <c r="I73" s="76" t="str">
        <f>IF(Master[[#This Row],[GERMS from DONOR (viability)]]="","",Master[[#This Row],[GERMS from DONOR (viability)]])</f>
        <v/>
      </c>
    </row>
    <row r="74" spans="2:9" x14ac:dyDescent="0.25">
      <c r="B74" t="str">
        <f t="shared" si="4"/>
        <v>W6.GERMS.FROM.DONOR</v>
      </c>
      <c r="C74" s="45" t="str">
        <f>Master[[#This Row],[Inventory Prefix]]&amp;" "&amp;Master[[#This Row],[Inventory Number]]&amp;" "&amp;Master[[#This Row],[Inventory Suffix]]&amp;" "&amp;Master[[#This Row],[Inventory Type - Lookup Picker]]</f>
        <v>W6   SD</v>
      </c>
      <c r="D74" s="45" t="str">
        <f t="shared" si="5"/>
        <v>mm/yyyy</v>
      </c>
      <c r="E74" s="77" t="str">
        <f>IF(Master[[#This Row],[GERMS from DONOR (test date)]]="","",Master[[#This Row],[GERMS from DONOR (test date)]])</f>
        <v/>
      </c>
      <c r="I74" s="76" t="str">
        <f>IF(Master[[#This Row],[GERMS from DONOR (viability)]]="","",Master[[#This Row],[GERMS from DONOR (viability)]])</f>
        <v/>
      </c>
    </row>
    <row r="75" spans="2:9" x14ac:dyDescent="0.25">
      <c r="B75" t="str">
        <f t="shared" si="4"/>
        <v>W6.GERMS.FROM.DONOR</v>
      </c>
      <c r="C75" s="45" t="str">
        <f>Master[[#This Row],[Inventory Prefix]]&amp;" "&amp;Master[[#This Row],[Inventory Number]]&amp;" "&amp;Master[[#This Row],[Inventory Suffix]]&amp;" "&amp;Master[[#This Row],[Inventory Type - Lookup Picker]]</f>
        <v>W6   SD</v>
      </c>
      <c r="D75" s="45" t="str">
        <f t="shared" si="5"/>
        <v>mm/yyyy</v>
      </c>
      <c r="E75" s="77" t="str">
        <f>IF(Master[[#This Row],[GERMS from DONOR (test date)]]="","",Master[[#This Row],[GERMS from DONOR (test date)]])</f>
        <v/>
      </c>
      <c r="I75" s="76" t="str">
        <f>IF(Master[[#This Row],[GERMS from DONOR (viability)]]="","",Master[[#This Row],[GERMS from DONOR (viability)]])</f>
        <v/>
      </c>
    </row>
    <row r="76" spans="2:9" x14ac:dyDescent="0.25">
      <c r="B76" t="str">
        <f t="shared" si="4"/>
        <v>W6.GERMS.FROM.DONOR</v>
      </c>
      <c r="C76" s="45" t="str">
        <f>Master[[#This Row],[Inventory Prefix]]&amp;" "&amp;Master[[#This Row],[Inventory Number]]&amp;" "&amp;Master[[#This Row],[Inventory Suffix]]&amp;" "&amp;Master[[#This Row],[Inventory Type - Lookup Picker]]</f>
        <v>W6   SD</v>
      </c>
      <c r="D76" s="45" t="str">
        <f t="shared" si="5"/>
        <v>mm/yyyy</v>
      </c>
      <c r="E76" s="77" t="str">
        <f>IF(Master[[#This Row],[GERMS from DONOR (test date)]]="","",Master[[#This Row],[GERMS from DONOR (test date)]])</f>
        <v/>
      </c>
      <c r="I76" s="76" t="str">
        <f>IF(Master[[#This Row],[GERMS from DONOR (viability)]]="","",Master[[#This Row],[GERMS from DONOR (viability)]])</f>
        <v/>
      </c>
    </row>
    <row r="77" spans="2:9" x14ac:dyDescent="0.25">
      <c r="B77" t="str">
        <f t="shared" si="4"/>
        <v>W6.GERMS.FROM.DONOR</v>
      </c>
      <c r="C77" s="45" t="str">
        <f>Master[[#This Row],[Inventory Prefix]]&amp;" "&amp;Master[[#This Row],[Inventory Number]]&amp;" "&amp;Master[[#This Row],[Inventory Suffix]]&amp;" "&amp;Master[[#This Row],[Inventory Type - Lookup Picker]]</f>
        <v>W6   SD</v>
      </c>
      <c r="D77" s="45" t="str">
        <f t="shared" si="5"/>
        <v>mm/yyyy</v>
      </c>
      <c r="E77" s="77" t="str">
        <f>IF(Master[[#This Row],[GERMS from DONOR (test date)]]="","",Master[[#This Row],[GERMS from DONOR (test date)]])</f>
        <v/>
      </c>
      <c r="I77" s="76" t="str">
        <f>IF(Master[[#This Row],[GERMS from DONOR (viability)]]="","",Master[[#This Row],[GERMS from DONOR (viability)]])</f>
        <v/>
      </c>
    </row>
    <row r="78" spans="2:9" x14ac:dyDescent="0.25">
      <c r="B78" t="str">
        <f t="shared" si="4"/>
        <v>W6.GERMS.FROM.DONOR</v>
      </c>
      <c r="C78" s="45" t="str">
        <f>Master[[#This Row],[Inventory Prefix]]&amp;" "&amp;Master[[#This Row],[Inventory Number]]&amp;" "&amp;Master[[#This Row],[Inventory Suffix]]&amp;" "&amp;Master[[#This Row],[Inventory Type - Lookup Picker]]</f>
        <v>W6   SD</v>
      </c>
      <c r="D78" s="45" t="str">
        <f t="shared" si="5"/>
        <v>mm/yyyy</v>
      </c>
      <c r="E78" s="77" t="str">
        <f>IF(Master[[#This Row],[GERMS from DONOR (test date)]]="","",Master[[#This Row],[GERMS from DONOR (test date)]])</f>
        <v/>
      </c>
      <c r="I78" s="76" t="str">
        <f>IF(Master[[#This Row],[GERMS from DONOR (viability)]]="","",Master[[#This Row],[GERMS from DONOR (viability)]])</f>
        <v/>
      </c>
    </row>
    <row r="79" spans="2:9" x14ac:dyDescent="0.25">
      <c r="B79" t="str">
        <f t="shared" si="4"/>
        <v>W6.GERMS.FROM.DONOR</v>
      </c>
      <c r="C79" s="45" t="str">
        <f>Master[[#This Row],[Inventory Prefix]]&amp;" "&amp;Master[[#This Row],[Inventory Number]]&amp;" "&amp;Master[[#This Row],[Inventory Suffix]]&amp;" "&amp;Master[[#This Row],[Inventory Type - Lookup Picker]]</f>
        <v>W6   SD</v>
      </c>
      <c r="D79" s="45" t="str">
        <f t="shared" si="5"/>
        <v>mm/yyyy</v>
      </c>
      <c r="E79" s="77" t="str">
        <f>IF(Master[[#This Row],[GERMS from DONOR (test date)]]="","",Master[[#This Row],[GERMS from DONOR (test date)]])</f>
        <v/>
      </c>
      <c r="I79" s="76" t="str">
        <f>IF(Master[[#This Row],[GERMS from DONOR (viability)]]="","",Master[[#This Row],[GERMS from DONOR (viability)]])</f>
        <v/>
      </c>
    </row>
    <row r="80" spans="2:9" x14ac:dyDescent="0.25">
      <c r="B80" t="str">
        <f t="shared" si="4"/>
        <v>W6.GERMS.FROM.DONOR</v>
      </c>
      <c r="C80" s="45" t="str">
        <f>Master[[#This Row],[Inventory Prefix]]&amp;" "&amp;Master[[#This Row],[Inventory Number]]&amp;" "&amp;Master[[#This Row],[Inventory Suffix]]&amp;" "&amp;Master[[#This Row],[Inventory Type - Lookup Picker]]</f>
        <v>W6   SD</v>
      </c>
      <c r="D80" s="45" t="str">
        <f t="shared" si="5"/>
        <v>mm/yyyy</v>
      </c>
      <c r="E80" s="77" t="str">
        <f>IF(Master[[#This Row],[GERMS from DONOR (test date)]]="","",Master[[#This Row],[GERMS from DONOR (test date)]])</f>
        <v/>
      </c>
      <c r="I80" s="76" t="str">
        <f>IF(Master[[#This Row],[GERMS from DONOR (viability)]]="","",Master[[#This Row],[GERMS from DONOR (viability)]])</f>
        <v/>
      </c>
    </row>
    <row r="81" spans="2:9" x14ac:dyDescent="0.25">
      <c r="B81" t="str">
        <f t="shared" si="4"/>
        <v>W6.GERMS.FROM.DONOR</v>
      </c>
      <c r="C81" s="45" t="str">
        <f>Master[[#This Row],[Inventory Prefix]]&amp;" "&amp;Master[[#This Row],[Inventory Number]]&amp;" "&amp;Master[[#This Row],[Inventory Suffix]]&amp;" "&amp;Master[[#This Row],[Inventory Type - Lookup Picker]]</f>
        <v>W6   SD</v>
      </c>
      <c r="D81" s="45" t="str">
        <f t="shared" si="5"/>
        <v>mm/yyyy</v>
      </c>
      <c r="E81" s="77" t="str">
        <f>IF(Master[[#This Row],[GERMS from DONOR (test date)]]="","",Master[[#This Row],[GERMS from DONOR (test date)]])</f>
        <v/>
      </c>
      <c r="I81" s="76" t="str">
        <f>IF(Master[[#This Row],[GERMS from DONOR (viability)]]="","",Master[[#This Row],[GERMS from DONOR (viability)]])</f>
        <v/>
      </c>
    </row>
    <row r="82" spans="2:9" x14ac:dyDescent="0.25">
      <c r="B82" t="str">
        <f t="shared" si="4"/>
        <v>W6.GERMS.FROM.DONOR</v>
      </c>
      <c r="C82" s="45" t="str">
        <f>Master[[#This Row],[Inventory Prefix]]&amp;" "&amp;Master[[#This Row],[Inventory Number]]&amp;" "&amp;Master[[#This Row],[Inventory Suffix]]&amp;" "&amp;Master[[#This Row],[Inventory Type - Lookup Picker]]</f>
        <v>W6   SD</v>
      </c>
      <c r="D82" s="45" t="str">
        <f t="shared" si="5"/>
        <v>mm/yyyy</v>
      </c>
      <c r="E82" s="77" t="str">
        <f>IF(Master[[#This Row],[GERMS from DONOR (test date)]]="","",Master[[#This Row],[GERMS from DONOR (test date)]])</f>
        <v/>
      </c>
      <c r="I82" s="76" t="str">
        <f>IF(Master[[#This Row],[GERMS from DONOR (viability)]]="","",Master[[#This Row],[GERMS from DONOR (viability)]])</f>
        <v/>
      </c>
    </row>
    <row r="83" spans="2:9" x14ac:dyDescent="0.25">
      <c r="B83" t="str">
        <f t="shared" si="4"/>
        <v>W6.GERMS.FROM.DONOR</v>
      </c>
      <c r="C83" s="45" t="str">
        <f>Master[[#This Row],[Inventory Prefix]]&amp;" "&amp;Master[[#This Row],[Inventory Number]]&amp;" "&amp;Master[[#This Row],[Inventory Suffix]]&amp;" "&amp;Master[[#This Row],[Inventory Type - Lookup Picker]]</f>
        <v>W6   SD</v>
      </c>
      <c r="D83" s="45" t="str">
        <f t="shared" si="5"/>
        <v>mm/yyyy</v>
      </c>
      <c r="E83" s="77" t="str">
        <f>IF(Master[[#This Row],[GERMS from DONOR (test date)]]="","",Master[[#This Row],[GERMS from DONOR (test date)]])</f>
        <v/>
      </c>
      <c r="I83" s="76" t="str">
        <f>IF(Master[[#This Row],[GERMS from DONOR (viability)]]="","",Master[[#This Row],[GERMS from DONOR (viability)]])</f>
        <v/>
      </c>
    </row>
    <row r="84" spans="2:9" x14ac:dyDescent="0.25">
      <c r="B84" t="str">
        <f t="shared" si="4"/>
        <v>W6.GERMS.FROM.DONOR</v>
      </c>
      <c r="C84" s="45" t="str">
        <f>Master[[#This Row],[Inventory Prefix]]&amp;" "&amp;Master[[#This Row],[Inventory Number]]&amp;" "&amp;Master[[#This Row],[Inventory Suffix]]&amp;" "&amp;Master[[#This Row],[Inventory Type - Lookup Picker]]</f>
        <v>W6   SD</v>
      </c>
      <c r="D84" s="45" t="str">
        <f t="shared" si="5"/>
        <v>mm/yyyy</v>
      </c>
      <c r="E84" s="77" t="str">
        <f>IF(Master[[#This Row],[GERMS from DONOR (test date)]]="","",Master[[#This Row],[GERMS from DONOR (test date)]])</f>
        <v/>
      </c>
      <c r="I84" s="76" t="str">
        <f>IF(Master[[#This Row],[GERMS from DONOR (viability)]]="","",Master[[#This Row],[GERMS from DONOR (viability)]])</f>
        <v/>
      </c>
    </row>
    <row r="85" spans="2:9" x14ac:dyDescent="0.25">
      <c r="B85" t="str">
        <f t="shared" si="4"/>
        <v>W6.GERMS.FROM.DONOR</v>
      </c>
      <c r="C85" s="45" t="str">
        <f>Master[[#This Row],[Inventory Prefix]]&amp;" "&amp;Master[[#This Row],[Inventory Number]]&amp;" "&amp;Master[[#This Row],[Inventory Suffix]]&amp;" "&amp;Master[[#This Row],[Inventory Type - Lookup Picker]]</f>
        <v>W6   SD</v>
      </c>
      <c r="D85" s="45" t="str">
        <f t="shared" si="5"/>
        <v>mm/yyyy</v>
      </c>
      <c r="E85" s="77" t="str">
        <f>IF(Master[[#This Row],[GERMS from DONOR (test date)]]="","",Master[[#This Row],[GERMS from DONOR (test date)]])</f>
        <v/>
      </c>
      <c r="I85" s="76" t="str">
        <f>IF(Master[[#This Row],[GERMS from DONOR (viability)]]="","",Master[[#This Row],[GERMS from DONOR (viability)]])</f>
        <v/>
      </c>
    </row>
    <row r="86" spans="2:9" x14ac:dyDescent="0.25">
      <c r="B86" t="str">
        <f t="shared" si="4"/>
        <v>W6.GERMS.FROM.DONOR</v>
      </c>
      <c r="C86" s="45" t="str">
        <f>Master[[#This Row],[Inventory Prefix]]&amp;" "&amp;Master[[#This Row],[Inventory Number]]&amp;" "&amp;Master[[#This Row],[Inventory Suffix]]&amp;" "&amp;Master[[#This Row],[Inventory Type - Lookup Picker]]</f>
        <v>W6   SD</v>
      </c>
      <c r="D86" s="45" t="str">
        <f t="shared" si="5"/>
        <v>mm/yyyy</v>
      </c>
      <c r="E86" s="77" t="str">
        <f>IF(Master[[#This Row],[GERMS from DONOR (test date)]]="","",Master[[#This Row],[GERMS from DONOR (test date)]])</f>
        <v/>
      </c>
      <c r="I86" s="76" t="str">
        <f>IF(Master[[#This Row],[GERMS from DONOR (viability)]]="","",Master[[#This Row],[GERMS from DONOR (viability)]])</f>
        <v/>
      </c>
    </row>
    <row r="87" spans="2:9" x14ac:dyDescent="0.25">
      <c r="B87" t="str">
        <f t="shared" si="4"/>
        <v>W6.GERMS.FROM.DONOR</v>
      </c>
      <c r="C87" s="45" t="str">
        <f>Master[[#This Row],[Inventory Prefix]]&amp;" "&amp;Master[[#This Row],[Inventory Number]]&amp;" "&amp;Master[[#This Row],[Inventory Suffix]]&amp;" "&amp;Master[[#This Row],[Inventory Type - Lookup Picker]]</f>
        <v>W6   SD</v>
      </c>
      <c r="D87" s="45" t="str">
        <f t="shared" si="5"/>
        <v>mm/yyyy</v>
      </c>
      <c r="E87" s="77" t="str">
        <f>IF(Master[[#This Row],[GERMS from DONOR (test date)]]="","",Master[[#This Row],[GERMS from DONOR (test date)]])</f>
        <v/>
      </c>
      <c r="I87" s="76" t="str">
        <f>IF(Master[[#This Row],[GERMS from DONOR (viability)]]="","",Master[[#This Row],[GERMS from DONOR (viability)]])</f>
        <v/>
      </c>
    </row>
    <row r="88" spans="2:9" x14ac:dyDescent="0.25">
      <c r="B88" t="str">
        <f t="shared" si="4"/>
        <v>W6.GERMS.FROM.DONOR</v>
      </c>
      <c r="C88" s="45" t="str">
        <f>Master[[#This Row],[Inventory Prefix]]&amp;" "&amp;Master[[#This Row],[Inventory Number]]&amp;" "&amp;Master[[#This Row],[Inventory Suffix]]&amp;" "&amp;Master[[#This Row],[Inventory Type - Lookup Picker]]</f>
        <v>W6   SD</v>
      </c>
      <c r="D88" s="45" t="str">
        <f t="shared" si="5"/>
        <v>mm/yyyy</v>
      </c>
      <c r="E88" s="77" t="str">
        <f>IF(Master[[#This Row],[GERMS from DONOR (test date)]]="","",Master[[#This Row],[GERMS from DONOR (test date)]])</f>
        <v/>
      </c>
      <c r="I88" s="76" t="str">
        <f>IF(Master[[#This Row],[GERMS from DONOR (viability)]]="","",Master[[#This Row],[GERMS from DONOR (viability)]])</f>
        <v/>
      </c>
    </row>
    <row r="89" spans="2:9" x14ac:dyDescent="0.25">
      <c r="B89" t="str">
        <f t="shared" si="4"/>
        <v>W6.GERMS.FROM.DONOR</v>
      </c>
      <c r="C89" s="45" t="str">
        <f>Master[[#This Row],[Inventory Prefix]]&amp;" "&amp;Master[[#This Row],[Inventory Number]]&amp;" "&amp;Master[[#This Row],[Inventory Suffix]]&amp;" "&amp;Master[[#This Row],[Inventory Type - Lookup Picker]]</f>
        <v>W6   SD</v>
      </c>
      <c r="D89" s="45" t="str">
        <f t="shared" si="5"/>
        <v>mm/yyyy</v>
      </c>
      <c r="E89" s="77" t="str">
        <f>IF(Master[[#This Row],[GERMS from DONOR (test date)]]="","",Master[[#This Row],[GERMS from DONOR (test date)]])</f>
        <v/>
      </c>
      <c r="I89" s="76" t="str">
        <f>IF(Master[[#This Row],[GERMS from DONOR (viability)]]="","",Master[[#This Row],[GERMS from DONOR (viability)]])</f>
        <v/>
      </c>
    </row>
    <row r="90" spans="2:9" x14ac:dyDescent="0.25">
      <c r="B90" t="str">
        <f t="shared" si="4"/>
        <v>W6.GERMS.FROM.DONOR</v>
      </c>
      <c r="C90" s="45" t="str">
        <f>Master[[#This Row],[Inventory Prefix]]&amp;" "&amp;Master[[#This Row],[Inventory Number]]&amp;" "&amp;Master[[#This Row],[Inventory Suffix]]&amp;" "&amp;Master[[#This Row],[Inventory Type - Lookup Picker]]</f>
        <v>W6   SD</v>
      </c>
      <c r="D90" s="45" t="str">
        <f t="shared" si="5"/>
        <v>mm/yyyy</v>
      </c>
      <c r="E90" s="77" t="str">
        <f>IF(Master[[#This Row],[GERMS from DONOR (test date)]]="","",Master[[#This Row],[GERMS from DONOR (test date)]])</f>
        <v/>
      </c>
      <c r="I90" s="76" t="str">
        <f>IF(Master[[#This Row],[GERMS from DONOR (viability)]]="","",Master[[#This Row],[GERMS from DONOR (viability)]])</f>
        <v/>
      </c>
    </row>
    <row r="91" spans="2:9" x14ac:dyDescent="0.25">
      <c r="B91" t="str">
        <f t="shared" si="4"/>
        <v>W6.GERMS.FROM.DONOR</v>
      </c>
      <c r="C91" s="45" t="str">
        <f>Master[[#This Row],[Inventory Prefix]]&amp;" "&amp;Master[[#This Row],[Inventory Number]]&amp;" "&amp;Master[[#This Row],[Inventory Suffix]]&amp;" "&amp;Master[[#This Row],[Inventory Type - Lookup Picker]]</f>
        <v>W6   SD</v>
      </c>
      <c r="D91" s="45" t="str">
        <f t="shared" si="5"/>
        <v>mm/yyyy</v>
      </c>
      <c r="E91" s="77" t="str">
        <f>IF(Master[[#This Row],[GERMS from DONOR (test date)]]="","",Master[[#This Row],[GERMS from DONOR (test date)]])</f>
        <v/>
      </c>
      <c r="I91" s="76" t="str">
        <f>IF(Master[[#This Row],[GERMS from DONOR (viability)]]="","",Master[[#This Row],[GERMS from DONOR (viability)]])</f>
        <v/>
      </c>
    </row>
    <row r="92" spans="2:9" x14ac:dyDescent="0.25">
      <c r="B92" t="str">
        <f t="shared" si="4"/>
        <v>W6.GERMS.FROM.DONOR</v>
      </c>
      <c r="C92" s="45" t="str">
        <f>Master[[#This Row],[Inventory Prefix]]&amp;" "&amp;Master[[#This Row],[Inventory Number]]&amp;" "&amp;Master[[#This Row],[Inventory Suffix]]&amp;" "&amp;Master[[#This Row],[Inventory Type - Lookup Picker]]</f>
        <v>W6   SD</v>
      </c>
      <c r="D92" s="45" t="str">
        <f t="shared" si="5"/>
        <v>mm/yyyy</v>
      </c>
      <c r="E92" s="77" t="str">
        <f>IF(Master[[#This Row],[GERMS from DONOR (test date)]]="","",Master[[#This Row],[GERMS from DONOR (test date)]])</f>
        <v/>
      </c>
      <c r="I92" s="76" t="str">
        <f>IF(Master[[#This Row],[GERMS from DONOR (viability)]]="","",Master[[#This Row],[GERMS from DONOR (viability)]])</f>
        <v/>
      </c>
    </row>
    <row r="93" spans="2:9" x14ac:dyDescent="0.25">
      <c r="B93" t="str">
        <f t="shared" si="4"/>
        <v>W6.GERMS.FROM.DONOR</v>
      </c>
      <c r="C93" s="45" t="str">
        <f>Master[[#This Row],[Inventory Prefix]]&amp;" "&amp;Master[[#This Row],[Inventory Number]]&amp;" "&amp;Master[[#This Row],[Inventory Suffix]]&amp;" "&amp;Master[[#This Row],[Inventory Type - Lookup Picker]]</f>
        <v>W6   SD</v>
      </c>
      <c r="D93" s="45" t="str">
        <f t="shared" si="5"/>
        <v>mm/yyyy</v>
      </c>
      <c r="E93" s="77" t="str">
        <f>IF(Master[[#This Row],[GERMS from DONOR (test date)]]="","",Master[[#This Row],[GERMS from DONOR (test date)]])</f>
        <v/>
      </c>
      <c r="I93" s="76" t="str">
        <f>IF(Master[[#This Row],[GERMS from DONOR (viability)]]="","",Master[[#This Row],[GERMS from DONOR (viability)]])</f>
        <v/>
      </c>
    </row>
    <row r="94" spans="2:9" x14ac:dyDescent="0.25">
      <c r="B94" t="str">
        <f t="shared" si="4"/>
        <v>W6.GERMS.FROM.DONOR</v>
      </c>
      <c r="C94" s="45" t="str">
        <f>Master[[#This Row],[Inventory Prefix]]&amp;" "&amp;Master[[#This Row],[Inventory Number]]&amp;" "&amp;Master[[#This Row],[Inventory Suffix]]&amp;" "&amp;Master[[#This Row],[Inventory Type - Lookup Picker]]</f>
        <v>W6   SD</v>
      </c>
      <c r="D94" s="45" t="str">
        <f t="shared" si="5"/>
        <v>mm/yyyy</v>
      </c>
      <c r="E94" s="77" t="str">
        <f>IF(Master[[#This Row],[GERMS from DONOR (test date)]]="","",Master[[#This Row],[GERMS from DONOR (test date)]])</f>
        <v/>
      </c>
      <c r="I94" s="76" t="str">
        <f>IF(Master[[#This Row],[GERMS from DONOR (viability)]]="","",Master[[#This Row],[GERMS from DONOR (viability)]])</f>
        <v/>
      </c>
    </row>
    <row r="95" spans="2:9" x14ac:dyDescent="0.25">
      <c r="B95" t="str">
        <f t="shared" si="4"/>
        <v>W6.GERMS.FROM.DONOR</v>
      </c>
      <c r="C95" s="45" t="str">
        <f>Master[[#This Row],[Inventory Prefix]]&amp;" "&amp;Master[[#This Row],[Inventory Number]]&amp;" "&amp;Master[[#This Row],[Inventory Suffix]]&amp;" "&amp;Master[[#This Row],[Inventory Type - Lookup Picker]]</f>
        <v>W6   SD</v>
      </c>
      <c r="D95" s="45" t="str">
        <f t="shared" si="5"/>
        <v>mm/yyyy</v>
      </c>
      <c r="E95" s="77" t="str">
        <f>IF(Master[[#This Row],[GERMS from DONOR (test date)]]="","",Master[[#This Row],[GERMS from DONOR (test date)]])</f>
        <v/>
      </c>
      <c r="I95" s="76" t="str">
        <f>IF(Master[[#This Row],[GERMS from DONOR (viability)]]="","",Master[[#This Row],[GERMS from DONOR (viability)]])</f>
        <v/>
      </c>
    </row>
    <row r="96" spans="2:9" x14ac:dyDescent="0.25">
      <c r="B96" t="str">
        <f t="shared" si="4"/>
        <v>W6.GERMS.FROM.DONOR</v>
      </c>
      <c r="C96" s="45" t="str">
        <f>Master[[#This Row],[Inventory Prefix]]&amp;" "&amp;Master[[#This Row],[Inventory Number]]&amp;" "&amp;Master[[#This Row],[Inventory Suffix]]&amp;" "&amp;Master[[#This Row],[Inventory Type - Lookup Picker]]</f>
        <v>W6   SD</v>
      </c>
      <c r="D96" s="45" t="str">
        <f t="shared" si="5"/>
        <v>mm/yyyy</v>
      </c>
      <c r="E96" s="77" t="str">
        <f>IF(Master[[#This Row],[GERMS from DONOR (test date)]]="","",Master[[#This Row],[GERMS from DONOR (test date)]])</f>
        <v/>
      </c>
      <c r="I96" s="76" t="str">
        <f>IF(Master[[#This Row],[GERMS from DONOR (viability)]]="","",Master[[#This Row],[GERMS from DONOR (viability)]])</f>
        <v/>
      </c>
    </row>
    <row r="97" spans="2:9" x14ac:dyDescent="0.25">
      <c r="B97" t="str">
        <f t="shared" si="4"/>
        <v>W6.GERMS.FROM.DONOR</v>
      </c>
      <c r="C97" s="45" t="str">
        <f>Master[[#This Row],[Inventory Prefix]]&amp;" "&amp;Master[[#This Row],[Inventory Number]]&amp;" "&amp;Master[[#This Row],[Inventory Suffix]]&amp;" "&amp;Master[[#This Row],[Inventory Type - Lookup Picker]]</f>
        <v>W6   SD</v>
      </c>
      <c r="D97" s="45" t="str">
        <f t="shared" si="5"/>
        <v>mm/yyyy</v>
      </c>
      <c r="E97" s="77" t="str">
        <f>IF(Master[[#This Row],[GERMS from DONOR (test date)]]="","",Master[[#This Row],[GERMS from DONOR (test date)]])</f>
        <v/>
      </c>
      <c r="I97" s="76" t="str">
        <f>IF(Master[[#This Row],[GERMS from DONOR (viability)]]="","",Master[[#This Row],[GERMS from DONOR (viability)]])</f>
        <v/>
      </c>
    </row>
    <row r="98" spans="2:9" x14ac:dyDescent="0.25">
      <c r="B98" t="str">
        <f t="shared" ref="B98:B129" si="6">"W6.GERMS.FROM.DONOR"</f>
        <v>W6.GERMS.FROM.DONOR</v>
      </c>
      <c r="C98" s="45" t="str">
        <f>Master[[#This Row],[Inventory Prefix]]&amp;" "&amp;Master[[#This Row],[Inventory Number]]&amp;" "&amp;Master[[#This Row],[Inventory Suffix]]&amp;" "&amp;Master[[#This Row],[Inventory Type - Lookup Picker]]</f>
        <v>W6   SD</v>
      </c>
      <c r="D98" s="45" t="str">
        <f t="shared" si="5"/>
        <v>mm/yyyy</v>
      </c>
      <c r="E98" s="77" t="str">
        <f>IF(Master[[#This Row],[GERMS from DONOR (test date)]]="","",Master[[#This Row],[GERMS from DONOR (test date)]])</f>
        <v/>
      </c>
      <c r="I98" s="76" t="str">
        <f>IF(Master[[#This Row],[GERMS from DONOR (viability)]]="","",Master[[#This Row],[GERMS from DONOR (viability)]])</f>
        <v/>
      </c>
    </row>
    <row r="99" spans="2:9" x14ac:dyDescent="0.25">
      <c r="B99" t="str">
        <f t="shared" si="6"/>
        <v>W6.GERMS.FROM.DONOR</v>
      </c>
      <c r="C99" s="45" t="str">
        <f>Master[[#This Row],[Inventory Prefix]]&amp;" "&amp;Master[[#This Row],[Inventory Number]]&amp;" "&amp;Master[[#This Row],[Inventory Suffix]]&amp;" "&amp;Master[[#This Row],[Inventory Type - Lookup Picker]]</f>
        <v>W6   SD</v>
      </c>
      <c r="D99" s="45" t="str">
        <f t="shared" si="5"/>
        <v>mm/yyyy</v>
      </c>
      <c r="E99" s="77" t="str">
        <f>IF(Master[[#This Row],[GERMS from DONOR (test date)]]="","",Master[[#This Row],[GERMS from DONOR (test date)]])</f>
        <v/>
      </c>
      <c r="I99" s="76" t="str">
        <f>IF(Master[[#This Row],[GERMS from DONOR (viability)]]="","",Master[[#This Row],[GERMS from DONOR (viability)]])</f>
        <v/>
      </c>
    </row>
    <row r="100" spans="2:9" x14ac:dyDescent="0.25">
      <c r="B100" t="str">
        <f t="shared" si="6"/>
        <v>W6.GERMS.FROM.DONOR</v>
      </c>
      <c r="C100" s="45" t="str">
        <f>Master[[#This Row],[Inventory Prefix]]&amp;" "&amp;Master[[#This Row],[Inventory Number]]&amp;" "&amp;Master[[#This Row],[Inventory Suffix]]&amp;" "&amp;Master[[#This Row],[Inventory Type - Lookup Picker]]</f>
        <v>W6   SD</v>
      </c>
      <c r="D100" s="45" t="str">
        <f t="shared" ref="D100:D131" si="7">"mm/yyyy"</f>
        <v>mm/yyyy</v>
      </c>
      <c r="E100" s="77" t="str">
        <f>IF(Master[[#This Row],[GERMS from DONOR (test date)]]="","",Master[[#This Row],[GERMS from DONOR (test date)]])</f>
        <v/>
      </c>
      <c r="I100" s="76" t="str">
        <f>IF(Master[[#This Row],[GERMS from DONOR (viability)]]="","",Master[[#This Row],[GERMS from DONOR (viability)]])</f>
        <v/>
      </c>
    </row>
    <row r="101" spans="2:9" x14ac:dyDescent="0.25">
      <c r="B101" t="str">
        <f t="shared" si="6"/>
        <v>W6.GERMS.FROM.DONOR</v>
      </c>
      <c r="C101" s="45" t="str">
        <f>Master[[#This Row],[Inventory Prefix]]&amp;" "&amp;Master[[#This Row],[Inventory Number]]&amp;" "&amp;Master[[#This Row],[Inventory Suffix]]&amp;" "&amp;Master[[#This Row],[Inventory Type - Lookup Picker]]</f>
        <v>W6   SD</v>
      </c>
      <c r="D101" s="45" t="str">
        <f t="shared" si="7"/>
        <v>mm/yyyy</v>
      </c>
      <c r="E101" s="77" t="str">
        <f>IF(Master[[#This Row],[GERMS from DONOR (test date)]]="","",Master[[#This Row],[GERMS from DONOR (test date)]])</f>
        <v/>
      </c>
      <c r="I101" s="76" t="str">
        <f>IF(Master[[#This Row],[GERMS from DONOR (viability)]]="","",Master[[#This Row],[GERMS from DONOR (viability)]])</f>
        <v/>
      </c>
    </row>
    <row r="102" spans="2:9" x14ac:dyDescent="0.25">
      <c r="B102" t="str">
        <f t="shared" si="6"/>
        <v>W6.GERMS.FROM.DONOR</v>
      </c>
      <c r="C102" s="45" t="str">
        <f>Master[[#This Row],[Inventory Prefix]]&amp;" "&amp;Master[[#This Row],[Inventory Number]]&amp;" "&amp;Master[[#This Row],[Inventory Suffix]]&amp;" "&amp;Master[[#This Row],[Inventory Type - Lookup Picker]]</f>
        <v>W6   SD</v>
      </c>
      <c r="D102" s="45" t="str">
        <f t="shared" si="7"/>
        <v>mm/yyyy</v>
      </c>
      <c r="E102" s="77" t="str">
        <f>IF(Master[[#This Row],[GERMS from DONOR (test date)]]="","",Master[[#This Row],[GERMS from DONOR (test date)]])</f>
        <v/>
      </c>
      <c r="I102" s="76" t="str">
        <f>IF(Master[[#This Row],[GERMS from DONOR (viability)]]="","",Master[[#This Row],[GERMS from DONOR (viability)]])</f>
        <v/>
      </c>
    </row>
    <row r="103" spans="2:9" x14ac:dyDescent="0.25">
      <c r="B103" t="str">
        <f t="shared" si="6"/>
        <v>W6.GERMS.FROM.DONOR</v>
      </c>
      <c r="C103" s="45" t="str">
        <f>Master[[#This Row],[Inventory Prefix]]&amp;" "&amp;Master[[#This Row],[Inventory Number]]&amp;" "&amp;Master[[#This Row],[Inventory Suffix]]&amp;" "&amp;Master[[#This Row],[Inventory Type - Lookup Picker]]</f>
        <v>W6   SD</v>
      </c>
      <c r="D103" s="45" t="str">
        <f t="shared" si="7"/>
        <v>mm/yyyy</v>
      </c>
      <c r="E103" s="77" t="str">
        <f>IF(Master[[#This Row],[GERMS from DONOR (test date)]]="","",Master[[#This Row],[GERMS from DONOR (test date)]])</f>
        <v/>
      </c>
      <c r="I103" s="76" t="str">
        <f>IF(Master[[#This Row],[GERMS from DONOR (viability)]]="","",Master[[#This Row],[GERMS from DONOR (viability)]])</f>
        <v/>
      </c>
    </row>
    <row r="104" spans="2:9" x14ac:dyDescent="0.25">
      <c r="B104" t="str">
        <f t="shared" si="6"/>
        <v>W6.GERMS.FROM.DONOR</v>
      </c>
      <c r="C104" s="45" t="str">
        <f>Master[[#This Row],[Inventory Prefix]]&amp;" "&amp;Master[[#This Row],[Inventory Number]]&amp;" "&amp;Master[[#This Row],[Inventory Suffix]]&amp;" "&amp;Master[[#This Row],[Inventory Type - Lookup Picker]]</f>
        <v>W6   SD</v>
      </c>
      <c r="D104" s="45" t="str">
        <f t="shared" si="7"/>
        <v>mm/yyyy</v>
      </c>
      <c r="E104" s="77" t="str">
        <f>IF(Master[[#This Row],[GERMS from DONOR (test date)]]="","",Master[[#This Row],[GERMS from DONOR (test date)]])</f>
        <v/>
      </c>
      <c r="I104" s="76" t="str">
        <f>IF(Master[[#This Row],[GERMS from DONOR (viability)]]="","",Master[[#This Row],[GERMS from DONOR (viability)]])</f>
        <v/>
      </c>
    </row>
    <row r="105" spans="2:9" x14ac:dyDescent="0.25">
      <c r="B105" t="str">
        <f t="shared" si="6"/>
        <v>W6.GERMS.FROM.DONOR</v>
      </c>
      <c r="C105" s="45" t="str">
        <f>Master[[#This Row],[Inventory Prefix]]&amp;" "&amp;Master[[#This Row],[Inventory Number]]&amp;" "&amp;Master[[#This Row],[Inventory Suffix]]&amp;" "&amp;Master[[#This Row],[Inventory Type - Lookup Picker]]</f>
        <v>W6   SD</v>
      </c>
      <c r="D105" s="45" t="str">
        <f t="shared" si="7"/>
        <v>mm/yyyy</v>
      </c>
      <c r="E105" s="77" t="str">
        <f>IF(Master[[#This Row],[GERMS from DONOR (test date)]]="","",Master[[#This Row],[GERMS from DONOR (test date)]])</f>
        <v/>
      </c>
      <c r="I105" s="76" t="str">
        <f>IF(Master[[#This Row],[GERMS from DONOR (viability)]]="","",Master[[#This Row],[GERMS from DONOR (viability)]])</f>
        <v/>
      </c>
    </row>
    <row r="106" spans="2:9" x14ac:dyDescent="0.25">
      <c r="B106" t="str">
        <f t="shared" si="6"/>
        <v>W6.GERMS.FROM.DONOR</v>
      </c>
      <c r="C106" s="45" t="str">
        <f>Master[[#This Row],[Inventory Prefix]]&amp;" "&amp;Master[[#This Row],[Inventory Number]]&amp;" "&amp;Master[[#This Row],[Inventory Suffix]]&amp;" "&amp;Master[[#This Row],[Inventory Type - Lookup Picker]]</f>
        <v>W6   SD</v>
      </c>
      <c r="D106" s="45" t="str">
        <f t="shared" si="7"/>
        <v>mm/yyyy</v>
      </c>
      <c r="E106" s="77" t="str">
        <f>IF(Master[[#This Row],[GERMS from DONOR (test date)]]="","",Master[[#This Row],[GERMS from DONOR (test date)]])</f>
        <v/>
      </c>
      <c r="I106" s="76" t="str">
        <f>IF(Master[[#This Row],[GERMS from DONOR (viability)]]="","",Master[[#This Row],[GERMS from DONOR (viability)]])</f>
        <v/>
      </c>
    </row>
    <row r="107" spans="2:9" x14ac:dyDescent="0.25">
      <c r="B107" t="str">
        <f t="shared" si="6"/>
        <v>W6.GERMS.FROM.DONOR</v>
      </c>
      <c r="C107" s="45" t="str">
        <f>Master[[#This Row],[Inventory Prefix]]&amp;" "&amp;Master[[#This Row],[Inventory Number]]&amp;" "&amp;Master[[#This Row],[Inventory Suffix]]&amp;" "&amp;Master[[#This Row],[Inventory Type - Lookup Picker]]</f>
        <v>W6   SD</v>
      </c>
      <c r="D107" s="45" t="str">
        <f t="shared" si="7"/>
        <v>mm/yyyy</v>
      </c>
      <c r="E107" s="77" t="str">
        <f>IF(Master[[#This Row],[GERMS from DONOR (test date)]]="","",Master[[#This Row],[GERMS from DONOR (test date)]])</f>
        <v/>
      </c>
      <c r="I107" s="76" t="str">
        <f>IF(Master[[#This Row],[GERMS from DONOR (viability)]]="","",Master[[#This Row],[GERMS from DONOR (viability)]])</f>
        <v/>
      </c>
    </row>
    <row r="108" spans="2:9" x14ac:dyDescent="0.25">
      <c r="B108" t="str">
        <f t="shared" si="6"/>
        <v>W6.GERMS.FROM.DONOR</v>
      </c>
      <c r="C108" s="45" t="str">
        <f>Master[[#This Row],[Inventory Prefix]]&amp;" "&amp;Master[[#This Row],[Inventory Number]]&amp;" "&amp;Master[[#This Row],[Inventory Suffix]]&amp;" "&amp;Master[[#This Row],[Inventory Type - Lookup Picker]]</f>
        <v>W6   SD</v>
      </c>
      <c r="D108" s="45" t="str">
        <f t="shared" si="7"/>
        <v>mm/yyyy</v>
      </c>
      <c r="E108" s="77" t="str">
        <f>IF(Master[[#This Row],[GERMS from DONOR (test date)]]="","",Master[[#This Row],[GERMS from DONOR (test date)]])</f>
        <v/>
      </c>
      <c r="I108" s="76" t="str">
        <f>IF(Master[[#This Row],[GERMS from DONOR (viability)]]="","",Master[[#This Row],[GERMS from DONOR (viability)]])</f>
        <v/>
      </c>
    </row>
    <row r="109" spans="2:9" x14ac:dyDescent="0.25">
      <c r="B109" t="str">
        <f t="shared" si="6"/>
        <v>W6.GERMS.FROM.DONOR</v>
      </c>
      <c r="C109" s="45" t="str">
        <f>Master[[#This Row],[Inventory Prefix]]&amp;" "&amp;Master[[#This Row],[Inventory Number]]&amp;" "&amp;Master[[#This Row],[Inventory Suffix]]&amp;" "&amp;Master[[#This Row],[Inventory Type - Lookup Picker]]</f>
        <v>W6   SD</v>
      </c>
      <c r="D109" s="45" t="str">
        <f t="shared" si="7"/>
        <v>mm/yyyy</v>
      </c>
      <c r="E109" s="77" t="str">
        <f>IF(Master[[#This Row],[GERMS from DONOR (test date)]]="","",Master[[#This Row],[GERMS from DONOR (test date)]])</f>
        <v/>
      </c>
      <c r="I109" s="76" t="str">
        <f>IF(Master[[#This Row],[GERMS from DONOR (viability)]]="","",Master[[#This Row],[GERMS from DONOR (viability)]])</f>
        <v/>
      </c>
    </row>
    <row r="110" spans="2:9" x14ac:dyDescent="0.25">
      <c r="B110" t="str">
        <f t="shared" si="6"/>
        <v>W6.GERMS.FROM.DONOR</v>
      </c>
      <c r="C110" s="45" t="str">
        <f>Master[[#This Row],[Inventory Prefix]]&amp;" "&amp;Master[[#This Row],[Inventory Number]]&amp;" "&amp;Master[[#This Row],[Inventory Suffix]]&amp;" "&amp;Master[[#This Row],[Inventory Type - Lookup Picker]]</f>
        <v>W6   SD</v>
      </c>
      <c r="D110" s="45" t="str">
        <f t="shared" si="7"/>
        <v>mm/yyyy</v>
      </c>
      <c r="E110" s="77" t="str">
        <f>IF(Master[[#This Row],[GERMS from DONOR (test date)]]="","",Master[[#This Row],[GERMS from DONOR (test date)]])</f>
        <v/>
      </c>
      <c r="I110" s="76" t="str">
        <f>IF(Master[[#This Row],[GERMS from DONOR (viability)]]="","",Master[[#This Row],[GERMS from DONOR (viability)]])</f>
        <v/>
      </c>
    </row>
    <row r="111" spans="2:9" x14ac:dyDescent="0.25">
      <c r="B111" t="str">
        <f t="shared" si="6"/>
        <v>W6.GERMS.FROM.DONOR</v>
      </c>
      <c r="C111" s="45" t="str">
        <f>Master[[#This Row],[Inventory Prefix]]&amp;" "&amp;Master[[#This Row],[Inventory Number]]&amp;" "&amp;Master[[#This Row],[Inventory Suffix]]&amp;" "&amp;Master[[#This Row],[Inventory Type - Lookup Picker]]</f>
        <v>W6   SD</v>
      </c>
      <c r="D111" s="45" t="str">
        <f t="shared" si="7"/>
        <v>mm/yyyy</v>
      </c>
      <c r="E111" s="77" t="str">
        <f>IF(Master[[#This Row],[GERMS from DONOR (test date)]]="","",Master[[#This Row],[GERMS from DONOR (test date)]])</f>
        <v/>
      </c>
      <c r="I111" s="76" t="str">
        <f>IF(Master[[#This Row],[GERMS from DONOR (viability)]]="","",Master[[#This Row],[GERMS from DONOR (viability)]])</f>
        <v/>
      </c>
    </row>
    <row r="112" spans="2:9" x14ac:dyDescent="0.25">
      <c r="B112" t="str">
        <f t="shared" si="6"/>
        <v>W6.GERMS.FROM.DONOR</v>
      </c>
      <c r="C112" s="45" t="str">
        <f>Master[[#This Row],[Inventory Prefix]]&amp;" "&amp;Master[[#This Row],[Inventory Number]]&amp;" "&amp;Master[[#This Row],[Inventory Suffix]]&amp;" "&amp;Master[[#This Row],[Inventory Type - Lookup Picker]]</f>
        <v>W6   SD</v>
      </c>
      <c r="D112" s="45" t="str">
        <f t="shared" si="7"/>
        <v>mm/yyyy</v>
      </c>
      <c r="E112" s="77" t="str">
        <f>IF(Master[[#This Row],[GERMS from DONOR (test date)]]="","",Master[[#This Row],[GERMS from DONOR (test date)]])</f>
        <v/>
      </c>
      <c r="I112" s="76" t="str">
        <f>IF(Master[[#This Row],[GERMS from DONOR (viability)]]="","",Master[[#This Row],[GERMS from DONOR (viability)]])</f>
        <v/>
      </c>
    </row>
    <row r="113" spans="2:9" x14ac:dyDescent="0.25">
      <c r="B113" t="str">
        <f t="shared" si="6"/>
        <v>W6.GERMS.FROM.DONOR</v>
      </c>
      <c r="C113" s="45" t="str">
        <f>Master[[#This Row],[Inventory Prefix]]&amp;" "&amp;Master[[#This Row],[Inventory Number]]&amp;" "&amp;Master[[#This Row],[Inventory Suffix]]&amp;" "&amp;Master[[#This Row],[Inventory Type - Lookup Picker]]</f>
        <v>W6   SD</v>
      </c>
      <c r="D113" s="45" t="str">
        <f t="shared" si="7"/>
        <v>mm/yyyy</v>
      </c>
      <c r="E113" s="77" t="str">
        <f>IF(Master[[#This Row],[GERMS from DONOR (test date)]]="","",Master[[#This Row],[GERMS from DONOR (test date)]])</f>
        <v/>
      </c>
      <c r="I113" s="76" t="str">
        <f>IF(Master[[#This Row],[GERMS from DONOR (viability)]]="","",Master[[#This Row],[GERMS from DONOR (viability)]])</f>
        <v/>
      </c>
    </row>
    <row r="114" spans="2:9" x14ac:dyDescent="0.25">
      <c r="B114" t="str">
        <f t="shared" si="6"/>
        <v>W6.GERMS.FROM.DONOR</v>
      </c>
      <c r="C114" s="45" t="str">
        <f>Master[[#This Row],[Inventory Prefix]]&amp;" "&amp;Master[[#This Row],[Inventory Number]]&amp;" "&amp;Master[[#This Row],[Inventory Suffix]]&amp;" "&amp;Master[[#This Row],[Inventory Type - Lookup Picker]]</f>
        <v>W6   SD</v>
      </c>
      <c r="D114" s="45" t="str">
        <f t="shared" si="7"/>
        <v>mm/yyyy</v>
      </c>
      <c r="E114" s="77" t="str">
        <f>IF(Master[[#This Row],[GERMS from DONOR (test date)]]="","",Master[[#This Row],[GERMS from DONOR (test date)]])</f>
        <v/>
      </c>
      <c r="I114" s="76" t="str">
        <f>IF(Master[[#This Row],[GERMS from DONOR (viability)]]="","",Master[[#This Row],[GERMS from DONOR (viability)]])</f>
        <v/>
      </c>
    </row>
    <row r="115" spans="2:9" x14ac:dyDescent="0.25">
      <c r="B115" t="str">
        <f t="shared" si="6"/>
        <v>W6.GERMS.FROM.DONOR</v>
      </c>
      <c r="C115" s="45" t="str">
        <f>Master[[#This Row],[Inventory Prefix]]&amp;" "&amp;Master[[#This Row],[Inventory Number]]&amp;" "&amp;Master[[#This Row],[Inventory Suffix]]&amp;" "&amp;Master[[#This Row],[Inventory Type - Lookup Picker]]</f>
        <v>W6   SD</v>
      </c>
      <c r="D115" s="45" t="str">
        <f t="shared" si="7"/>
        <v>mm/yyyy</v>
      </c>
      <c r="E115" s="77" t="str">
        <f>IF(Master[[#This Row],[GERMS from DONOR (test date)]]="","",Master[[#This Row],[GERMS from DONOR (test date)]])</f>
        <v/>
      </c>
      <c r="I115" s="76" t="str">
        <f>IF(Master[[#This Row],[GERMS from DONOR (viability)]]="","",Master[[#This Row],[GERMS from DONOR (viability)]])</f>
        <v/>
      </c>
    </row>
    <row r="116" spans="2:9" x14ac:dyDescent="0.25">
      <c r="B116" t="str">
        <f t="shared" si="6"/>
        <v>W6.GERMS.FROM.DONOR</v>
      </c>
      <c r="C116" s="45" t="str">
        <f>Master[[#This Row],[Inventory Prefix]]&amp;" "&amp;Master[[#This Row],[Inventory Number]]&amp;" "&amp;Master[[#This Row],[Inventory Suffix]]&amp;" "&amp;Master[[#This Row],[Inventory Type - Lookup Picker]]</f>
        <v>W6   SD</v>
      </c>
      <c r="D116" s="45" t="str">
        <f t="shared" si="7"/>
        <v>mm/yyyy</v>
      </c>
      <c r="E116" s="77" t="str">
        <f>IF(Master[[#This Row],[GERMS from DONOR (test date)]]="","",Master[[#This Row],[GERMS from DONOR (test date)]])</f>
        <v/>
      </c>
      <c r="I116" s="76" t="str">
        <f>IF(Master[[#This Row],[GERMS from DONOR (viability)]]="","",Master[[#This Row],[GERMS from DONOR (viability)]])</f>
        <v/>
      </c>
    </row>
    <row r="117" spans="2:9" x14ac:dyDescent="0.25">
      <c r="B117" t="str">
        <f t="shared" si="6"/>
        <v>W6.GERMS.FROM.DONOR</v>
      </c>
      <c r="C117" s="45" t="str">
        <f>Master[[#This Row],[Inventory Prefix]]&amp;" "&amp;Master[[#This Row],[Inventory Number]]&amp;" "&amp;Master[[#This Row],[Inventory Suffix]]&amp;" "&amp;Master[[#This Row],[Inventory Type - Lookup Picker]]</f>
        <v>W6   SD</v>
      </c>
      <c r="D117" s="45" t="str">
        <f t="shared" si="7"/>
        <v>mm/yyyy</v>
      </c>
      <c r="E117" s="77" t="str">
        <f>IF(Master[[#This Row],[GERMS from DONOR (test date)]]="","",Master[[#This Row],[GERMS from DONOR (test date)]])</f>
        <v/>
      </c>
      <c r="I117" s="76" t="str">
        <f>IF(Master[[#This Row],[GERMS from DONOR (viability)]]="","",Master[[#This Row],[GERMS from DONOR (viability)]])</f>
        <v/>
      </c>
    </row>
    <row r="118" spans="2:9" x14ac:dyDescent="0.25">
      <c r="B118" t="str">
        <f t="shared" si="6"/>
        <v>W6.GERMS.FROM.DONOR</v>
      </c>
      <c r="C118" s="45" t="str">
        <f>Master[[#This Row],[Inventory Prefix]]&amp;" "&amp;Master[[#This Row],[Inventory Number]]&amp;" "&amp;Master[[#This Row],[Inventory Suffix]]&amp;" "&amp;Master[[#This Row],[Inventory Type - Lookup Picker]]</f>
        <v>W6   SD</v>
      </c>
      <c r="D118" s="45" t="str">
        <f t="shared" si="7"/>
        <v>mm/yyyy</v>
      </c>
      <c r="E118" s="77" t="str">
        <f>IF(Master[[#This Row],[GERMS from DONOR (test date)]]="","",Master[[#This Row],[GERMS from DONOR (test date)]])</f>
        <v/>
      </c>
      <c r="I118" s="76" t="str">
        <f>IF(Master[[#This Row],[GERMS from DONOR (viability)]]="","",Master[[#This Row],[GERMS from DONOR (viability)]])</f>
        <v/>
      </c>
    </row>
    <row r="119" spans="2:9" x14ac:dyDescent="0.25">
      <c r="B119" t="str">
        <f t="shared" si="6"/>
        <v>W6.GERMS.FROM.DONOR</v>
      </c>
      <c r="C119" s="45" t="str">
        <f>Master[[#This Row],[Inventory Prefix]]&amp;" "&amp;Master[[#This Row],[Inventory Number]]&amp;" "&amp;Master[[#This Row],[Inventory Suffix]]&amp;" "&amp;Master[[#This Row],[Inventory Type - Lookup Picker]]</f>
        <v>W6   SD</v>
      </c>
      <c r="D119" s="45" t="str">
        <f t="shared" si="7"/>
        <v>mm/yyyy</v>
      </c>
      <c r="E119" s="77" t="str">
        <f>IF(Master[[#This Row],[GERMS from DONOR (test date)]]="","",Master[[#This Row],[GERMS from DONOR (test date)]])</f>
        <v/>
      </c>
      <c r="I119" s="76" t="str">
        <f>IF(Master[[#This Row],[GERMS from DONOR (viability)]]="","",Master[[#This Row],[GERMS from DONOR (viability)]])</f>
        <v/>
      </c>
    </row>
    <row r="120" spans="2:9" x14ac:dyDescent="0.25">
      <c r="B120" t="str">
        <f t="shared" si="6"/>
        <v>W6.GERMS.FROM.DONOR</v>
      </c>
      <c r="C120" s="45" t="str">
        <f>Master[[#This Row],[Inventory Prefix]]&amp;" "&amp;Master[[#This Row],[Inventory Number]]&amp;" "&amp;Master[[#This Row],[Inventory Suffix]]&amp;" "&amp;Master[[#This Row],[Inventory Type - Lookup Picker]]</f>
        <v>W6   SD</v>
      </c>
      <c r="D120" s="45" t="str">
        <f t="shared" si="7"/>
        <v>mm/yyyy</v>
      </c>
      <c r="E120" s="77" t="str">
        <f>IF(Master[[#This Row],[GERMS from DONOR (test date)]]="","",Master[[#This Row],[GERMS from DONOR (test date)]])</f>
        <v/>
      </c>
      <c r="I120" s="76" t="str">
        <f>IF(Master[[#This Row],[GERMS from DONOR (viability)]]="","",Master[[#This Row],[GERMS from DONOR (viability)]])</f>
        <v/>
      </c>
    </row>
    <row r="121" spans="2:9" x14ac:dyDescent="0.25">
      <c r="B121" t="str">
        <f t="shared" si="6"/>
        <v>W6.GERMS.FROM.DONOR</v>
      </c>
      <c r="C121" s="45" t="str">
        <f>Master[[#This Row],[Inventory Prefix]]&amp;" "&amp;Master[[#This Row],[Inventory Number]]&amp;" "&amp;Master[[#This Row],[Inventory Suffix]]&amp;" "&amp;Master[[#This Row],[Inventory Type - Lookup Picker]]</f>
        <v>W6   SD</v>
      </c>
      <c r="D121" s="45" t="str">
        <f t="shared" si="7"/>
        <v>mm/yyyy</v>
      </c>
      <c r="E121" s="77" t="str">
        <f>IF(Master[[#This Row],[GERMS from DONOR (test date)]]="","",Master[[#This Row],[GERMS from DONOR (test date)]])</f>
        <v/>
      </c>
      <c r="I121" s="76" t="str">
        <f>IF(Master[[#This Row],[GERMS from DONOR (viability)]]="","",Master[[#This Row],[GERMS from DONOR (viability)]])</f>
        <v/>
      </c>
    </row>
    <row r="122" spans="2:9" x14ac:dyDescent="0.25">
      <c r="B122" t="str">
        <f t="shared" si="6"/>
        <v>W6.GERMS.FROM.DONOR</v>
      </c>
      <c r="C122" s="45" t="str">
        <f>Master[[#This Row],[Inventory Prefix]]&amp;" "&amp;Master[[#This Row],[Inventory Number]]&amp;" "&amp;Master[[#This Row],[Inventory Suffix]]&amp;" "&amp;Master[[#This Row],[Inventory Type - Lookup Picker]]</f>
        <v>W6   SD</v>
      </c>
      <c r="D122" s="45" t="str">
        <f t="shared" si="7"/>
        <v>mm/yyyy</v>
      </c>
      <c r="E122" s="77" t="str">
        <f>IF(Master[[#This Row],[GERMS from DONOR (test date)]]="","",Master[[#This Row],[GERMS from DONOR (test date)]])</f>
        <v/>
      </c>
      <c r="I122" s="76" t="str">
        <f>IF(Master[[#This Row],[GERMS from DONOR (viability)]]="","",Master[[#This Row],[GERMS from DONOR (viability)]])</f>
        <v/>
      </c>
    </row>
    <row r="123" spans="2:9" x14ac:dyDescent="0.25">
      <c r="B123" t="str">
        <f t="shared" si="6"/>
        <v>W6.GERMS.FROM.DONOR</v>
      </c>
      <c r="C123" s="45" t="str">
        <f>Master[[#This Row],[Inventory Prefix]]&amp;" "&amp;Master[[#This Row],[Inventory Number]]&amp;" "&amp;Master[[#This Row],[Inventory Suffix]]&amp;" "&amp;Master[[#This Row],[Inventory Type - Lookup Picker]]</f>
        <v>W6   SD</v>
      </c>
      <c r="D123" s="45" t="str">
        <f t="shared" si="7"/>
        <v>mm/yyyy</v>
      </c>
      <c r="E123" s="77" t="str">
        <f>IF(Master[[#This Row],[GERMS from DONOR (test date)]]="","",Master[[#This Row],[GERMS from DONOR (test date)]])</f>
        <v/>
      </c>
      <c r="I123" s="76" t="str">
        <f>IF(Master[[#This Row],[GERMS from DONOR (viability)]]="","",Master[[#This Row],[GERMS from DONOR (viability)]])</f>
        <v/>
      </c>
    </row>
    <row r="124" spans="2:9" x14ac:dyDescent="0.25">
      <c r="B124" t="str">
        <f t="shared" si="6"/>
        <v>W6.GERMS.FROM.DONOR</v>
      </c>
      <c r="C124" s="45" t="str">
        <f>Master[[#This Row],[Inventory Prefix]]&amp;" "&amp;Master[[#This Row],[Inventory Number]]&amp;" "&amp;Master[[#This Row],[Inventory Suffix]]&amp;" "&amp;Master[[#This Row],[Inventory Type - Lookup Picker]]</f>
        <v>W6   SD</v>
      </c>
      <c r="D124" s="45" t="str">
        <f t="shared" si="7"/>
        <v>mm/yyyy</v>
      </c>
      <c r="E124" s="77" t="str">
        <f>IF(Master[[#This Row],[GERMS from DONOR (test date)]]="","",Master[[#This Row],[GERMS from DONOR (test date)]])</f>
        <v/>
      </c>
      <c r="I124" s="76" t="str">
        <f>IF(Master[[#This Row],[GERMS from DONOR (viability)]]="","",Master[[#This Row],[GERMS from DONOR (viability)]])</f>
        <v/>
      </c>
    </row>
    <row r="125" spans="2:9" x14ac:dyDescent="0.25">
      <c r="B125" t="str">
        <f t="shared" si="6"/>
        <v>W6.GERMS.FROM.DONOR</v>
      </c>
      <c r="C125" s="45" t="str">
        <f>Master[[#This Row],[Inventory Prefix]]&amp;" "&amp;Master[[#This Row],[Inventory Number]]&amp;" "&amp;Master[[#This Row],[Inventory Suffix]]&amp;" "&amp;Master[[#This Row],[Inventory Type - Lookup Picker]]</f>
        <v>W6   SD</v>
      </c>
      <c r="D125" s="45" t="str">
        <f t="shared" si="7"/>
        <v>mm/yyyy</v>
      </c>
      <c r="E125" s="77" t="str">
        <f>IF(Master[[#This Row],[GERMS from DONOR (test date)]]="","",Master[[#This Row],[GERMS from DONOR (test date)]])</f>
        <v/>
      </c>
      <c r="I125" s="76" t="str">
        <f>IF(Master[[#This Row],[GERMS from DONOR (viability)]]="","",Master[[#This Row],[GERMS from DONOR (viability)]])</f>
        <v/>
      </c>
    </row>
    <row r="126" spans="2:9" x14ac:dyDescent="0.25">
      <c r="B126" t="str">
        <f t="shared" si="6"/>
        <v>W6.GERMS.FROM.DONOR</v>
      </c>
      <c r="C126" s="45" t="str">
        <f>Master[[#This Row],[Inventory Prefix]]&amp;" "&amp;Master[[#This Row],[Inventory Number]]&amp;" "&amp;Master[[#This Row],[Inventory Suffix]]&amp;" "&amp;Master[[#This Row],[Inventory Type - Lookup Picker]]</f>
        <v>W6   SD</v>
      </c>
      <c r="D126" s="45" t="str">
        <f t="shared" si="7"/>
        <v>mm/yyyy</v>
      </c>
      <c r="E126" s="77" t="str">
        <f>IF(Master[[#This Row],[GERMS from DONOR (test date)]]="","",Master[[#This Row],[GERMS from DONOR (test date)]])</f>
        <v/>
      </c>
      <c r="I126" s="76" t="str">
        <f>IF(Master[[#This Row],[GERMS from DONOR (viability)]]="","",Master[[#This Row],[GERMS from DONOR (viability)]])</f>
        <v/>
      </c>
    </row>
    <row r="127" spans="2:9" x14ac:dyDescent="0.25">
      <c r="B127" t="str">
        <f t="shared" si="6"/>
        <v>W6.GERMS.FROM.DONOR</v>
      </c>
      <c r="C127" s="45" t="str">
        <f>Master[[#This Row],[Inventory Prefix]]&amp;" "&amp;Master[[#This Row],[Inventory Number]]&amp;" "&amp;Master[[#This Row],[Inventory Suffix]]&amp;" "&amp;Master[[#This Row],[Inventory Type - Lookup Picker]]</f>
        <v>W6   SD</v>
      </c>
      <c r="D127" s="45" t="str">
        <f t="shared" si="7"/>
        <v>mm/yyyy</v>
      </c>
      <c r="E127" s="77" t="str">
        <f>IF(Master[[#This Row],[GERMS from DONOR (test date)]]="","",Master[[#This Row],[GERMS from DONOR (test date)]])</f>
        <v/>
      </c>
      <c r="I127" s="76" t="str">
        <f>IF(Master[[#This Row],[GERMS from DONOR (viability)]]="","",Master[[#This Row],[GERMS from DONOR (viability)]])</f>
        <v/>
      </c>
    </row>
    <row r="128" spans="2:9" x14ac:dyDescent="0.25">
      <c r="B128" t="str">
        <f t="shared" si="6"/>
        <v>W6.GERMS.FROM.DONOR</v>
      </c>
      <c r="C128" s="45" t="str">
        <f>Master[[#This Row],[Inventory Prefix]]&amp;" "&amp;Master[[#This Row],[Inventory Number]]&amp;" "&amp;Master[[#This Row],[Inventory Suffix]]&amp;" "&amp;Master[[#This Row],[Inventory Type - Lookup Picker]]</f>
        <v>W6   SD</v>
      </c>
      <c r="D128" s="45" t="str">
        <f t="shared" si="7"/>
        <v>mm/yyyy</v>
      </c>
      <c r="E128" s="77" t="str">
        <f>IF(Master[[#This Row],[GERMS from DONOR (test date)]]="","",Master[[#This Row],[GERMS from DONOR (test date)]])</f>
        <v/>
      </c>
      <c r="I128" s="76" t="str">
        <f>IF(Master[[#This Row],[GERMS from DONOR (viability)]]="","",Master[[#This Row],[GERMS from DONOR (viability)]])</f>
        <v/>
      </c>
    </row>
    <row r="129" spans="2:9" x14ac:dyDescent="0.25">
      <c r="B129" t="str">
        <f t="shared" si="6"/>
        <v>W6.GERMS.FROM.DONOR</v>
      </c>
      <c r="C129" s="45" t="str">
        <f>Master[[#This Row],[Inventory Prefix]]&amp;" "&amp;Master[[#This Row],[Inventory Number]]&amp;" "&amp;Master[[#This Row],[Inventory Suffix]]&amp;" "&amp;Master[[#This Row],[Inventory Type - Lookup Picker]]</f>
        <v>W6   SD</v>
      </c>
      <c r="D129" s="45" t="str">
        <f t="shared" si="7"/>
        <v>mm/yyyy</v>
      </c>
      <c r="E129" s="77" t="str">
        <f>IF(Master[[#This Row],[GERMS from DONOR (test date)]]="","",Master[[#This Row],[GERMS from DONOR (test date)]])</f>
        <v/>
      </c>
      <c r="I129" s="76" t="str">
        <f>IF(Master[[#This Row],[GERMS from DONOR (viability)]]="","",Master[[#This Row],[GERMS from DONOR (viability)]])</f>
        <v/>
      </c>
    </row>
    <row r="130" spans="2:9" x14ac:dyDescent="0.25">
      <c r="B130" t="str">
        <f t="shared" ref="B130:B161" si="8">"W6.GERMS.FROM.DONOR"</f>
        <v>W6.GERMS.FROM.DONOR</v>
      </c>
      <c r="C130" s="45" t="str">
        <f>Master[[#This Row],[Inventory Prefix]]&amp;" "&amp;Master[[#This Row],[Inventory Number]]&amp;" "&amp;Master[[#This Row],[Inventory Suffix]]&amp;" "&amp;Master[[#This Row],[Inventory Type - Lookup Picker]]</f>
        <v>W6   SD</v>
      </c>
      <c r="D130" s="45" t="str">
        <f t="shared" si="7"/>
        <v>mm/yyyy</v>
      </c>
      <c r="E130" s="77" t="str">
        <f>IF(Master[[#This Row],[GERMS from DONOR (test date)]]="","",Master[[#This Row],[GERMS from DONOR (test date)]])</f>
        <v/>
      </c>
      <c r="I130" s="76" t="str">
        <f>IF(Master[[#This Row],[GERMS from DONOR (viability)]]="","",Master[[#This Row],[GERMS from DONOR (viability)]])</f>
        <v/>
      </c>
    </row>
    <row r="131" spans="2:9" x14ac:dyDescent="0.25">
      <c r="B131" t="str">
        <f t="shared" si="8"/>
        <v>W6.GERMS.FROM.DONOR</v>
      </c>
      <c r="C131" s="45" t="str">
        <f>Master[[#This Row],[Inventory Prefix]]&amp;" "&amp;Master[[#This Row],[Inventory Number]]&amp;" "&amp;Master[[#This Row],[Inventory Suffix]]&amp;" "&amp;Master[[#This Row],[Inventory Type - Lookup Picker]]</f>
        <v>W6   SD</v>
      </c>
      <c r="D131" s="45" t="str">
        <f t="shared" si="7"/>
        <v>mm/yyyy</v>
      </c>
      <c r="E131" s="77" t="str">
        <f>IF(Master[[#This Row],[GERMS from DONOR (test date)]]="","",Master[[#This Row],[GERMS from DONOR (test date)]])</f>
        <v/>
      </c>
      <c r="I131" s="76" t="str">
        <f>IF(Master[[#This Row],[GERMS from DONOR (viability)]]="","",Master[[#This Row],[GERMS from DONOR (viability)]])</f>
        <v/>
      </c>
    </row>
    <row r="132" spans="2:9" x14ac:dyDescent="0.25">
      <c r="B132" t="str">
        <f t="shared" si="8"/>
        <v>W6.GERMS.FROM.DONOR</v>
      </c>
      <c r="C132" s="45" t="str">
        <f>Master[[#This Row],[Inventory Prefix]]&amp;" "&amp;Master[[#This Row],[Inventory Number]]&amp;" "&amp;Master[[#This Row],[Inventory Suffix]]&amp;" "&amp;Master[[#This Row],[Inventory Type - Lookup Picker]]</f>
        <v>W6   SD</v>
      </c>
      <c r="D132" s="45" t="str">
        <f t="shared" ref="D132:D163" si="9">"mm/yyyy"</f>
        <v>mm/yyyy</v>
      </c>
      <c r="E132" s="77" t="str">
        <f>IF(Master[[#This Row],[GERMS from DONOR (test date)]]="","",Master[[#This Row],[GERMS from DONOR (test date)]])</f>
        <v/>
      </c>
      <c r="I132" s="76" t="str">
        <f>IF(Master[[#This Row],[GERMS from DONOR (viability)]]="","",Master[[#This Row],[GERMS from DONOR (viability)]])</f>
        <v/>
      </c>
    </row>
    <row r="133" spans="2:9" x14ac:dyDescent="0.25">
      <c r="B133" t="str">
        <f t="shared" si="8"/>
        <v>W6.GERMS.FROM.DONOR</v>
      </c>
      <c r="C133" s="45" t="str">
        <f>Master[[#This Row],[Inventory Prefix]]&amp;" "&amp;Master[[#This Row],[Inventory Number]]&amp;" "&amp;Master[[#This Row],[Inventory Suffix]]&amp;" "&amp;Master[[#This Row],[Inventory Type - Lookup Picker]]</f>
        <v>W6   SD</v>
      </c>
      <c r="D133" s="45" t="str">
        <f t="shared" si="9"/>
        <v>mm/yyyy</v>
      </c>
      <c r="E133" s="77" t="str">
        <f>IF(Master[[#This Row],[GERMS from DONOR (test date)]]="","",Master[[#This Row],[GERMS from DONOR (test date)]])</f>
        <v/>
      </c>
      <c r="I133" s="76" t="str">
        <f>IF(Master[[#This Row],[GERMS from DONOR (viability)]]="","",Master[[#This Row],[GERMS from DONOR (viability)]])</f>
        <v/>
      </c>
    </row>
    <row r="134" spans="2:9" x14ac:dyDescent="0.25">
      <c r="B134" t="str">
        <f t="shared" si="8"/>
        <v>W6.GERMS.FROM.DONOR</v>
      </c>
      <c r="C134" s="45" t="str">
        <f>Master[[#This Row],[Inventory Prefix]]&amp;" "&amp;Master[[#This Row],[Inventory Number]]&amp;" "&amp;Master[[#This Row],[Inventory Suffix]]&amp;" "&amp;Master[[#This Row],[Inventory Type - Lookup Picker]]</f>
        <v>W6   SD</v>
      </c>
      <c r="D134" s="45" t="str">
        <f t="shared" si="9"/>
        <v>mm/yyyy</v>
      </c>
      <c r="E134" s="77" t="str">
        <f>IF(Master[[#This Row],[GERMS from DONOR (test date)]]="","",Master[[#This Row],[GERMS from DONOR (test date)]])</f>
        <v/>
      </c>
      <c r="I134" s="76" t="str">
        <f>IF(Master[[#This Row],[GERMS from DONOR (viability)]]="","",Master[[#This Row],[GERMS from DONOR (viability)]])</f>
        <v/>
      </c>
    </row>
    <row r="135" spans="2:9" x14ac:dyDescent="0.25">
      <c r="B135" t="str">
        <f t="shared" si="8"/>
        <v>W6.GERMS.FROM.DONOR</v>
      </c>
      <c r="C135" s="45" t="str">
        <f>Master[[#This Row],[Inventory Prefix]]&amp;" "&amp;Master[[#This Row],[Inventory Number]]&amp;" "&amp;Master[[#This Row],[Inventory Suffix]]&amp;" "&amp;Master[[#This Row],[Inventory Type - Lookup Picker]]</f>
        <v>W6   SD</v>
      </c>
      <c r="D135" s="45" t="str">
        <f t="shared" si="9"/>
        <v>mm/yyyy</v>
      </c>
      <c r="E135" s="77" t="str">
        <f>IF(Master[[#This Row],[GERMS from DONOR (test date)]]="","",Master[[#This Row],[GERMS from DONOR (test date)]])</f>
        <v/>
      </c>
      <c r="I135" s="76" t="str">
        <f>IF(Master[[#This Row],[GERMS from DONOR (viability)]]="","",Master[[#This Row],[GERMS from DONOR (viability)]])</f>
        <v/>
      </c>
    </row>
    <row r="136" spans="2:9" x14ac:dyDescent="0.25">
      <c r="B136" t="str">
        <f t="shared" si="8"/>
        <v>W6.GERMS.FROM.DONOR</v>
      </c>
      <c r="C136" s="45" t="str">
        <f>Master[[#This Row],[Inventory Prefix]]&amp;" "&amp;Master[[#This Row],[Inventory Number]]&amp;" "&amp;Master[[#This Row],[Inventory Suffix]]&amp;" "&amp;Master[[#This Row],[Inventory Type - Lookup Picker]]</f>
        <v>W6   SD</v>
      </c>
      <c r="D136" s="45" t="str">
        <f t="shared" si="9"/>
        <v>mm/yyyy</v>
      </c>
      <c r="E136" s="77" t="str">
        <f>IF(Master[[#This Row],[GERMS from DONOR (test date)]]="","",Master[[#This Row],[GERMS from DONOR (test date)]])</f>
        <v/>
      </c>
      <c r="I136" s="76" t="str">
        <f>IF(Master[[#This Row],[GERMS from DONOR (viability)]]="","",Master[[#This Row],[GERMS from DONOR (viability)]])</f>
        <v/>
      </c>
    </row>
    <row r="137" spans="2:9" x14ac:dyDescent="0.25">
      <c r="B137" t="str">
        <f t="shared" si="8"/>
        <v>W6.GERMS.FROM.DONOR</v>
      </c>
      <c r="C137" s="45" t="str">
        <f>Master[[#This Row],[Inventory Prefix]]&amp;" "&amp;Master[[#This Row],[Inventory Number]]&amp;" "&amp;Master[[#This Row],[Inventory Suffix]]&amp;" "&amp;Master[[#This Row],[Inventory Type - Lookup Picker]]</f>
        <v>W6   SD</v>
      </c>
      <c r="D137" s="45" t="str">
        <f t="shared" si="9"/>
        <v>mm/yyyy</v>
      </c>
      <c r="E137" s="77" t="str">
        <f>IF(Master[[#This Row],[GERMS from DONOR (test date)]]="","",Master[[#This Row],[GERMS from DONOR (test date)]])</f>
        <v/>
      </c>
      <c r="I137" s="76" t="str">
        <f>IF(Master[[#This Row],[GERMS from DONOR (viability)]]="","",Master[[#This Row],[GERMS from DONOR (viability)]])</f>
        <v/>
      </c>
    </row>
    <row r="138" spans="2:9" x14ac:dyDescent="0.25">
      <c r="B138" t="str">
        <f t="shared" si="8"/>
        <v>W6.GERMS.FROM.DONOR</v>
      </c>
      <c r="C138" s="45" t="str">
        <f>Master[[#This Row],[Inventory Prefix]]&amp;" "&amp;Master[[#This Row],[Inventory Number]]&amp;" "&amp;Master[[#This Row],[Inventory Suffix]]&amp;" "&amp;Master[[#This Row],[Inventory Type - Lookup Picker]]</f>
        <v>W6   SD</v>
      </c>
      <c r="D138" s="45" t="str">
        <f t="shared" si="9"/>
        <v>mm/yyyy</v>
      </c>
      <c r="E138" s="77" t="str">
        <f>IF(Master[[#This Row],[GERMS from DONOR (test date)]]="","",Master[[#This Row],[GERMS from DONOR (test date)]])</f>
        <v/>
      </c>
      <c r="I138" s="76" t="str">
        <f>IF(Master[[#This Row],[GERMS from DONOR (viability)]]="","",Master[[#This Row],[GERMS from DONOR (viability)]])</f>
        <v/>
      </c>
    </row>
    <row r="139" spans="2:9" x14ac:dyDescent="0.25">
      <c r="B139" t="str">
        <f t="shared" si="8"/>
        <v>W6.GERMS.FROM.DONOR</v>
      </c>
      <c r="C139" s="45" t="str">
        <f>Master[[#This Row],[Inventory Prefix]]&amp;" "&amp;Master[[#This Row],[Inventory Number]]&amp;" "&amp;Master[[#This Row],[Inventory Suffix]]&amp;" "&amp;Master[[#This Row],[Inventory Type - Lookup Picker]]</f>
        <v>W6   SD</v>
      </c>
      <c r="D139" s="45" t="str">
        <f t="shared" si="9"/>
        <v>mm/yyyy</v>
      </c>
      <c r="E139" s="77" t="str">
        <f>IF(Master[[#This Row],[GERMS from DONOR (test date)]]="","",Master[[#This Row],[GERMS from DONOR (test date)]])</f>
        <v/>
      </c>
      <c r="I139" s="76" t="str">
        <f>IF(Master[[#This Row],[GERMS from DONOR (viability)]]="","",Master[[#This Row],[GERMS from DONOR (viability)]])</f>
        <v/>
      </c>
    </row>
    <row r="140" spans="2:9" x14ac:dyDescent="0.25">
      <c r="B140" t="str">
        <f t="shared" si="8"/>
        <v>W6.GERMS.FROM.DONOR</v>
      </c>
      <c r="C140" s="45" t="str">
        <f>Master[[#This Row],[Inventory Prefix]]&amp;" "&amp;Master[[#This Row],[Inventory Number]]&amp;" "&amp;Master[[#This Row],[Inventory Suffix]]&amp;" "&amp;Master[[#This Row],[Inventory Type - Lookup Picker]]</f>
        <v>W6   SD</v>
      </c>
      <c r="D140" s="45" t="str">
        <f t="shared" si="9"/>
        <v>mm/yyyy</v>
      </c>
      <c r="E140" s="77" t="str">
        <f>IF(Master[[#This Row],[GERMS from DONOR (test date)]]="","",Master[[#This Row],[GERMS from DONOR (test date)]])</f>
        <v/>
      </c>
      <c r="I140" s="76" t="str">
        <f>IF(Master[[#This Row],[GERMS from DONOR (viability)]]="","",Master[[#This Row],[GERMS from DONOR (viability)]])</f>
        <v/>
      </c>
    </row>
    <row r="141" spans="2:9" x14ac:dyDescent="0.25">
      <c r="B141" t="str">
        <f t="shared" si="8"/>
        <v>W6.GERMS.FROM.DONOR</v>
      </c>
      <c r="C141" s="45" t="str">
        <f>Master[[#This Row],[Inventory Prefix]]&amp;" "&amp;Master[[#This Row],[Inventory Number]]&amp;" "&amp;Master[[#This Row],[Inventory Suffix]]&amp;" "&amp;Master[[#This Row],[Inventory Type - Lookup Picker]]</f>
        <v>W6   SD</v>
      </c>
      <c r="D141" s="45" t="str">
        <f t="shared" si="9"/>
        <v>mm/yyyy</v>
      </c>
      <c r="E141" s="77" t="str">
        <f>IF(Master[[#This Row],[GERMS from DONOR (test date)]]="","",Master[[#This Row],[GERMS from DONOR (test date)]])</f>
        <v/>
      </c>
      <c r="I141" s="76" t="str">
        <f>IF(Master[[#This Row],[GERMS from DONOR (viability)]]="","",Master[[#This Row],[GERMS from DONOR (viability)]])</f>
        <v/>
      </c>
    </row>
    <row r="142" spans="2:9" x14ac:dyDescent="0.25">
      <c r="B142" t="str">
        <f t="shared" si="8"/>
        <v>W6.GERMS.FROM.DONOR</v>
      </c>
      <c r="C142" s="45" t="str">
        <f>Master[[#This Row],[Inventory Prefix]]&amp;" "&amp;Master[[#This Row],[Inventory Number]]&amp;" "&amp;Master[[#This Row],[Inventory Suffix]]&amp;" "&amp;Master[[#This Row],[Inventory Type - Lookup Picker]]</f>
        <v>W6   SD</v>
      </c>
      <c r="D142" s="45" t="str">
        <f t="shared" si="9"/>
        <v>mm/yyyy</v>
      </c>
      <c r="E142" s="77" t="str">
        <f>IF(Master[[#This Row],[GERMS from DONOR (test date)]]="","",Master[[#This Row],[GERMS from DONOR (test date)]])</f>
        <v/>
      </c>
      <c r="I142" s="76" t="str">
        <f>IF(Master[[#This Row],[GERMS from DONOR (viability)]]="","",Master[[#This Row],[GERMS from DONOR (viability)]])</f>
        <v/>
      </c>
    </row>
    <row r="143" spans="2:9" x14ac:dyDescent="0.25">
      <c r="B143" t="str">
        <f t="shared" si="8"/>
        <v>W6.GERMS.FROM.DONOR</v>
      </c>
      <c r="C143" s="45" t="str">
        <f>Master[[#This Row],[Inventory Prefix]]&amp;" "&amp;Master[[#This Row],[Inventory Number]]&amp;" "&amp;Master[[#This Row],[Inventory Suffix]]&amp;" "&amp;Master[[#This Row],[Inventory Type - Lookup Picker]]</f>
        <v>W6   SD</v>
      </c>
      <c r="D143" s="45" t="str">
        <f t="shared" si="9"/>
        <v>mm/yyyy</v>
      </c>
      <c r="E143" s="77" t="str">
        <f>IF(Master[[#This Row],[GERMS from DONOR (test date)]]="","",Master[[#This Row],[GERMS from DONOR (test date)]])</f>
        <v/>
      </c>
      <c r="I143" s="76" t="str">
        <f>IF(Master[[#This Row],[GERMS from DONOR (viability)]]="","",Master[[#This Row],[GERMS from DONOR (viability)]])</f>
        <v/>
      </c>
    </row>
    <row r="144" spans="2:9" x14ac:dyDescent="0.25">
      <c r="B144" t="str">
        <f t="shared" si="8"/>
        <v>W6.GERMS.FROM.DONOR</v>
      </c>
      <c r="C144" s="45" t="str">
        <f>Master[[#This Row],[Inventory Prefix]]&amp;" "&amp;Master[[#This Row],[Inventory Number]]&amp;" "&amp;Master[[#This Row],[Inventory Suffix]]&amp;" "&amp;Master[[#This Row],[Inventory Type - Lookup Picker]]</f>
        <v>W6   SD</v>
      </c>
      <c r="D144" s="45" t="str">
        <f t="shared" si="9"/>
        <v>mm/yyyy</v>
      </c>
      <c r="E144" s="77" t="str">
        <f>IF(Master[[#This Row],[GERMS from DONOR (test date)]]="","",Master[[#This Row],[GERMS from DONOR (test date)]])</f>
        <v/>
      </c>
      <c r="I144" s="76" t="str">
        <f>IF(Master[[#This Row],[GERMS from DONOR (viability)]]="","",Master[[#This Row],[GERMS from DONOR (viability)]])</f>
        <v/>
      </c>
    </row>
    <row r="145" spans="2:9" x14ac:dyDescent="0.25">
      <c r="B145" t="str">
        <f t="shared" si="8"/>
        <v>W6.GERMS.FROM.DONOR</v>
      </c>
      <c r="C145" s="45" t="str">
        <f>Master[[#This Row],[Inventory Prefix]]&amp;" "&amp;Master[[#This Row],[Inventory Number]]&amp;" "&amp;Master[[#This Row],[Inventory Suffix]]&amp;" "&amp;Master[[#This Row],[Inventory Type - Lookup Picker]]</f>
        <v>W6   SD</v>
      </c>
      <c r="D145" s="45" t="str">
        <f t="shared" si="9"/>
        <v>mm/yyyy</v>
      </c>
      <c r="E145" s="77" t="str">
        <f>IF(Master[[#This Row],[GERMS from DONOR (test date)]]="","",Master[[#This Row],[GERMS from DONOR (test date)]])</f>
        <v/>
      </c>
      <c r="I145" s="76" t="str">
        <f>IF(Master[[#This Row],[GERMS from DONOR (viability)]]="","",Master[[#This Row],[GERMS from DONOR (viability)]])</f>
        <v/>
      </c>
    </row>
    <row r="146" spans="2:9" x14ac:dyDescent="0.25">
      <c r="B146" t="str">
        <f t="shared" si="8"/>
        <v>W6.GERMS.FROM.DONOR</v>
      </c>
      <c r="C146" s="45" t="str">
        <f>Master[[#This Row],[Inventory Prefix]]&amp;" "&amp;Master[[#This Row],[Inventory Number]]&amp;" "&amp;Master[[#This Row],[Inventory Suffix]]&amp;" "&amp;Master[[#This Row],[Inventory Type - Lookup Picker]]</f>
        <v>W6   SD</v>
      </c>
      <c r="D146" s="45" t="str">
        <f t="shared" si="9"/>
        <v>mm/yyyy</v>
      </c>
      <c r="E146" s="77" t="str">
        <f>IF(Master[[#This Row],[GERMS from DONOR (test date)]]="","",Master[[#This Row],[GERMS from DONOR (test date)]])</f>
        <v/>
      </c>
      <c r="I146" s="76" t="str">
        <f>IF(Master[[#This Row],[GERMS from DONOR (viability)]]="","",Master[[#This Row],[GERMS from DONOR (viability)]])</f>
        <v/>
      </c>
    </row>
    <row r="147" spans="2:9" x14ac:dyDescent="0.25">
      <c r="B147" t="str">
        <f t="shared" si="8"/>
        <v>W6.GERMS.FROM.DONOR</v>
      </c>
      <c r="C147" s="45" t="str">
        <f>Master[[#This Row],[Inventory Prefix]]&amp;" "&amp;Master[[#This Row],[Inventory Number]]&amp;" "&amp;Master[[#This Row],[Inventory Suffix]]&amp;" "&amp;Master[[#This Row],[Inventory Type - Lookup Picker]]</f>
        <v>W6   SD</v>
      </c>
      <c r="D147" s="45" t="str">
        <f t="shared" si="9"/>
        <v>mm/yyyy</v>
      </c>
      <c r="E147" s="77" t="str">
        <f>IF(Master[[#This Row],[GERMS from DONOR (test date)]]="","",Master[[#This Row],[GERMS from DONOR (test date)]])</f>
        <v/>
      </c>
      <c r="I147" s="76" t="str">
        <f>IF(Master[[#This Row],[GERMS from DONOR (viability)]]="","",Master[[#This Row],[GERMS from DONOR (viability)]])</f>
        <v/>
      </c>
    </row>
    <row r="148" spans="2:9" x14ac:dyDescent="0.25">
      <c r="B148" t="str">
        <f t="shared" si="8"/>
        <v>W6.GERMS.FROM.DONOR</v>
      </c>
      <c r="C148" s="45" t="str">
        <f>Master[[#This Row],[Inventory Prefix]]&amp;" "&amp;Master[[#This Row],[Inventory Number]]&amp;" "&amp;Master[[#This Row],[Inventory Suffix]]&amp;" "&amp;Master[[#This Row],[Inventory Type - Lookup Picker]]</f>
        <v>W6   SD</v>
      </c>
      <c r="D148" s="45" t="str">
        <f t="shared" si="9"/>
        <v>mm/yyyy</v>
      </c>
      <c r="E148" s="77" t="str">
        <f>IF(Master[[#This Row],[GERMS from DONOR (test date)]]="","",Master[[#This Row],[GERMS from DONOR (test date)]])</f>
        <v/>
      </c>
      <c r="I148" s="76" t="str">
        <f>IF(Master[[#This Row],[GERMS from DONOR (viability)]]="","",Master[[#This Row],[GERMS from DONOR (viability)]])</f>
        <v/>
      </c>
    </row>
    <row r="149" spans="2:9" x14ac:dyDescent="0.25">
      <c r="B149" t="str">
        <f t="shared" si="8"/>
        <v>W6.GERMS.FROM.DONOR</v>
      </c>
      <c r="C149" s="45" t="str">
        <f>Master[[#This Row],[Inventory Prefix]]&amp;" "&amp;Master[[#This Row],[Inventory Number]]&amp;" "&amp;Master[[#This Row],[Inventory Suffix]]&amp;" "&amp;Master[[#This Row],[Inventory Type - Lookup Picker]]</f>
        <v>W6   SD</v>
      </c>
      <c r="D149" s="45" t="str">
        <f t="shared" si="9"/>
        <v>mm/yyyy</v>
      </c>
      <c r="E149" s="77" t="str">
        <f>IF(Master[[#This Row],[GERMS from DONOR (test date)]]="","",Master[[#This Row],[GERMS from DONOR (test date)]])</f>
        <v/>
      </c>
      <c r="I149" s="76" t="str">
        <f>IF(Master[[#This Row],[GERMS from DONOR (viability)]]="","",Master[[#This Row],[GERMS from DONOR (viability)]])</f>
        <v/>
      </c>
    </row>
    <row r="150" spans="2:9" x14ac:dyDescent="0.25">
      <c r="B150" t="str">
        <f t="shared" si="8"/>
        <v>W6.GERMS.FROM.DONOR</v>
      </c>
      <c r="C150" s="45" t="str">
        <f>Master[[#This Row],[Inventory Prefix]]&amp;" "&amp;Master[[#This Row],[Inventory Number]]&amp;" "&amp;Master[[#This Row],[Inventory Suffix]]&amp;" "&amp;Master[[#This Row],[Inventory Type - Lookup Picker]]</f>
        <v>W6   SD</v>
      </c>
      <c r="D150" s="45" t="str">
        <f t="shared" si="9"/>
        <v>mm/yyyy</v>
      </c>
      <c r="E150" s="77" t="str">
        <f>IF(Master[[#This Row],[GERMS from DONOR (test date)]]="","",Master[[#This Row],[GERMS from DONOR (test date)]])</f>
        <v/>
      </c>
      <c r="I150" s="76" t="str">
        <f>IF(Master[[#This Row],[GERMS from DONOR (viability)]]="","",Master[[#This Row],[GERMS from DONOR (viability)]])</f>
        <v/>
      </c>
    </row>
    <row r="151" spans="2:9" x14ac:dyDescent="0.25">
      <c r="B151" t="str">
        <f t="shared" si="8"/>
        <v>W6.GERMS.FROM.DONOR</v>
      </c>
      <c r="C151" s="45" t="str">
        <f>Master[[#This Row],[Inventory Prefix]]&amp;" "&amp;Master[[#This Row],[Inventory Number]]&amp;" "&amp;Master[[#This Row],[Inventory Suffix]]&amp;" "&amp;Master[[#This Row],[Inventory Type - Lookup Picker]]</f>
        <v>W6   SD</v>
      </c>
      <c r="D151" s="45" t="str">
        <f t="shared" si="9"/>
        <v>mm/yyyy</v>
      </c>
      <c r="E151" s="77" t="str">
        <f>IF(Master[[#This Row],[GERMS from DONOR (test date)]]="","",Master[[#This Row],[GERMS from DONOR (test date)]])</f>
        <v/>
      </c>
      <c r="I151" s="76" t="str">
        <f>IF(Master[[#This Row],[GERMS from DONOR (viability)]]="","",Master[[#This Row],[GERMS from DONOR (viability)]])</f>
        <v/>
      </c>
    </row>
    <row r="152" spans="2:9" x14ac:dyDescent="0.25">
      <c r="B152" t="str">
        <f t="shared" si="8"/>
        <v>W6.GERMS.FROM.DONOR</v>
      </c>
      <c r="C152" s="45" t="str">
        <f>Master[[#This Row],[Inventory Prefix]]&amp;" "&amp;Master[[#This Row],[Inventory Number]]&amp;" "&amp;Master[[#This Row],[Inventory Suffix]]&amp;" "&amp;Master[[#This Row],[Inventory Type - Lookup Picker]]</f>
        <v xml:space="preserve">   </v>
      </c>
      <c r="D152" s="45" t="str">
        <f t="shared" si="9"/>
        <v>mm/yyyy</v>
      </c>
      <c r="E152" s="77" t="str">
        <f>IF(Master[[#This Row],[GERMS from DONOR (test date)]]="","",Master[[#This Row],[GERMS from DONOR (test date)]])</f>
        <v/>
      </c>
      <c r="I152" s="76" t="str">
        <f>IF(Master[[#This Row],[GERMS from DONOR (viability)]]="","",Master[[#This Row],[GERMS from DONOR (viability)]])</f>
        <v/>
      </c>
    </row>
    <row r="153" spans="2:9" x14ac:dyDescent="0.25">
      <c r="B153" t="str">
        <f t="shared" si="8"/>
        <v>W6.GERMS.FROM.DONOR</v>
      </c>
      <c r="C153" s="45" t="str">
        <f>Master[[#This Row],[Inventory Prefix]]&amp;" "&amp;Master[[#This Row],[Inventory Number]]&amp;" "&amp;Master[[#This Row],[Inventory Suffix]]&amp;" "&amp;Master[[#This Row],[Inventory Type - Lookup Picker]]</f>
        <v xml:space="preserve">   </v>
      </c>
      <c r="D153" s="45" t="str">
        <f t="shared" si="9"/>
        <v>mm/yyyy</v>
      </c>
      <c r="E153" s="77" t="str">
        <f>IF(Master[[#This Row],[GERMS from DONOR (test date)]]="","",Master[[#This Row],[GERMS from DONOR (test date)]])</f>
        <v/>
      </c>
      <c r="I153" s="76" t="str">
        <f>IF(Master[[#This Row],[GERMS from DONOR (viability)]]="","",Master[[#This Row],[GERMS from DONOR (viability)]])</f>
        <v/>
      </c>
    </row>
    <row r="154" spans="2:9" x14ac:dyDescent="0.25">
      <c r="B154" t="str">
        <f t="shared" si="8"/>
        <v>W6.GERMS.FROM.DONOR</v>
      </c>
      <c r="C154" s="45" t="str">
        <f>Master[[#This Row],[Inventory Prefix]]&amp;" "&amp;Master[[#This Row],[Inventory Number]]&amp;" "&amp;Master[[#This Row],[Inventory Suffix]]&amp;" "&amp;Master[[#This Row],[Inventory Type - Lookup Picker]]</f>
        <v xml:space="preserve">   </v>
      </c>
      <c r="D154" s="45" t="str">
        <f t="shared" si="9"/>
        <v>mm/yyyy</v>
      </c>
      <c r="E154" s="77" t="str">
        <f>IF(Master[[#This Row],[GERMS from DONOR (test date)]]="","",Master[[#This Row],[GERMS from DONOR (test date)]])</f>
        <v/>
      </c>
      <c r="I154" s="76" t="str">
        <f>IF(Master[[#This Row],[GERMS from DONOR (viability)]]="","",Master[[#This Row],[GERMS from DONOR (viability)]])</f>
        <v/>
      </c>
    </row>
    <row r="155" spans="2:9" x14ac:dyDescent="0.25">
      <c r="B155" t="str">
        <f t="shared" si="8"/>
        <v>W6.GERMS.FROM.DONOR</v>
      </c>
      <c r="C155" s="45" t="str">
        <f>Master[[#This Row],[Inventory Prefix]]&amp;" "&amp;Master[[#This Row],[Inventory Number]]&amp;" "&amp;Master[[#This Row],[Inventory Suffix]]&amp;" "&amp;Master[[#This Row],[Inventory Type - Lookup Picker]]</f>
        <v xml:space="preserve">   </v>
      </c>
      <c r="D155" s="45" t="str">
        <f t="shared" si="9"/>
        <v>mm/yyyy</v>
      </c>
      <c r="E155" s="77" t="str">
        <f>IF(Master[[#This Row],[GERMS from DONOR (test date)]]="","",Master[[#This Row],[GERMS from DONOR (test date)]])</f>
        <v/>
      </c>
      <c r="I155" s="76" t="str">
        <f>IF(Master[[#This Row],[GERMS from DONOR (viability)]]="","",Master[[#This Row],[GERMS from DONOR (viability)]])</f>
        <v/>
      </c>
    </row>
    <row r="156" spans="2:9" x14ac:dyDescent="0.25">
      <c r="B156" t="str">
        <f t="shared" si="8"/>
        <v>W6.GERMS.FROM.DONOR</v>
      </c>
      <c r="C156" s="45" t="str">
        <f>Master[[#This Row],[Inventory Prefix]]&amp;" "&amp;Master[[#This Row],[Inventory Number]]&amp;" "&amp;Master[[#This Row],[Inventory Suffix]]&amp;" "&amp;Master[[#This Row],[Inventory Type - Lookup Picker]]</f>
        <v xml:space="preserve">   </v>
      </c>
      <c r="D156" s="45" t="str">
        <f t="shared" si="9"/>
        <v>mm/yyyy</v>
      </c>
      <c r="E156" s="77" t="str">
        <f>IF(Master[[#This Row],[GERMS from DONOR (test date)]]="","",Master[[#This Row],[GERMS from DONOR (test date)]])</f>
        <v/>
      </c>
      <c r="I156" s="76" t="str">
        <f>IF(Master[[#This Row],[GERMS from DONOR (viability)]]="","",Master[[#This Row],[GERMS from DONOR (viability)]])</f>
        <v/>
      </c>
    </row>
    <row r="157" spans="2:9" x14ac:dyDescent="0.25">
      <c r="B157" t="str">
        <f t="shared" si="8"/>
        <v>W6.GERMS.FROM.DONOR</v>
      </c>
      <c r="C157" s="45" t="str">
        <f>Master[[#This Row],[Inventory Prefix]]&amp;" "&amp;Master[[#This Row],[Inventory Number]]&amp;" "&amp;Master[[#This Row],[Inventory Suffix]]&amp;" "&amp;Master[[#This Row],[Inventory Type - Lookup Picker]]</f>
        <v xml:space="preserve">   </v>
      </c>
      <c r="D157" s="45" t="str">
        <f t="shared" si="9"/>
        <v>mm/yyyy</v>
      </c>
      <c r="E157" s="77" t="str">
        <f>IF(Master[[#This Row],[GERMS from DONOR (test date)]]="","",Master[[#This Row],[GERMS from DONOR (test date)]])</f>
        <v/>
      </c>
      <c r="I157" s="76" t="str">
        <f>IF(Master[[#This Row],[GERMS from DONOR (viability)]]="","",Master[[#This Row],[GERMS from DONOR (viability)]])</f>
        <v/>
      </c>
    </row>
    <row r="158" spans="2:9" x14ac:dyDescent="0.25">
      <c r="B158" t="str">
        <f t="shared" si="8"/>
        <v>W6.GERMS.FROM.DONOR</v>
      </c>
      <c r="C158" s="45" t="str">
        <f>Master[[#This Row],[Inventory Prefix]]&amp;" "&amp;Master[[#This Row],[Inventory Number]]&amp;" "&amp;Master[[#This Row],[Inventory Suffix]]&amp;" "&amp;Master[[#This Row],[Inventory Type - Lookup Picker]]</f>
        <v xml:space="preserve">   </v>
      </c>
      <c r="D158" s="45" t="str">
        <f t="shared" si="9"/>
        <v>mm/yyyy</v>
      </c>
      <c r="E158" s="77" t="str">
        <f>IF(Master[[#This Row],[GERMS from DONOR (test date)]]="","",Master[[#This Row],[GERMS from DONOR (test date)]])</f>
        <v/>
      </c>
      <c r="I158" s="76" t="str">
        <f>IF(Master[[#This Row],[GERMS from DONOR (viability)]]="","",Master[[#This Row],[GERMS from DONOR (viability)]])</f>
        <v/>
      </c>
    </row>
    <row r="159" spans="2:9" x14ac:dyDescent="0.25">
      <c r="B159" t="str">
        <f t="shared" si="8"/>
        <v>W6.GERMS.FROM.DONOR</v>
      </c>
      <c r="C159" s="45" t="str">
        <f>Master[[#This Row],[Inventory Prefix]]&amp;" "&amp;Master[[#This Row],[Inventory Number]]&amp;" "&amp;Master[[#This Row],[Inventory Suffix]]&amp;" "&amp;Master[[#This Row],[Inventory Type - Lookup Picker]]</f>
        <v xml:space="preserve">   </v>
      </c>
      <c r="D159" s="45" t="str">
        <f t="shared" si="9"/>
        <v>mm/yyyy</v>
      </c>
      <c r="E159" s="77" t="str">
        <f>IF(Master[[#This Row],[GERMS from DONOR (test date)]]="","",Master[[#This Row],[GERMS from DONOR (test date)]])</f>
        <v/>
      </c>
      <c r="I159" s="76" t="str">
        <f>IF(Master[[#This Row],[GERMS from DONOR (viability)]]="","",Master[[#This Row],[GERMS from DONOR (viability)]])</f>
        <v/>
      </c>
    </row>
    <row r="160" spans="2:9" x14ac:dyDescent="0.25">
      <c r="B160" t="str">
        <f t="shared" si="8"/>
        <v>W6.GERMS.FROM.DONOR</v>
      </c>
      <c r="C160" s="45" t="str">
        <f>Master[[#This Row],[Inventory Prefix]]&amp;" "&amp;Master[[#This Row],[Inventory Number]]&amp;" "&amp;Master[[#This Row],[Inventory Suffix]]&amp;" "&amp;Master[[#This Row],[Inventory Type - Lookup Picker]]</f>
        <v xml:space="preserve">   </v>
      </c>
      <c r="D160" s="45" t="str">
        <f t="shared" si="9"/>
        <v>mm/yyyy</v>
      </c>
      <c r="E160" s="77" t="str">
        <f>IF(Master[[#This Row],[GERMS from DONOR (test date)]]="","",Master[[#This Row],[GERMS from DONOR (test date)]])</f>
        <v/>
      </c>
      <c r="I160" s="76" t="str">
        <f>IF(Master[[#This Row],[GERMS from DONOR (viability)]]="","",Master[[#This Row],[GERMS from DONOR (viability)]])</f>
        <v/>
      </c>
    </row>
    <row r="161" spans="2:9" x14ac:dyDescent="0.25">
      <c r="B161" t="str">
        <f t="shared" si="8"/>
        <v>W6.GERMS.FROM.DONOR</v>
      </c>
      <c r="C161" s="45" t="str">
        <f>Master[[#This Row],[Inventory Prefix]]&amp;" "&amp;Master[[#This Row],[Inventory Number]]&amp;" "&amp;Master[[#This Row],[Inventory Suffix]]&amp;" "&amp;Master[[#This Row],[Inventory Type - Lookup Picker]]</f>
        <v xml:space="preserve">   </v>
      </c>
      <c r="D161" s="45" t="str">
        <f t="shared" si="9"/>
        <v>mm/yyyy</v>
      </c>
      <c r="E161" s="77" t="str">
        <f>IF(Master[[#This Row],[GERMS from DONOR (test date)]]="","",Master[[#This Row],[GERMS from DONOR (test date)]])</f>
        <v/>
      </c>
      <c r="I161" s="76" t="str">
        <f>IF(Master[[#This Row],[GERMS from DONOR (viability)]]="","",Master[[#This Row],[GERMS from DONOR (viability)]])</f>
        <v/>
      </c>
    </row>
    <row r="162" spans="2:9" x14ac:dyDescent="0.25">
      <c r="B162" t="str">
        <f t="shared" ref="B162:B193" si="10">"W6.GERMS.FROM.DONOR"</f>
        <v>W6.GERMS.FROM.DONOR</v>
      </c>
      <c r="C162" s="45" t="str">
        <f>Master[[#This Row],[Inventory Prefix]]&amp;" "&amp;Master[[#This Row],[Inventory Number]]&amp;" "&amp;Master[[#This Row],[Inventory Suffix]]&amp;" "&amp;Master[[#This Row],[Inventory Type - Lookup Picker]]</f>
        <v xml:space="preserve">   </v>
      </c>
      <c r="D162" s="45" t="str">
        <f t="shared" si="9"/>
        <v>mm/yyyy</v>
      </c>
      <c r="E162" s="77" t="str">
        <f>IF(Master[[#This Row],[GERMS from DONOR (test date)]]="","",Master[[#This Row],[GERMS from DONOR (test date)]])</f>
        <v/>
      </c>
      <c r="I162" s="76" t="str">
        <f>IF(Master[[#This Row],[GERMS from DONOR (viability)]]="","",Master[[#This Row],[GERMS from DONOR (viability)]])</f>
        <v/>
      </c>
    </row>
    <row r="163" spans="2:9" x14ac:dyDescent="0.25">
      <c r="B163" t="str">
        <f t="shared" si="10"/>
        <v>W6.GERMS.FROM.DONOR</v>
      </c>
      <c r="C163" s="45" t="str">
        <f>Master[[#This Row],[Inventory Prefix]]&amp;" "&amp;Master[[#This Row],[Inventory Number]]&amp;" "&amp;Master[[#This Row],[Inventory Suffix]]&amp;" "&amp;Master[[#This Row],[Inventory Type - Lookup Picker]]</f>
        <v xml:space="preserve">   </v>
      </c>
      <c r="D163" s="45" t="str">
        <f t="shared" si="9"/>
        <v>mm/yyyy</v>
      </c>
      <c r="E163" s="77" t="str">
        <f>IF(Master[[#This Row],[GERMS from DONOR (test date)]]="","",Master[[#This Row],[GERMS from DONOR (test date)]])</f>
        <v/>
      </c>
      <c r="I163" s="76" t="str">
        <f>IF(Master[[#This Row],[GERMS from DONOR (viability)]]="","",Master[[#This Row],[GERMS from DONOR (viability)]])</f>
        <v/>
      </c>
    </row>
    <row r="164" spans="2:9" x14ac:dyDescent="0.25">
      <c r="B164" t="str">
        <f t="shared" si="10"/>
        <v>W6.GERMS.FROM.DONOR</v>
      </c>
      <c r="C164" s="45" t="str">
        <f>Master[[#This Row],[Inventory Prefix]]&amp;" "&amp;Master[[#This Row],[Inventory Number]]&amp;" "&amp;Master[[#This Row],[Inventory Suffix]]&amp;" "&amp;Master[[#This Row],[Inventory Type - Lookup Picker]]</f>
        <v xml:space="preserve">   </v>
      </c>
      <c r="D164" s="45" t="str">
        <f t="shared" ref="D164:D195" si="11">"mm/yyyy"</f>
        <v>mm/yyyy</v>
      </c>
      <c r="E164" s="77" t="str">
        <f>IF(Master[[#This Row],[GERMS from DONOR (test date)]]="","",Master[[#This Row],[GERMS from DONOR (test date)]])</f>
        <v/>
      </c>
      <c r="I164" s="76" t="str">
        <f>IF(Master[[#This Row],[GERMS from DONOR (viability)]]="","",Master[[#This Row],[GERMS from DONOR (viability)]])</f>
        <v/>
      </c>
    </row>
    <row r="165" spans="2:9" x14ac:dyDescent="0.25">
      <c r="B165" t="str">
        <f t="shared" si="10"/>
        <v>W6.GERMS.FROM.DONOR</v>
      </c>
      <c r="C165" s="45" t="str">
        <f>Master[[#This Row],[Inventory Prefix]]&amp;" "&amp;Master[[#This Row],[Inventory Number]]&amp;" "&amp;Master[[#This Row],[Inventory Suffix]]&amp;" "&amp;Master[[#This Row],[Inventory Type - Lookup Picker]]</f>
        <v xml:space="preserve">   </v>
      </c>
      <c r="D165" s="45" t="str">
        <f t="shared" si="11"/>
        <v>mm/yyyy</v>
      </c>
      <c r="E165" s="77" t="str">
        <f>IF(Master[[#This Row],[GERMS from DONOR (test date)]]="","",Master[[#This Row],[GERMS from DONOR (test date)]])</f>
        <v/>
      </c>
      <c r="I165" s="76" t="str">
        <f>IF(Master[[#This Row],[GERMS from DONOR (viability)]]="","",Master[[#This Row],[GERMS from DONOR (viability)]])</f>
        <v/>
      </c>
    </row>
    <row r="166" spans="2:9" x14ac:dyDescent="0.25">
      <c r="B166" t="str">
        <f t="shared" si="10"/>
        <v>W6.GERMS.FROM.DONOR</v>
      </c>
      <c r="C166" s="45" t="str">
        <f>Master[[#This Row],[Inventory Prefix]]&amp;" "&amp;Master[[#This Row],[Inventory Number]]&amp;" "&amp;Master[[#This Row],[Inventory Suffix]]&amp;" "&amp;Master[[#This Row],[Inventory Type - Lookup Picker]]</f>
        <v xml:space="preserve">   </v>
      </c>
      <c r="D166" s="45" t="str">
        <f t="shared" si="11"/>
        <v>mm/yyyy</v>
      </c>
      <c r="E166" s="77" t="str">
        <f>IF(Master[[#This Row],[GERMS from DONOR (test date)]]="","",Master[[#This Row],[GERMS from DONOR (test date)]])</f>
        <v/>
      </c>
      <c r="I166" s="76" t="str">
        <f>IF(Master[[#This Row],[GERMS from DONOR (viability)]]="","",Master[[#This Row],[GERMS from DONOR (viability)]])</f>
        <v/>
      </c>
    </row>
    <row r="167" spans="2:9" x14ac:dyDescent="0.25">
      <c r="B167" t="str">
        <f t="shared" si="10"/>
        <v>W6.GERMS.FROM.DONOR</v>
      </c>
      <c r="C167" s="45" t="str">
        <f>Master[[#This Row],[Inventory Prefix]]&amp;" "&amp;Master[[#This Row],[Inventory Number]]&amp;" "&amp;Master[[#This Row],[Inventory Suffix]]&amp;" "&amp;Master[[#This Row],[Inventory Type - Lookup Picker]]</f>
        <v xml:space="preserve">   </v>
      </c>
      <c r="D167" s="45" t="str">
        <f t="shared" si="11"/>
        <v>mm/yyyy</v>
      </c>
      <c r="E167" s="77" t="str">
        <f>IF(Master[[#This Row],[GERMS from DONOR (test date)]]="","",Master[[#This Row],[GERMS from DONOR (test date)]])</f>
        <v/>
      </c>
      <c r="I167" s="76" t="str">
        <f>IF(Master[[#This Row],[GERMS from DONOR (viability)]]="","",Master[[#This Row],[GERMS from DONOR (viability)]])</f>
        <v/>
      </c>
    </row>
    <row r="168" spans="2:9" x14ac:dyDescent="0.25">
      <c r="B168" t="str">
        <f t="shared" si="10"/>
        <v>W6.GERMS.FROM.DONOR</v>
      </c>
      <c r="C168" s="45" t="str">
        <f>Master[[#This Row],[Inventory Prefix]]&amp;" "&amp;Master[[#This Row],[Inventory Number]]&amp;" "&amp;Master[[#This Row],[Inventory Suffix]]&amp;" "&amp;Master[[#This Row],[Inventory Type - Lookup Picker]]</f>
        <v xml:space="preserve">   </v>
      </c>
      <c r="D168" s="45" t="str">
        <f t="shared" si="11"/>
        <v>mm/yyyy</v>
      </c>
      <c r="E168" s="77" t="str">
        <f>IF(Master[[#This Row],[GERMS from DONOR (test date)]]="","",Master[[#This Row],[GERMS from DONOR (test date)]])</f>
        <v/>
      </c>
      <c r="I168" s="76" t="str">
        <f>IF(Master[[#This Row],[GERMS from DONOR (viability)]]="","",Master[[#This Row],[GERMS from DONOR (viability)]])</f>
        <v/>
      </c>
    </row>
    <row r="169" spans="2:9" x14ac:dyDescent="0.25">
      <c r="B169" t="str">
        <f t="shared" si="10"/>
        <v>W6.GERMS.FROM.DONOR</v>
      </c>
      <c r="C169" s="45" t="str">
        <f>Master[[#This Row],[Inventory Prefix]]&amp;" "&amp;Master[[#This Row],[Inventory Number]]&amp;" "&amp;Master[[#This Row],[Inventory Suffix]]&amp;" "&amp;Master[[#This Row],[Inventory Type - Lookup Picker]]</f>
        <v xml:space="preserve">   </v>
      </c>
      <c r="D169" s="45" t="str">
        <f t="shared" si="11"/>
        <v>mm/yyyy</v>
      </c>
      <c r="E169" s="77" t="str">
        <f>IF(Master[[#This Row],[GERMS from DONOR (test date)]]="","",Master[[#This Row],[GERMS from DONOR (test date)]])</f>
        <v/>
      </c>
      <c r="I169" s="76" t="str">
        <f>IF(Master[[#This Row],[GERMS from DONOR (viability)]]="","",Master[[#This Row],[GERMS from DONOR (viability)]])</f>
        <v/>
      </c>
    </row>
    <row r="170" spans="2:9" x14ac:dyDescent="0.25">
      <c r="B170" t="str">
        <f t="shared" si="10"/>
        <v>W6.GERMS.FROM.DONOR</v>
      </c>
      <c r="C170" s="45" t="str">
        <f>Master[[#This Row],[Inventory Prefix]]&amp;" "&amp;Master[[#This Row],[Inventory Number]]&amp;" "&amp;Master[[#This Row],[Inventory Suffix]]&amp;" "&amp;Master[[#This Row],[Inventory Type - Lookup Picker]]</f>
        <v xml:space="preserve">   </v>
      </c>
      <c r="D170" s="45" t="str">
        <f t="shared" si="11"/>
        <v>mm/yyyy</v>
      </c>
      <c r="E170" s="77" t="str">
        <f>IF(Master[[#This Row],[GERMS from DONOR (test date)]]="","",Master[[#This Row],[GERMS from DONOR (test date)]])</f>
        <v/>
      </c>
      <c r="I170" s="76" t="str">
        <f>IF(Master[[#This Row],[GERMS from DONOR (viability)]]="","",Master[[#This Row],[GERMS from DONOR (viability)]])</f>
        <v/>
      </c>
    </row>
    <row r="171" spans="2:9" x14ac:dyDescent="0.25">
      <c r="B171" t="str">
        <f t="shared" si="10"/>
        <v>W6.GERMS.FROM.DONOR</v>
      </c>
      <c r="C171" s="45" t="str">
        <f>Master[[#This Row],[Inventory Prefix]]&amp;" "&amp;Master[[#This Row],[Inventory Number]]&amp;" "&amp;Master[[#This Row],[Inventory Suffix]]&amp;" "&amp;Master[[#This Row],[Inventory Type - Lookup Picker]]</f>
        <v xml:space="preserve">   </v>
      </c>
      <c r="D171" s="45" t="str">
        <f t="shared" si="11"/>
        <v>mm/yyyy</v>
      </c>
      <c r="E171" s="77" t="str">
        <f>IF(Master[[#This Row],[GERMS from DONOR (test date)]]="","",Master[[#This Row],[GERMS from DONOR (test date)]])</f>
        <v/>
      </c>
      <c r="I171" s="76" t="str">
        <f>IF(Master[[#This Row],[GERMS from DONOR (viability)]]="","",Master[[#This Row],[GERMS from DONOR (viability)]])</f>
        <v/>
      </c>
    </row>
    <row r="172" spans="2:9" x14ac:dyDescent="0.25">
      <c r="B172" t="str">
        <f t="shared" si="10"/>
        <v>W6.GERMS.FROM.DONOR</v>
      </c>
      <c r="C172" s="45" t="str">
        <f>Master[[#This Row],[Inventory Prefix]]&amp;" "&amp;Master[[#This Row],[Inventory Number]]&amp;" "&amp;Master[[#This Row],[Inventory Suffix]]&amp;" "&amp;Master[[#This Row],[Inventory Type - Lookup Picker]]</f>
        <v xml:space="preserve">   </v>
      </c>
      <c r="D172" s="45" t="str">
        <f t="shared" si="11"/>
        <v>mm/yyyy</v>
      </c>
      <c r="E172" s="77" t="str">
        <f>IF(Master[[#This Row],[GERMS from DONOR (test date)]]="","",Master[[#This Row],[GERMS from DONOR (test date)]])</f>
        <v/>
      </c>
      <c r="I172" s="76" t="str">
        <f>IF(Master[[#This Row],[GERMS from DONOR (viability)]]="","",Master[[#This Row],[GERMS from DONOR (viability)]])</f>
        <v/>
      </c>
    </row>
    <row r="173" spans="2:9" x14ac:dyDescent="0.25">
      <c r="B173" t="str">
        <f t="shared" si="10"/>
        <v>W6.GERMS.FROM.DONOR</v>
      </c>
      <c r="C173" s="45" t="str">
        <f>Master[[#This Row],[Inventory Prefix]]&amp;" "&amp;Master[[#This Row],[Inventory Number]]&amp;" "&amp;Master[[#This Row],[Inventory Suffix]]&amp;" "&amp;Master[[#This Row],[Inventory Type - Lookup Picker]]</f>
        <v xml:space="preserve">   </v>
      </c>
      <c r="D173" s="45" t="str">
        <f t="shared" si="11"/>
        <v>mm/yyyy</v>
      </c>
      <c r="E173" s="77" t="str">
        <f>IF(Master[[#This Row],[GERMS from DONOR (test date)]]="","",Master[[#This Row],[GERMS from DONOR (test date)]])</f>
        <v/>
      </c>
      <c r="I173" s="76" t="str">
        <f>IF(Master[[#This Row],[GERMS from DONOR (viability)]]="","",Master[[#This Row],[GERMS from DONOR (viability)]])</f>
        <v/>
      </c>
    </row>
    <row r="174" spans="2:9" x14ac:dyDescent="0.25">
      <c r="B174" t="str">
        <f t="shared" si="10"/>
        <v>W6.GERMS.FROM.DONOR</v>
      </c>
      <c r="C174" s="45" t="str">
        <f>Master[[#This Row],[Inventory Prefix]]&amp;" "&amp;Master[[#This Row],[Inventory Number]]&amp;" "&amp;Master[[#This Row],[Inventory Suffix]]&amp;" "&amp;Master[[#This Row],[Inventory Type - Lookup Picker]]</f>
        <v xml:space="preserve">   </v>
      </c>
      <c r="D174" s="45" t="str">
        <f t="shared" si="11"/>
        <v>mm/yyyy</v>
      </c>
      <c r="E174" s="77" t="str">
        <f>IF(Master[[#This Row],[GERMS from DONOR (test date)]]="","",Master[[#This Row],[GERMS from DONOR (test date)]])</f>
        <v/>
      </c>
      <c r="I174" s="76" t="str">
        <f>IF(Master[[#This Row],[GERMS from DONOR (viability)]]="","",Master[[#This Row],[GERMS from DONOR (viability)]])</f>
        <v/>
      </c>
    </row>
    <row r="175" spans="2:9" x14ac:dyDescent="0.25">
      <c r="B175" t="str">
        <f t="shared" si="10"/>
        <v>W6.GERMS.FROM.DONOR</v>
      </c>
      <c r="C175" s="45" t="str">
        <f>Master[[#This Row],[Inventory Prefix]]&amp;" "&amp;Master[[#This Row],[Inventory Number]]&amp;" "&amp;Master[[#This Row],[Inventory Suffix]]&amp;" "&amp;Master[[#This Row],[Inventory Type - Lookup Picker]]</f>
        <v xml:space="preserve">   </v>
      </c>
      <c r="D175" s="45" t="str">
        <f t="shared" si="11"/>
        <v>mm/yyyy</v>
      </c>
      <c r="E175" s="77" t="str">
        <f>IF(Master[[#This Row],[GERMS from DONOR (test date)]]="","",Master[[#This Row],[GERMS from DONOR (test date)]])</f>
        <v/>
      </c>
      <c r="I175" s="76" t="str">
        <f>IF(Master[[#This Row],[GERMS from DONOR (viability)]]="","",Master[[#This Row],[GERMS from DONOR (viability)]])</f>
        <v/>
      </c>
    </row>
    <row r="176" spans="2:9" x14ac:dyDescent="0.25">
      <c r="B176" t="str">
        <f t="shared" si="10"/>
        <v>W6.GERMS.FROM.DONOR</v>
      </c>
      <c r="C176" s="45" t="str">
        <f>Master[[#This Row],[Inventory Prefix]]&amp;" "&amp;Master[[#This Row],[Inventory Number]]&amp;" "&amp;Master[[#This Row],[Inventory Suffix]]&amp;" "&amp;Master[[#This Row],[Inventory Type - Lookup Picker]]</f>
        <v xml:space="preserve">   </v>
      </c>
      <c r="D176" s="45" t="str">
        <f t="shared" si="11"/>
        <v>mm/yyyy</v>
      </c>
      <c r="E176" s="77" t="str">
        <f>IF(Master[[#This Row],[GERMS from DONOR (test date)]]="","",Master[[#This Row],[GERMS from DONOR (test date)]])</f>
        <v/>
      </c>
      <c r="I176" s="76" t="str">
        <f>IF(Master[[#This Row],[GERMS from DONOR (viability)]]="","",Master[[#This Row],[GERMS from DONOR (viability)]])</f>
        <v/>
      </c>
    </row>
    <row r="177" spans="2:9" x14ac:dyDescent="0.25">
      <c r="B177" t="str">
        <f t="shared" si="10"/>
        <v>W6.GERMS.FROM.DONOR</v>
      </c>
      <c r="C177" s="45" t="str">
        <f>Master[[#This Row],[Inventory Prefix]]&amp;" "&amp;Master[[#This Row],[Inventory Number]]&amp;" "&amp;Master[[#This Row],[Inventory Suffix]]&amp;" "&amp;Master[[#This Row],[Inventory Type - Lookup Picker]]</f>
        <v xml:space="preserve">   </v>
      </c>
      <c r="D177" s="45" t="str">
        <f t="shared" si="11"/>
        <v>mm/yyyy</v>
      </c>
      <c r="E177" s="77" t="str">
        <f>IF(Master[[#This Row],[GERMS from DONOR (test date)]]="","",Master[[#This Row],[GERMS from DONOR (test date)]])</f>
        <v/>
      </c>
      <c r="I177" s="76" t="str">
        <f>IF(Master[[#This Row],[GERMS from DONOR (viability)]]="","",Master[[#This Row],[GERMS from DONOR (viability)]])</f>
        <v/>
      </c>
    </row>
    <row r="178" spans="2:9" x14ac:dyDescent="0.25">
      <c r="B178" t="str">
        <f t="shared" si="10"/>
        <v>W6.GERMS.FROM.DONOR</v>
      </c>
      <c r="C178" s="45" t="str">
        <f>Master[[#This Row],[Inventory Prefix]]&amp;" "&amp;Master[[#This Row],[Inventory Number]]&amp;" "&amp;Master[[#This Row],[Inventory Suffix]]&amp;" "&amp;Master[[#This Row],[Inventory Type - Lookup Picker]]</f>
        <v xml:space="preserve">   </v>
      </c>
      <c r="D178" s="45" t="str">
        <f t="shared" si="11"/>
        <v>mm/yyyy</v>
      </c>
      <c r="E178" s="77" t="str">
        <f>IF(Master[[#This Row],[GERMS from DONOR (test date)]]="","",Master[[#This Row],[GERMS from DONOR (test date)]])</f>
        <v/>
      </c>
      <c r="I178" s="76" t="str">
        <f>IF(Master[[#This Row],[GERMS from DONOR (viability)]]="","",Master[[#This Row],[GERMS from DONOR (viability)]])</f>
        <v/>
      </c>
    </row>
    <row r="179" spans="2:9" x14ac:dyDescent="0.25">
      <c r="B179" t="str">
        <f t="shared" si="10"/>
        <v>W6.GERMS.FROM.DONOR</v>
      </c>
      <c r="C179" s="45" t="str">
        <f>Master[[#This Row],[Inventory Prefix]]&amp;" "&amp;Master[[#This Row],[Inventory Number]]&amp;" "&amp;Master[[#This Row],[Inventory Suffix]]&amp;" "&amp;Master[[#This Row],[Inventory Type - Lookup Picker]]</f>
        <v xml:space="preserve">   </v>
      </c>
      <c r="D179" s="45" t="str">
        <f t="shared" si="11"/>
        <v>mm/yyyy</v>
      </c>
      <c r="E179" s="77" t="str">
        <f>IF(Master[[#This Row],[GERMS from DONOR (test date)]]="","",Master[[#This Row],[GERMS from DONOR (test date)]])</f>
        <v/>
      </c>
      <c r="I179" s="76" t="str">
        <f>IF(Master[[#This Row],[GERMS from DONOR (viability)]]="","",Master[[#This Row],[GERMS from DONOR (viability)]])</f>
        <v/>
      </c>
    </row>
    <row r="180" spans="2:9" x14ac:dyDescent="0.25">
      <c r="B180" t="str">
        <f t="shared" si="10"/>
        <v>W6.GERMS.FROM.DONOR</v>
      </c>
      <c r="C180" s="45" t="str">
        <f>Master[[#This Row],[Inventory Prefix]]&amp;" "&amp;Master[[#This Row],[Inventory Number]]&amp;" "&amp;Master[[#This Row],[Inventory Suffix]]&amp;" "&amp;Master[[#This Row],[Inventory Type - Lookup Picker]]</f>
        <v xml:space="preserve">   </v>
      </c>
      <c r="D180" s="45" t="str">
        <f t="shared" si="11"/>
        <v>mm/yyyy</v>
      </c>
      <c r="E180" s="77" t="str">
        <f>IF(Master[[#This Row],[GERMS from DONOR (test date)]]="","",Master[[#This Row],[GERMS from DONOR (test date)]])</f>
        <v/>
      </c>
      <c r="I180" s="76" t="str">
        <f>IF(Master[[#This Row],[GERMS from DONOR (viability)]]="","",Master[[#This Row],[GERMS from DONOR (viability)]])</f>
        <v/>
      </c>
    </row>
    <row r="181" spans="2:9" x14ac:dyDescent="0.25">
      <c r="B181" t="str">
        <f t="shared" si="10"/>
        <v>W6.GERMS.FROM.DONOR</v>
      </c>
      <c r="C181" s="45" t="str">
        <f>Master[[#This Row],[Inventory Prefix]]&amp;" "&amp;Master[[#This Row],[Inventory Number]]&amp;" "&amp;Master[[#This Row],[Inventory Suffix]]&amp;" "&amp;Master[[#This Row],[Inventory Type - Lookup Picker]]</f>
        <v xml:space="preserve">   </v>
      </c>
      <c r="D181" s="45" t="str">
        <f t="shared" si="11"/>
        <v>mm/yyyy</v>
      </c>
      <c r="E181" s="77" t="str">
        <f>IF(Master[[#This Row],[GERMS from DONOR (test date)]]="","",Master[[#This Row],[GERMS from DONOR (test date)]])</f>
        <v/>
      </c>
      <c r="I181" s="76" t="str">
        <f>IF(Master[[#This Row],[GERMS from DONOR (viability)]]="","",Master[[#This Row],[GERMS from DONOR (viability)]])</f>
        <v/>
      </c>
    </row>
    <row r="182" spans="2:9" x14ac:dyDescent="0.25">
      <c r="B182" t="str">
        <f t="shared" si="10"/>
        <v>W6.GERMS.FROM.DONOR</v>
      </c>
      <c r="C182" s="45" t="str">
        <f>Master[[#This Row],[Inventory Prefix]]&amp;" "&amp;Master[[#This Row],[Inventory Number]]&amp;" "&amp;Master[[#This Row],[Inventory Suffix]]&amp;" "&amp;Master[[#This Row],[Inventory Type - Lookup Picker]]</f>
        <v xml:space="preserve">   </v>
      </c>
      <c r="D182" s="45" t="str">
        <f t="shared" si="11"/>
        <v>mm/yyyy</v>
      </c>
      <c r="E182" s="77" t="str">
        <f>IF(Master[[#This Row],[GERMS from DONOR (test date)]]="","",Master[[#This Row],[GERMS from DONOR (test date)]])</f>
        <v/>
      </c>
      <c r="I182" s="76" t="str">
        <f>IF(Master[[#This Row],[GERMS from DONOR (viability)]]="","",Master[[#This Row],[GERMS from DONOR (viability)]])</f>
        <v/>
      </c>
    </row>
    <row r="183" spans="2:9" x14ac:dyDescent="0.25">
      <c r="B183" t="str">
        <f t="shared" si="10"/>
        <v>W6.GERMS.FROM.DONOR</v>
      </c>
      <c r="C183" s="45" t="str">
        <f>Master[[#This Row],[Inventory Prefix]]&amp;" "&amp;Master[[#This Row],[Inventory Number]]&amp;" "&amp;Master[[#This Row],[Inventory Suffix]]&amp;" "&amp;Master[[#This Row],[Inventory Type - Lookup Picker]]</f>
        <v xml:space="preserve">   </v>
      </c>
      <c r="D183" s="45" t="str">
        <f t="shared" si="11"/>
        <v>mm/yyyy</v>
      </c>
      <c r="E183" s="77" t="str">
        <f>IF(Master[[#This Row],[GERMS from DONOR (test date)]]="","",Master[[#This Row],[GERMS from DONOR (test date)]])</f>
        <v/>
      </c>
      <c r="I183" s="76" t="str">
        <f>IF(Master[[#This Row],[GERMS from DONOR (viability)]]="","",Master[[#This Row],[GERMS from DONOR (viability)]])</f>
        <v/>
      </c>
    </row>
    <row r="184" spans="2:9" x14ac:dyDescent="0.25">
      <c r="B184" t="str">
        <f t="shared" si="10"/>
        <v>W6.GERMS.FROM.DONOR</v>
      </c>
      <c r="C184" s="45" t="str">
        <f>Master[[#This Row],[Inventory Prefix]]&amp;" "&amp;Master[[#This Row],[Inventory Number]]&amp;" "&amp;Master[[#This Row],[Inventory Suffix]]&amp;" "&amp;Master[[#This Row],[Inventory Type - Lookup Picker]]</f>
        <v xml:space="preserve">   </v>
      </c>
      <c r="D184" s="45" t="str">
        <f t="shared" si="11"/>
        <v>mm/yyyy</v>
      </c>
      <c r="E184" s="77" t="str">
        <f>IF(Master[[#This Row],[GERMS from DONOR (test date)]]="","",Master[[#This Row],[GERMS from DONOR (test date)]])</f>
        <v/>
      </c>
      <c r="I184" s="76" t="str">
        <f>IF(Master[[#This Row],[GERMS from DONOR (viability)]]="","",Master[[#This Row],[GERMS from DONOR (viability)]])</f>
        <v/>
      </c>
    </row>
    <row r="185" spans="2:9" x14ac:dyDescent="0.25">
      <c r="B185" t="str">
        <f t="shared" si="10"/>
        <v>W6.GERMS.FROM.DONOR</v>
      </c>
      <c r="C185" s="45" t="str">
        <f>Master[[#This Row],[Inventory Prefix]]&amp;" "&amp;Master[[#This Row],[Inventory Number]]&amp;" "&amp;Master[[#This Row],[Inventory Suffix]]&amp;" "&amp;Master[[#This Row],[Inventory Type - Lookup Picker]]</f>
        <v xml:space="preserve">   </v>
      </c>
      <c r="D185" s="45" t="str">
        <f t="shared" si="11"/>
        <v>mm/yyyy</v>
      </c>
      <c r="E185" s="77" t="str">
        <f>IF(Master[[#This Row],[GERMS from DONOR (test date)]]="","",Master[[#This Row],[GERMS from DONOR (test date)]])</f>
        <v/>
      </c>
      <c r="I185" s="76" t="str">
        <f>IF(Master[[#This Row],[GERMS from DONOR (viability)]]="","",Master[[#This Row],[GERMS from DONOR (viability)]])</f>
        <v/>
      </c>
    </row>
    <row r="186" spans="2:9" x14ac:dyDescent="0.25">
      <c r="B186" t="str">
        <f t="shared" si="10"/>
        <v>W6.GERMS.FROM.DONOR</v>
      </c>
      <c r="C186" s="45" t="str">
        <f>Master[[#This Row],[Inventory Prefix]]&amp;" "&amp;Master[[#This Row],[Inventory Number]]&amp;" "&amp;Master[[#This Row],[Inventory Suffix]]&amp;" "&amp;Master[[#This Row],[Inventory Type - Lookup Picker]]</f>
        <v xml:space="preserve">   </v>
      </c>
      <c r="D186" s="45" t="str">
        <f t="shared" si="11"/>
        <v>mm/yyyy</v>
      </c>
      <c r="E186" s="77" t="str">
        <f>IF(Master[[#This Row],[GERMS from DONOR (test date)]]="","",Master[[#This Row],[GERMS from DONOR (test date)]])</f>
        <v/>
      </c>
      <c r="I186" s="76" t="str">
        <f>IF(Master[[#This Row],[GERMS from DONOR (viability)]]="","",Master[[#This Row],[GERMS from DONOR (viability)]])</f>
        <v/>
      </c>
    </row>
    <row r="187" spans="2:9" x14ac:dyDescent="0.25">
      <c r="B187" t="str">
        <f t="shared" si="10"/>
        <v>W6.GERMS.FROM.DONOR</v>
      </c>
      <c r="C187" s="45" t="str">
        <f>Master[[#This Row],[Inventory Prefix]]&amp;" "&amp;Master[[#This Row],[Inventory Number]]&amp;" "&amp;Master[[#This Row],[Inventory Suffix]]&amp;" "&amp;Master[[#This Row],[Inventory Type - Lookup Picker]]</f>
        <v xml:space="preserve">   </v>
      </c>
      <c r="D187" s="45" t="str">
        <f t="shared" si="11"/>
        <v>mm/yyyy</v>
      </c>
      <c r="E187" s="77" t="str">
        <f>IF(Master[[#This Row],[GERMS from DONOR (test date)]]="","",Master[[#This Row],[GERMS from DONOR (test date)]])</f>
        <v/>
      </c>
      <c r="I187" s="76" t="str">
        <f>IF(Master[[#This Row],[GERMS from DONOR (viability)]]="","",Master[[#This Row],[GERMS from DONOR (viability)]])</f>
        <v/>
      </c>
    </row>
    <row r="188" spans="2:9" x14ac:dyDescent="0.25">
      <c r="B188" t="str">
        <f t="shared" si="10"/>
        <v>W6.GERMS.FROM.DONOR</v>
      </c>
      <c r="C188" s="45" t="str">
        <f>Master[[#This Row],[Inventory Prefix]]&amp;" "&amp;Master[[#This Row],[Inventory Number]]&amp;" "&amp;Master[[#This Row],[Inventory Suffix]]&amp;" "&amp;Master[[#This Row],[Inventory Type - Lookup Picker]]</f>
        <v xml:space="preserve">   </v>
      </c>
      <c r="D188" s="45" t="str">
        <f t="shared" si="11"/>
        <v>mm/yyyy</v>
      </c>
      <c r="E188" s="77" t="str">
        <f>IF(Master[[#This Row],[GERMS from DONOR (test date)]]="","",Master[[#This Row],[GERMS from DONOR (test date)]])</f>
        <v/>
      </c>
      <c r="I188" s="76" t="str">
        <f>IF(Master[[#This Row],[GERMS from DONOR (viability)]]="","",Master[[#This Row],[GERMS from DONOR (viability)]])</f>
        <v/>
      </c>
    </row>
    <row r="189" spans="2:9" x14ac:dyDescent="0.25">
      <c r="B189" t="str">
        <f t="shared" si="10"/>
        <v>W6.GERMS.FROM.DONOR</v>
      </c>
      <c r="C189" s="45" t="str">
        <f>Master[[#This Row],[Inventory Prefix]]&amp;" "&amp;Master[[#This Row],[Inventory Number]]&amp;" "&amp;Master[[#This Row],[Inventory Suffix]]&amp;" "&amp;Master[[#This Row],[Inventory Type - Lookup Picker]]</f>
        <v xml:space="preserve">   </v>
      </c>
      <c r="D189" s="45" t="str">
        <f t="shared" si="11"/>
        <v>mm/yyyy</v>
      </c>
      <c r="E189" s="77" t="str">
        <f>IF(Master[[#This Row],[GERMS from DONOR (test date)]]="","",Master[[#This Row],[GERMS from DONOR (test date)]])</f>
        <v/>
      </c>
      <c r="I189" s="76" t="str">
        <f>IF(Master[[#This Row],[GERMS from DONOR (viability)]]="","",Master[[#This Row],[GERMS from DONOR (viability)]])</f>
        <v/>
      </c>
    </row>
    <row r="190" spans="2:9" x14ac:dyDescent="0.25">
      <c r="B190" t="str">
        <f t="shared" si="10"/>
        <v>W6.GERMS.FROM.DONOR</v>
      </c>
      <c r="C190" s="45" t="str">
        <f>Master[[#This Row],[Inventory Prefix]]&amp;" "&amp;Master[[#This Row],[Inventory Number]]&amp;" "&amp;Master[[#This Row],[Inventory Suffix]]&amp;" "&amp;Master[[#This Row],[Inventory Type - Lookup Picker]]</f>
        <v xml:space="preserve">   </v>
      </c>
      <c r="D190" s="45" t="str">
        <f t="shared" si="11"/>
        <v>mm/yyyy</v>
      </c>
      <c r="E190" s="77" t="str">
        <f>IF(Master[[#This Row],[GERMS from DONOR (test date)]]="","",Master[[#This Row],[GERMS from DONOR (test date)]])</f>
        <v/>
      </c>
      <c r="I190" s="76" t="str">
        <f>IF(Master[[#This Row],[GERMS from DONOR (viability)]]="","",Master[[#This Row],[GERMS from DONOR (viability)]])</f>
        <v/>
      </c>
    </row>
    <row r="191" spans="2:9" x14ac:dyDescent="0.25">
      <c r="B191" t="str">
        <f t="shared" si="10"/>
        <v>W6.GERMS.FROM.DONOR</v>
      </c>
      <c r="C191" s="45" t="str">
        <f>Master[[#This Row],[Inventory Prefix]]&amp;" "&amp;Master[[#This Row],[Inventory Number]]&amp;" "&amp;Master[[#This Row],[Inventory Suffix]]&amp;" "&amp;Master[[#This Row],[Inventory Type - Lookup Picker]]</f>
        <v xml:space="preserve">   </v>
      </c>
      <c r="D191" s="45" t="str">
        <f t="shared" si="11"/>
        <v>mm/yyyy</v>
      </c>
      <c r="E191" s="77" t="str">
        <f>IF(Master[[#This Row],[GERMS from DONOR (test date)]]="","",Master[[#This Row],[GERMS from DONOR (test date)]])</f>
        <v/>
      </c>
      <c r="I191" s="76" t="str">
        <f>IF(Master[[#This Row],[GERMS from DONOR (viability)]]="","",Master[[#This Row],[GERMS from DONOR (viability)]])</f>
        <v/>
      </c>
    </row>
    <row r="192" spans="2:9" x14ac:dyDescent="0.25">
      <c r="B192" t="str">
        <f t="shared" si="10"/>
        <v>W6.GERMS.FROM.DONOR</v>
      </c>
      <c r="C192" s="45" t="str">
        <f>Master[[#This Row],[Inventory Prefix]]&amp;" "&amp;Master[[#This Row],[Inventory Number]]&amp;" "&amp;Master[[#This Row],[Inventory Suffix]]&amp;" "&amp;Master[[#This Row],[Inventory Type - Lookup Picker]]</f>
        <v xml:space="preserve">   </v>
      </c>
      <c r="D192" s="45" t="str">
        <f t="shared" si="11"/>
        <v>mm/yyyy</v>
      </c>
      <c r="E192" s="77" t="str">
        <f>IF(Master[[#This Row],[GERMS from DONOR (test date)]]="","",Master[[#This Row],[GERMS from DONOR (test date)]])</f>
        <v/>
      </c>
      <c r="I192" s="76" t="str">
        <f>IF(Master[[#This Row],[GERMS from DONOR (viability)]]="","",Master[[#This Row],[GERMS from DONOR (viability)]])</f>
        <v/>
      </c>
    </row>
    <row r="193" spans="2:9" x14ac:dyDescent="0.25">
      <c r="B193" t="str">
        <f t="shared" si="10"/>
        <v>W6.GERMS.FROM.DONOR</v>
      </c>
      <c r="C193" s="45" t="str">
        <f>Master[[#This Row],[Inventory Prefix]]&amp;" "&amp;Master[[#This Row],[Inventory Number]]&amp;" "&amp;Master[[#This Row],[Inventory Suffix]]&amp;" "&amp;Master[[#This Row],[Inventory Type - Lookup Picker]]</f>
        <v xml:space="preserve">   </v>
      </c>
      <c r="D193" s="45" t="str">
        <f t="shared" si="11"/>
        <v>mm/yyyy</v>
      </c>
      <c r="E193" s="77" t="str">
        <f>IF(Master[[#This Row],[GERMS from DONOR (test date)]]="","",Master[[#This Row],[GERMS from DONOR (test date)]])</f>
        <v/>
      </c>
      <c r="I193" s="76" t="str">
        <f>IF(Master[[#This Row],[GERMS from DONOR (viability)]]="","",Master[[#This Row],[GERMS from DONOR (viability)]])</f>
        <v/>
      </c>
    </row>
    <row r="194" spans="2:9" x14ac:dyDescent="0.25">
      <c r="B194" t="str">
        <f t="shared" ref="B194:B201" si="12">"W6.GERMS.FROM.DONOR"</f>
        <v>W6.GERMS.FROM.DONOR</v>
      </c>
      <c r="C194" s="45" t="str">
        <f>Master[[#This Row],[Inventory Prefix]]&amp;" "&amp;Master[[#This Row],[Inventory Number]]&amp;" "&amp;Master[[#This Row],[Inventory Suffix]]&amp;" "&amp;Master[[#This Row],[Inventory Type - Lookup Picker]]</f>
        <v xml:space="preserve">   </v>
      </c>
      <c r="D194" s="45" t="str">
        <f t="shared" si="11"/>
        <v>mm/yyyy</v>
      </c>
      <c r="E194" s="77" t="str">
        <f>IF(Master[[#This Row],[GERMS from DONOR (test date)]]="","",Master[[#This Row],[GERMS from DONOR (test date)]])</f>
        <v/>
      </c>
      <c r="I194" s="76" t="str">
        <f>IF(Master[[#This Row],[GERMS from DONOR (viability)]]="","",Master[[#This Row],[GERMS from DONOR (viability)]])</f>
        <v/>
      </c>
    </row>
    <row r="195" spans="2:9" x14ac:dyDescent="0.25">
      <c r="B195" t="str">
        <f t="shared" si="12"/>
        <v>W6.GERMS.FROM.DONOR</v>
      </c>
      <c r="C195" s="45" t="str">
        <f>Master[[#This Row],[Inventory Prefix]]&amp;" "&amp;Master[[#This Row],[Inventory Number]]&amp;" "&amp;Master[[#This Row],[Inventory Suffix]]&amp;" "&amp;Master[[#This Row],[Inventory Type - Lookup Picker]]</f>
        <v xml:space="preserve">   </v>
      </c>
      <c r="D195" s="45" t="str">
        <f t="shared" si="11"/>
        <v>mm/yyyy</v>
      </c>
      <c r="E195" s="77" t="str">
        <f>IF(Master[[#This Row],[GERMS from DONOR (test date)]]="","",Master[[#This Row],[GERMS from DONOR (test date)]])</f>
        <v/>
      </c>
      <c r="I195" s="76" t="str">
        <f>IF(Master[[#This Row],[GERMS from DONOR (viability)]]="","",Master[[#This Row],[GERMS from DONOR (viability)]])</f>
        <v/>
      </c>
    </row>
    <row r="196" spans="2:9" x14ac:dyDescent="0.25">
      <c r="B196" t="str">
        <f t="shared" si="12"/>
        <v>W6.GERMS.FROM.DONOR</v>
      </c>
      <c r="C196" s="45" t="str">
        <f>Master[[#This Row],[Inventory Prefix]]&amp;" "&amp;Master[[#This Row],[Inventory Number]]&amp;" "&amp;Master[[#This Row],[Inventory Suffix]]&amp;" "&amp;Master[[#This Row],[Inventory Type - Lookup Picker]]</f>
        <v xml:space="preserve">   </v>
      </c>
      <c r="D196" s="45" t="str">
        <f t="shared" ref="D196:D201" si="13">"mm/yyyy"</f>
        <v>mm/yyyy</v>
      </c>
      <c r="E196" s="77" t="str">
        <f>IF(Master[[#This Row],[GERMS from DONOR (test date)]]="","",Master[[#This Row],[GERMS from DONOR (test date)]])</f>
        <v/>
      </c>
      <c r="I196" s="76" t="str">
        <f>IF(Master[[#This Row],[GERMS from DONOR (viability)]]="","",Master[[#This Row],[GERMS from DONOR (viability)]])</f>
        <v/>
      </c>
    </row>
    <row r="197" spans="2:9" x14ac:dyDescent="0.25">
      <c r="B197" t="str">
        <f t="shared" si="12"/>
        <v>W6.GERMS.FROM.DONOR</v>
      </c>
      <c r="C197" s="45" t="str">
        <f>Master[[#This Row],[Inventory Prefix]]&amp;" "&amp;Master[[#This Row],[Inventory Number]]&amp;" "&amp;Master[[#This Row],[Inventory Suffix]]&amp;" "&amp;Master[[#This Row],[Inventory Type - Lookup Picker]]</f>
        <v xml:space="preserve">   </v>
      </c>
      <c r="D197" s="45" t="str">
        <f t="shared" si="13"/>
        <v>mm/yyyy</v>
      </c>
      <c r="E197" s="77" t="str">
        <f>IF(Master[[#This Row],[GERMS from DONOR (test date)]]="","",Master[[#This Row],[GERMS from DONOR (test date)]])</f>
        <v/>
      </c>
      <c r="I197" s="76" t="str">
        <f>IF(Master[[#This Row],[GERMS from DONOR (viability)]]="","",Master[[#This Row],[GERMS from DONOR (viability)]])</f>
        <v/>
      </c>
    </row>
    <row r="198" spans="2:9" x14ac:dyDescent="0.25">
      <c r="B198" t="str">
        <f t="shared" si="12"/>
        <v>W6.GERMS.FROM.DONOR</v>
      </c>
      <c r="C198" s="45" t="str">
        <f>Master[[#This Row],[Inventory Prefix]]&amp;" "&amp;Master[[#This Row],[Inventory Number]]&amp;" "&amp;Master[[#This Row],[Inventory Suffix]]&amp;" "&amp;Master[[#This Row],[Inventory Type - Lookup Picker]]</f>
        <v xml:space="preserve">   </v>
      </c>
      <c r="D198" s="45" t="str">
        <f t="shared" si="13"/>
        <v>mm/yyyy</v>
      </c>
      <c r="E198" s="77" t="str">
        <f>IF(Master[[#This Row],[GERMS from DONOR (test date)]]="","",Master[[#This Row],[GERMS from DONOR (test date)]])</f>
        <v/>
      </c>
      <c r="I198" s="76" t="str">
        <f>IF(Master[[#This Row],[GERMS from DONOR (viability)]]="","",Master[[#This Row],[GERMS from DONOR (viability)]])</f>
        <v/>
      </c>
    </row>
    <row r="199" spans="2:9" x14ac:dyDescent="0.25">
      <c r="B199" t="str">
        <f t="shared" si="12"/>
        <v>W6.GERMS.FROM.DONOR</v>
      </c>
      <c r="C199" s="45" t="str">
        <f>Master[[#This Row],[Inventory Prefix]]&amp;" "&amp;Master[[#This Row],[Inventory Number]]&amp;" "&amp;Master[[#This Row],[Inventory Suffix]]&amp;" "&amp;Master[[#This Row],[Inventory Type - Lookup Picker]]</f>
        <v xml:space="preserve">   </v>
      </c>
      <c r="D199" s="45" t="str">
        <f t="shared" si="13"/>
        <v>mm/yyyy</v>
      </c>
      <c r="E199" s="77" t="str">
        <f>IF(Master[[#This Row],[GERMS from DONOR (test date)]]="","",Master[[#This Row],[GERMS from DONOR (test date)]])</f>
        <v/>
      </c>
      <c r="I199" s="76" t="str">
        <f>IF(Master[[#This Row],[GERMS from DONOR (viability)]]="","",Master[[#This Row],[GERMS from DONOR (viability)]])</f>
        <v/>
      </c>
    </row>
    <row r="200" spans="2:9" x14ac:dyDescent="0.25">
      <c r="B200" t="str">
        <f t="shared" si="12"/>
        <v>W6.GERMS.FROM.DONOR</v>
      </c>
      <c r="C200" s="45" t="str">
        <f>Master[[#This Row],[Inventory Prefix]]&amp;" "&amp;Master[[#This Row],[Inventory Number]]&amp;" "&amp;Master[[#This Row],[Inventory Suffix]]&amp;" "&amp;Master[[#This Row],[Inventory Type - Lookup Picker]]</f>
        <v xml:space="preserve">   </v>
      </c>
      <c r="D200" s="45" t="str">
        <f t="shared" si="13"/>
        <v>mm/yyyy</v>
      </c>
      <c r="E200" s="77" t="str">
        <f>IF(Master[[#This Row],[GERMS from DONOR (test date)]]="","",Master[[#This Row],[GERMS from DONOR (test date)]])</f>
        <v/>
      </c>
      <c r="I200" s="76" t="str">
        <f>IF(Master[[#This Row],[GERMS from DONOR (viability)]]="","",Master[[#This Row],[GERMS from DONOR (viability)]])</f>
        <v/>
      </c>
    </row>
    <row r="201" spans="2:9" x14ac:dyDescent="0.25">
      <c r="B201" t="str">
        <f t="shared" si="12"/>
        <v>W6.GERMS.FROM.DONOR</v>
      </c>
      <c r="C201" s="45" t="str">
        <f>Master[[#This Row],[Inventory Prefix]]&amp;" "&amp;Master[[#This Row],[Inventory Number]]&amp;" "&amp;Master[[#This Row],[Inventory Suffix]]&amp;" "&amp;Master[[#This Row],[Inventory Type - Lookup Picker]]</f>
        <v xml:space="preserve">   </v>
      </c>
      <c r="D201" s="45" t="str">
        <f t="shared" si="13"/>
        <v>mm/yyyy</v>
      </c>
      <c r="E201" s="77" t="str">
        <f>IF(Master[[#This Row],[GERMS from DONOR (test date)]]="","",Master[[#This Row],[GERMS from DONOR (test date)]])</f>
        <v/>
      </c>
      <c r="I201" s="76" t="str">
        <f>IF(Master[[#This Row],[GERMS from DONOR (viability)]]="","",Master[[#This Row],[GERMS from DONOR (viability)]])</f>
        <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0" tint="-0.249977111117893"/>
  </sheetPr>
  <dimension ref="A1:J201"/>
  <sheetViews>
    <sheetView workbookViewId="0">
      <selection activeCell="A2" sqref="A2"/>
    </sheetView>
  </sheetViews>
  <sheetFormatPr defaultRowHeight="15" x14ac:dyDescent="0.25"/>
  <cols>
    <col min="1" max="1" width="9.85546875" customWidth="1"/>
    <col min="2" max="2" width="25.7109375" customWidth="1"/>
    <col min="3" max="3" width="14.5703125" customWidth="1"/>
    <col min="4" max="4" width="13.7109375" customWidth="1"/>
    <col min="5" max="6" width="13.85546875" customWidth="1"/>
    <col min="7" max="7" width="10.28515625" customWidth="1"/>
    <col min="8" max="8" width="13.42578125" customWidth="1"/>
    <col min="9" max="9" width="19.28515625" customWidth="1"/>
    <col min="10" max="10" width="7.7109375" bestFit="1" customWidth="1"/>
  </cols>
  <sheetData>
    <row r="1" spans="1:10" s="116" customFormat="1" ht="30" x14ac:dyDescent="0.25">
      <c r="A1" s="116" t="s">
        <v>57</v>
      </c>
      <c r="B1" s="118" t="s">
        <v>31</v>
      </c>
      <c r="C1" s="118" t="s">
        <v>49</v>
      </c>
      <c r="D1" s="116" t="s">
        <v>52</v>
      </c>
      <c r="E1" s="116" t="s">
        <v>53</v>
      </c>
      <c r="F1" s="116" t="s">
        <v>58</v>
      </c>
      <c r="G1" s="116" t="s">
        <v>59</v>
      </c>
      <c r="H1" s="116" t="s">
        <v>60</v>
      </c>
      <c r="I1" s="116" t="s">
        <v>55</v>
      </c>
      <c r="J1" s="116" t="s">
        <v>9</v>
      </c>
    </row>
    <row r="2" spans="1:10" ht="15.75" x14ac:dyDescent="0.25">
      <c r="A2" s="1"/>
      <c r="B2" t="str">
        <f>Master[[#This Row],[Inventory Prefix]]&amp;" "&amp;Master[[#This Row],[Inventory Number]]&amp;" "&amp;Master[[#This Row],[Inventory Suffix]]&amp;" "&amp;Master[[#This Row],[Inventory Type - Lookup Picker]]</f>
        <v>W6 57036 2019o SD</v>
      </c>
      <c r="C2" t="str">
        <f>"Received"</f>
        <v>Received</v>
      </c>
      <c r="D2" t="str">
        <f>"mm/dd/yyyy"</f>
        <v>mm/dd/yyyy</v>
      </c>
      <c r="E2" s="77">
        <f>Master[[#This Row],[Received Date -received by site]]</f>
        <v>43734</v>
      </c>
      <c r="F2" s="17">
        <f>IF(Master[[#This Row],[Total Weight -gram (if unknown, leave blank)]]="","1",Master[[#This Row],[Total Weight -gram (if unknown, leave blank)]])</f>
        <v>4.87</v>
      </c>
      <c r="G2" s="17" t="str">
        <f>IF(InvActionRecd[[#This Row],[Quantity]]="1","packet","gram")</f>
        <v>gram</v>
      </c>
      <c r="H2" t="str">
        <f>IF(Master[[#This Row],[Inventory Type - Lookup Picker]]="","",Master[[#This Row],[Inventory Type - Lookup Picker]])</f>
        <v>SD</v>
      </c>
      <c r="I2" t="str">
        <f>IF(Master[[#This Row],[Cooperator (Donor) 1 -full record]]="","",Master[[#This Row],[Cooperator (Donor) 1 -full record]])</f>
        <v>United States Forest Service (Bend)</v>
      </c>
    </row>
    <row r="3" spans="1:10" x14ac:dyDescent="0.25">
      <c r="A3" s="7"/>
      <c r="B3" t="str">
        <f>Master[[#This Row],[Inventory Prefix]]&amp;" "&amp;Master[[#This Row],[Inventory Number]]&amp;" "&amp;Master[[#This Row],[Inventory Suffix]]&amp;" "&amp;Master[[#This Row],[Inventory Type - Lookup Picker]]</f>
        <v>W6   SD</v>
      </c>
      <c r="C3" t="str">
        <f t="shared" ref="C3:C21" si="0">"Received"</f>
        <v>Received</v>
      </c>
      <c r="D3" t="str">
        <f t="shared" ref="D3:D21" si="1">"mm/dd/yyyy"</f>
        <v>mm/dd/yyyy</v>
      </c>
      <c r="E3" s="77">
        <f>Master[[#This Row],[Received Date -received by site]]</f>
        <v>0</v>
      </c>
      <c r="F3" s="17" t="str">
        <f>IF(Master[[#This Row],[Total Weight -gram (if unknown, leave blank)]]="","1",Master[[#This Row],[Total Weight -gram (if unknown, leave blank)]])</f>
        <v>1</v>
      </c>
      <c r="G3" s="17" t="str">
        <f>IF(InvActionRecd[[#This Row],[Quantity]]="1","packet","gram")</f>
        <v>packet</v>
      </c>
      <c r="H3" t="str">
        <f>IF(Master[[#This Row],[Inventory Type - Lookup Picker]]="","",Master[[#This Row],[Inventory Type - Lookup Picker]])</f>
        <v>SD</v>
      </c>
      <c r="I3" t="str">
        <f>IF(Master[[#This Row],[Cooperator (Donor) 1 -full record]]="","",Master[[#This Row],[Cooperator (Donor) 1 -full record]])</f>
        <v/>
      </c>
    </row>
    <row r="4" spans="1:10" x14ac:dyDescent="0.25">
      <c r="A4" s="7"/>
      <c r="B4" t="str">
        <f>Master[[#This Row],[Inventory Prefix]]&amp;" "&amp;Master[[#This Row],[Inventory Number]]&amp;" "&amp;Master[[#This Row],[Inventory Suffix]]&amp;" "&amp;Master[[#This Row],[Inventory Type - Lookup Picker]]</f>
        <v>W6   SD</v>
      </c>
      <c r="C4" t="str">
        <f t="shared" si="0"/>
        <v>Received</v>
      </c>
      <c r="D4" t="str">
        <f t="shared" si="1"/>
        <v>mm/dd/yyyy</v>
      </c>
      <c r="E4" s="77">
        <f>Master[[#This Row],[Received Date -received by site]]</f>
        <v>44466</v>
      </c>
      <c r="F4" s="17" t="str">
        <f>IF(Master[[#This Row],[Total Weight -gram (if unknown, leave blank)]]="","1",Master[[#This Row],[Total Weight -gram (if unknown, leave blank)]])</f>
        <v>1</v>
      </c>
      <c r="G4" s="17" t="str">
        <f>IF(InvActionRecd[[#This Row],[Quantity]]="1","packet","gram")</f>
        <v>packet</v>
      </c>
      <c r="H4" t="str">
        <f>IF(Master[[#This Row],[Inventory Type - Lookup Picker]]="","",Master[[#This Row],[Inventory Type - Lookup Picker]])</f>
        <v>SD</v>
      </c>
      <c r="I4" t="str">
        <f>IF(Master[[#This Row],[Cooperator (Donor) 1 -full record]]="","",Master[[#This Row],[Cooperator (Donor) 1 -full record]])</f>
        <v>Bureau of Land Management, SOS project</v>
      </c>
      <c r="J4" s="141"/>
    </row>
    <row r="5" spans="1:10" x14ac:dyDescent="0.25">
      <c r="A5" s="7"/>
      <c r="B5" t="str">
        <f>Master[[#This Row],[Inventory Prefix]]&amp;" "&amp;Master[[#This Row],[Inventory Number]]&amp;" "&amp;Master[[#This Row],[Inventory Suffix]]&amp;" "&amp;Master[[#This Row],[Inventory Type - Lookup Picker]]</f>
        <v>W6   SD</v>
      </c>
      <c r="C5" t="str">
        <f t="shared" si="0"/>
        <v>Received</v>
      </c>
      <c r="D5" t="str">
        <f t="shared" si="1"/>
        <v>mm/dd/yyyy</v>
      </c>
      <c r="E5" s="77">
        <f>Master[[#This Row],[Received Date -received by site]]</f>
        <v>44466</v>
      </c>
      <c r="F5" s="17" t="str">
        <f>IF(Master[[#This Row],[Total Weight -gram (if unknown, leave blank)]]="","1",Master[[#This Row],[Total Weight -gram (if unknown, leave blank)]])</f>
        <v>1</v>
      </c>
      <c r="G5" s="17" t="str">
        <f>IF(InvActionRecd[[#This Row],[Quantity]]="1","packet","gram")</f>
        <v>packet</v>
      </c>
      <c r="H5" t="str">
        <f>IF(Master[[#This Row],[Inventory Type - Lookup Picker]]="","",Master[[#This Row],[Inventory Type - Lookup Picker]])</f>
        <v>SD</v>
      </c>
      <c r="I5" t="str">
        <f>IF(Master[[#This Row],[Cooperator (Donor) 1 -full record]]="","",Master[[#This Row],[Cooperator (Donor) 1 -full record]])</f>
        <v>Bureau of Land Management, SOS project</v>
      </c>
      <c r="J5" s="141"/>
    </row>
    <row r="6" spans="1:10" x14ac:dyDescent="0.25">
      <c r="A6" s="7"/>
      <c r="B6" t="str">
        <f>Master[[#This Row],[Inventory Prefix]]&amp;" "&amp;Master[[#This Row],[Inventory Number]]&amp;" "&amp;Master[[#This Row],[Inventory Suffix]]&amp;" "&amp;Master[[#This Row],[Inventory Type - Lookup Picker]]</f>
        <v>W6   SD</v>
      </c>
      <c r="C6" t="str">
        <f t="shared" si="0"/>
        <v>Received</v>
      </c>
      <c r="D6" t="str">
        <f t="shared" si="1"/>
        <v>mm/dd/yyyy</v>
      </c>
      <c r="E6" s="77">
        <f>Master[[#This Row],[Received Date -received by site]]</f>
        <v>44466</v>
      </c>
      <c r="F6" s="17" t="str">
        <f>IF(Master[[#This Row],[Total Weight -gram (if unknown, leave blank)]]="","1",Master[[#This Row],[Total Weight -gram (if unknown, leave blank)]])</f>
        <v>1</v>
      </c>
      <c r="G6" s="17" t="str">
        <f>IF(InvActionRecd[[#This Row],[Quantity]]="1","packet","gram")</f>
        <v>packet</v>
      </c>
      <c r="H6" t="str">
        <f>IF(Master[[#This Row],[Inventory Type - Lookup Picker]]="","",Master[[#This Row],[Inventory Type - Lookup Picker]])</f>
        <v>SD</v>
      </c>
      <c r="I6" t="str">
        <f>IF(Master[[#This Row],[Cooperator (Donor) 1 -full record]]="","",Master[[#This Row],[Cooperator (Donor) 1 -full record]])</f>
        <v>Bureau of Land Management, SOS project</v>
      </c>
      <c r="J6" s="141"/>
    </row>
    <row r="7" spans="1:10" x14ac:dyDescent="0.25">
      <c r="A7" s="7"/>
      <c r="B7" t="str">
        <f>Master[[#This Row],[Inventory Prefix]]&amp;" "&amp;Master[[#This Row],[Inventory Number]]&amp;" "&amp;Master[[#This Row],[Inventory Suffix]]&amp;" "&amp;Master[[#This Row],[Inventory Type - Lookup Picker]]</f>
        <v>W6   SD</v>
      </c>
      <c r="C7" t="str">
        <f t="shared" si="0"/>
        <v>Received</v>
      </c>
      <c r="D7" t="str">
        <f t="shared" si="1"/>
        <v>mm/dd/yyyy</v>
      </c>
      <c r="E7" s="77">
        <f>Master[[#This Row],[Received Date -received by site]]</f>
        <v>44466</v>
      </c>
      <c r="F7" s="17" t="str">
        <f>IF(Master[[#This Row],[Total Weight -gram (if unknown, leave blank)]]="","1",Master[[#This Row],[Total Weight -gram (if unknown, leave blank)]])</f>
        <v>1</v>
      </c>
      <c r="G7" s="17" t="str">
        <f>IF(InvActionRecd[[#This Row],[Quantity]]="1","packet","gram")</f>
        <v>packet</v>
      </c>
      <c r="H7" t="str">
        <f>IF(Master[[#This Row],[Inventory Type - Lookup Picker]]="","",Master[[#This Row],[Inventory Type - Lookup Picker]])</f>
        <v>SD</v>
      </c>
      <c r="I7" t="str">
        <f>IF(Master[[#This Row],[Cooperator (Donor) 1 -full record]]="","",Master[[#This Row],[Cooperator (Donor) 1 -full record]])</f>
        <v>Bureau of Land Management, SOS project</v>
      </c>
      <c r="J7" s="141"/>
    </row>
    <row r="8" spans="1:10" x14ac:dyDescent="0.25">
      <c r="A8" s="7"/>
      <c r="B8" t="str">
        <f>Master[[#This Row],[Inventory Prefix]]&amp;" "&amp;Master[[#This Row],[Inventory Number]]&amp;" "&amp;Master[[#This Row],[Inventory Suffix]]&amp;" "&amp;Master[[#This Row],[Inventory Type - Lookup Picker]]</f>
        <v>W6   SD</v>
      </c>
      <c r="C8" t="str">
        <f t="shared" si="0"/>
        <v>Received</v>
      </c>
      <c r="D8" t="str">
        <f t="shared" si="1"/>
        <v>mm/dd/yyyy</v>
      </c>
      <c r="E8" s="77">
        <f>Master[[#This Row],[Received Date -received by site]]</f>
        <v>44466</v>
      </c>
      <c r="F8" s="17" t="str">
        <f>IF(Master[[#This Row],[Total Weight -gram (if unknown, leave blank)]]="","1",Master[[#This Row],[Total Weight -gram (if unknown, leave blank)]])</f>
        <v>1</v>
      </c>
      <c r="G8" s="17" t="str">
        <f>IF(InvActionRecd[[#This Row],[Quantity]]="1","packet","gram")</f>
        <v>packet</v>
      </c>
      <c r="H8" t="str">
        <f>IF(Master[[#This Row],[Inventory Type - Lookup Picker]]="","",Master[[#This Row],[Inventory Type - Lookup Picker]])</f>
        <v>SD</v>
      </c>
      <c r="I8" t="str">
        <f>IF(Master[[#This Row],[Cooperator (Donor) 1 -full record]]="","",Master[[#This Row],[Cooperator (Donor) 1 -full record]])</f>
        <v>Bureau of Land Management, SOS project</v>
      </c>
      <c r="J8" s="141"/>
    </row>
    <row r="9" spans="1:10" x14ac:dyDescent="0.25">
      <c r="A9" s="7"/>
      <c r="B9" t="str">
        <f>Master[[#This Row],[Inventory Prefix]]&amp;" "&amp;Master[[#This Row],[Inventory Number]]&amp;" "&amp;Master[[#This Row],[Inventory Suffix]]&amp;" "&amp;Master[[#This Row],[Inventory Type - Lookup Picker]]</f>
        <v>W6   SD</v>
      </c>
      <c r="C9" t="str">
        <f t="shared" si="0"/>
        <v>Received</v>
      </c>
      <c r="D9" t="str">
        <f t="shared" si="1"/>
        <v>mm/dd/yyyy</v>
      </c>
      <c r="E9" s="77">
        <f>Master[[#This Row],[Received Date -received by site]]</f>
        <v>44466</v>
      </c>
      <c r="F9" s="17" t="str">
        <f>IF(Master[[#This Row],[Total Weight -gram (if unknown, leave blank)]]="","1",Master[[#This Row],[Total Weight -gram (if unknown, leave blank)]])</f>
        <v>1</v>
      </c>
      <c r="G9" s="17" t="str">
        <f>IF(InvActionRecd[[#This Row],[Quantity]]="1","packet","gram")</f>
        <v>packet</v>
      </c>
      <c r="H9" t="str">
        <f>IF(Master[[#This Row],[Inventory Type - Lookup Picker]]="","",Master[[#This Row],[Inventory Type - Lookup Picker]])</f>
        <v>SD</v>
      </c>
      <c r="I9" t="str">
        <f>IF(Master[[#This Row],[Cooperator (Donor) 1 -full record]]="","",Master[[#This Row],[Cooperator (Donor) 1 -full record]])</f>
        <v>Bureau of Land Management, SOS project</v>
      </c>
      <c r="J9" s="141"/>
    </row>
    <row r="10" spans="1:10" x14ac:dyDescent="0.25">
      <c r="A10" s="7"/>
      <c r="B10" t="str">
        <f>Master[[#This Row],[Inventory Prefix]]&amp;" "&amp;Master[[#This Row],[Inventory Number]]&amp;" "&amp;Master[[#This Row],[Inventory Suffix]]&amp;" "&amp;Master[[#This Row],[Inventory Type - Lookup Picker]]</f>
        <v>W6   SD</v>
      </c>
      <c r="C10" t="str">
        <f t="shared" si="0"/>
        <v>Received</v>
      </c>
      <c r="D10" t="str">
        <f t="shared" si="1"/>
        <v>mm/dd/yyyy</v>
      </c>
      <c r="E10" s="77">
        <f>Master[[#This Row],[Received Date -received by site]]</f>
        <v>44466</v>
      </c>
      <c r="F10" s="17" t="str">
        <f>IF(Master[[#This Row],[Total Weight -gram (if unknown, leave blank)]]="","1",Master[[#This Row],[Total Weight -gram (if unknown, leave blank)]])</f>
        <v>1</v>
      </c>
      <c r="G10" s="17" t="str">
        <f>IF(InvActionRecd[[#This Row],[Quantity]]="1","packet","gram")</f>
        <v>packet</v>
      </c>
      <c r="H10" t="str">
        <f>IF(Master[[#This Row],[Inventory Type - Lookup Picker]]="","",Master[[#This Row],[Inventory Type - Lookup Picker]])</f>
        <v>SD</v>
      </c>
      <c r="I10" t="str">
        <f>IF(Master[[#This Row],[Cooperator (Donor) 1 -full record]]="","",Master[[#This Row],[Cooperator (Donor) 1 -full record]])</f>
        <v>Bureau of Land Management, SOS project</v>
      </c>
      <c r="J10" s="141"/>
    </row>
    <row r="11" spans="1:10" x14ac:dyDescent="0.25">
      <c r="A11" s="7"/>
      <c r="B11" t="str">
        <f>Master[[#This Row],[Inventory Prefix]]&amp;" "&amp;Master[[#This Row],[Inventory Number]]&amp;" "&amp;Master[[#This Row],[Inventory Suffix]]&amp;" "&amp;Master[[#This Row],[Inventory Type - Lookup Picker]]</f>
        <v>W6   SD</v>
      </c>
      <c r="C11" t="str">
        <f t="shared" si="0"/>
        <v>Received</v>
      </c>
      <c r="D11" t="str">
        <f t="shared" si="1"/>
        <v>mm/dd/yyyy</v>
      </c>
      <c r="E11" s="77">
        <f>Master[[#This Row],[Received Date -received by site]]</f>
        <v>44466</v>
      </c>
      <c r="F11" s="17" t="str">
        <f>IF(Master[[#This Row],[Total Weight -gram (if unknown, leave blank)]]="","1",Master[[#This Row],[Total Weight -gram (if unknown, leave blank)]])</f>
        <v>1</v>
      </c>
      <c r="G11" s="17" t="str">
        <f>IF(InvActionRecd[[#This Row],[Quantity]]="1","packet","gram")</f>
        <v>packet</v>
      </c>
      <c r="H11" t="str">
        <f>IF(Master[[#This Row],[Inventory Type - Lookup Picker]]="","",Master[[#This Row],[Inventory Type - Lookup Picker]])</f>
        <v>SD</v>
      </c>
      <c r="I11" t="str">
        <f>IF(Master[[#This Row],[Cooperator (Donor) 1 -full record]]="","",Master[[#This Row],[Cooperator (Donor) 1 -full record]])</f>
        <v>Bureau of Land Management, SOS project</v>
      </c>
      <c r="J11" s="141"/>
    </row>
    <row r="12" spans="1:10" x14ac:dyDescent="0.25">
      <c r="A12" s="7"/>
      <c r="B12" t="str">
        <f>Master[[#This Row],[Inventory Prefix]]&amp;" "&amp;Master[[#This Row],[Inventory Number]]&amp;" "&amp;Master[[#This Row],[Inventory Suffix]]&amp;" "&amp;Master[[#This Row],[Inventory Type - Lookup Picker]]</f>
        <v>W6   SD</v>
      </c>
      <c r="C12" t="str">
        <f t="shared" si="0"/>
        <v>Received</v>
      </c>
      <c r="D12" t="str">
        <f t="shared" si="1"/>
        <v>mm/dd/yyyy</v>
      </c>
      <c r="E12" s="77">
        <f>Master[[#This Row],[Received Date -received by site]]</f>
        <v>44466</v>
      </c>
      <c r="F12" s="17" t="str">
        <f>IF(Master[[#This Row],[Total Weight -gram (if unknown, leave blank)]]="","1",Master[[#This Row],[Total Weight -gram (if unknown, leave blank)]])</f>
        <v>1</v>
      </c>
      <c r="G12" s="17" t="str">
        <f>IF(InvActionRecd[[#This Row],[Quantity]]="1","packet","gram")</f>
        <v>packet</v>
      </c>
      <c r="H12" t="str">
        <f>IF(Master[[#This Row],[Inventory Type - Lookup Picker]]="","",Master[[#This Row],[Inventory Type - Lookup Picker]])</f>
        <v>SD</v>
      </c>
      <c r="I12" t="str">
        <f>IF(Master[[#This Row],[Cooperator (Donor) 1 -full record]]="","",Master[[#This Row],[Cooperator (Donor) 1 -full record]])</f>
        <v>Bureau of Land Management, SOS project</v>
      </c>
      <c r="J12" s="141"/>
    </row>
    <row r="13" spans="1:10" x14ac:dyDescent="0.25">
      <c r="A13" s="7"/>
      <c r="B13" t="str">
        <f>Master[[#This Row],[Inventory Prefix]]&amp;" "&amp;Master[[#This Row],[Inventory Number]]&amp;" "&amp;Master[[#This Row],[Inventory Suffix]]&amp;" "&amp;Master[[#This Row],[Inventory Type - Lookup Picker]]</f>
        <v>W6   SD</v>
      </c>
      <c r="C13" t="str">
        <f t="shared" si="0"/>
        <v>Received</v>
      </c>
      <c r="D13" t="str">
        <f t="shared" si="1"/>
        <v>mm/dd/yyyy</v>
      </c>
      <c r="E13" s="77">
        <f>Master[[#This Row],[Received Date -received by site]]</f>
        <v>44466</v>
      </c>
      <c r="F13" s="17" t="str">
        <f>IF(Master[[#This Row],[Total Weight -gram (if unknown, leave blank)]]="","1",Master[[#This Row],[Total Weight -gram (if unknown, leave blank)]])</f>
        <v>1</v>
      </c>
      <c r="G13" s="17" t="str">
        <f>IF(InvActionRecd[[#This Row],[Quantity]]="1","packet","gram")</f>
        <v>packet</v>
      </c>
      <c r="H13" t="str">
        <f>IF(Master[[#This Row],[Inventory Type - Lookup Picker]]="","",Master[[#This Row],[Inventory Type - Lookup Picker]])</f>
        <v>SD</v>
      </c>
      <c r="I13" t="str">
        <f>IF(Master[[#This Row],[Cooperator (Donor) 1 -full record]]="","",Master[[#This Row],[Cooperator (Donor) 1 -full record]])</f>
        <v>Bureau of Land Management, SOS project</v>
      </c>
      <c r="J13" s="141"/>
    </row>
    <row r="14" spans="1:10" x14ac:dyDescent="0.25">
      <c r="A14" s="7"/>
      <c r="B14" t="str">
        <f>Master[[#This Row],[Inventory Prefix]]&amp;" "&amp;Master[[#This Row],[Inventory Number]]&amp;" "&amp;Master[[#This Row],[Inventory Suffix]]&amp;" "&amp;Master[[#This Row],[Inventory Type - Lookup Picker]]</f>
        <v>W6   SD</v>
      </c>
      <c r="C14" t="str">
        <f t="shared" si="0"/>
        <v>Received</v>
      </c>
      <c r="D14" t="str">
        <f t="shared" si="1"/>
        <v>mm/dd/yyyy</v>
      </c>
      <c r="E14" s="77">
        <f>Master[[#This Row],[Received Date -received by site]]</f>
        <v>44466</v>
      </c>
      <c r="F14" s="17" t="str">
        <f>IF(Master[[#This Row],[Total Weight -gram (if unknown, leave blank)]]="","1",Master[[#This Row],[Total Weight -gram (if unknown, leave blank)]])</f>
        <v>1</v>
      </c>
      <c r="G14" s="17" t="str">
        <f>IF(InvActionRecd[[#This Row],[Quantity]]="1","packet","gram")</f>
        <v>packet</v>
      </c>
      <c r="H14" t="str">
        <f>IF(Master[[#This Row],[Inventory Type - Lookup Picker]]="","",Master[[#This Row],[Inventory Type - Lookup Picker]])</f>
        <v>SD</v>
      </c>
      <c r="I14" t="str">
        <f>IF(Master[[#This Row],[Cooperator (Donor) 1 -full record]]="","",Master[[#This Row],[Cooperator (Donor) 1 -full record]])</f>
        <v>Bureau of Land Management, SOS project</v>
      </c>
      <c r="J14" s="141"/>
    </row>
    <row r="15" spans="1:10" x14ac:dyDescent="0.25">
      <c r="A15" s="7"/>
      <c r="B15" t="str">
        <f>Master[[#This Row],[Inventory Prefix]]&amp;" "&amp;Master[[#This Row],[Inventory Number]]&amp;" "&amp;Master[[#This Row],[Inventory Suffix]]&amp;" "&amp;Master[[#This Row],[Inventory Type - Lookup Picker]]</f>
        <v>W6   SD</v>
      </c>
      <c r="C15" t="str">
        <f t="shared" si="0"/>
        <v>Received</v>
      </c>
      <c r="D15" t="str">
        <f t="shared" si="1"/>
        <v>mm/dd/yyyy</v>
      </c>
      <c r="E15" s="77">
        <f>Master[[#This Row],[Received Date -received by site]]</f>
        <v>44466</v>
      </c>
      <c r="F15" s="17" t="str">
        <f>IF(Master[[#This Row],[Total Weight -gram (if unknown, leave blank)]]="","1",Master[[#This Row],[Total Weight -gram (if unknown, leave blank)]])</f>
        <v>1</v>
      </c>
      <c r="G15" s="17" t="str">
        <f>IF(InvActionRecd[[#This Row],[Quantity]]="1","packet","gram")</f>
        <v>packet</v>
      </c>
      <c r="H15" t="str">
        <f>IF(Master[[#This Row],[Inventory Type - Lookup Picker]]="","",Master[[#This Row],[Inventory Type - Lookup Picker]])</f>
        <v>SD</v>
      </c>
      <c r="I15" t="str">
        <f>IF(Master[[#This Row],[Cooperator (Donor) 1 -full record]]="","",Master[[#This Row],[Cooperator (Donor) 1 -full record]])</f>
        <v>Bureau of Land Management, SOS project</v>
      </c>
      <c r="J15" s="141"/>
    </row>
    <row r="16" spans="1:10" x14ac:dyDescent="0.25">
      <c r="A16" s="7"/>
      <c r="B16" t="str">
        <f>Master[[#This Row],[Inventory Prefix]]&amp;" "&amp;Master[[#This Row],[Inventory Number]]&amp;" "&amp;Master[[#This Row],[Inventory Suffix]]&amp;" "&amp;Master[[#This Row],[Inventory Type - Lookup Picker]]</f>
        <v>W6   SD</v>
      </c>
      <c r="C16" t="str">
        <f t="shared" si="0"/>
        <v>Received</v>
      </c>
      <c r="D16" t="str">
        <f t="shared" si="1"/>
        <v>mm/dd/yyyy</v>
      </c>
      <c r="E16" s="77">
        <f>Master[[#This Row],[Received Date -received by site]]</f>
        <v>44466</v>
      </c>
      <c r="F16" s="17" t="str">
        <f>IF(Master[[#This Row],[Total Weight -gram (if unknown, leave blank)]]="","1",Master[[#This Row],[Total Weight -gram (if unknown, leave blank)]])</f>
        <v>1</v>
      </c>
      <c r="G16" s="17" t="str">
        <f>IF(InvActionRecd[[#This Row],[Quantity]]="1","packet","gram")</f>
        <v>packet</v>
      </c>
      <c r="H16" t="str">
        <f>IF(Master[[#This Row],[Inventory Type - Lookup Picker]]="","",Master[[#This Row],[Inventory Type - Lookup Picker]])</f>
        <v>SD</v>
      </c>
      <c r="I16" t="str">
        <f>IF(Master[[#This Row],[Cooperator (Donor) 1 -full record]]="","",Master[[#This Row],[Cooperator (Donor) 1 -full record]])</f>
        <v>Bureau of Land Management, SOS project</v>
      </c>
      <c r="J16" s="141"/>
    </row>
    <row r="17" spans="1:10" x14ac:dyDescent="0.25">
      <c r="A17" s="7"/>
      <c r="B17" t="str">
        <f>Master[[#This Row],[Inventory Prefix]]&amp;" "&amp;Master[[#This Row],[Inventory Number]]&amp;" "&amp;Master[[#This Row],[Inventory Suffix]]&amp;" "&amp;Master[[#This Row],[Inventory Type - Lookup Picker]]</f>
        <v>W6   SD</v>
      </c>
      <c r="C17" t="str">
        <f t="shared" si="0"/>
        <v>Received</v>
      </c>
      <c r="D17" t="str">
        <f t="shared" si="1"/>
        <v>mm/dd/yyyy</v>
      </c>
      <c r="E17" s="77">
        <f>Master[[#This Row],[Received Date -received by site]]</f>
        <v>44466</v>
      </c>
      <c r="F17" s="17" t="str">
        <f>IF(Master[[#This Row],[Total Weight -gram (if unknown, leave blank)]]="","1",Master[[#This Row],[Total Weight -gram (if unknown, leave blank)]])</f>
        <v>1</v>
      </c>
      <c r="G17" s="17" t="str">
        <f>IF(InvActionRecd[[#This Row],[Quantity]]="1","packet","gram")</f>
        <v>packet</v>
      </c>
      <c r="H17" t="str">
        <f>IF(Master[[#This Row],[Inventory Type - Lookup Picker]]="","",Master[[#This Row],[Inventory Type - Lookup Picker]])</f>
        <v>SD</v>
      </c>
      <c r="I17" t="str">
        <f>IF(Master[[#This Row],[Cooperator (Donor) 1 -full record]]="","",Master[[#This Row],[Cooperator (Donor) 1 -full record]])</f>
        <v>Bureau of Land Management, SOS project</v>
      </c>
      <c r="J17" s="141"/>
    </row>
    <row r="18" spans="1:10" x14ac:dyDescent="0.25">
      <c r="A18" s="7"/>
      <c r="B18" t="str">
        <f>Master[[#This Row],[Inventory Prefix]]&amp;" "&amp;Master[[#This Row],[Inventory Number]]&amp;" "&amp;Master[[#This Row],[Inventory Suffix]]&amp;" "&amp;Master[[#This Row],[Inventory Type - Lookup Picker]]</f>
        <v>W6   SD</v>
      </c>
      <c r="C18" t="str">
        <f t="shared" si="0"/>
        <v>Received</v>
      </c>
      <c r="D18" t="str">
        <f t="shared" si="1"/>
        <v>mm/dd/yyyy</v>
      </c>
      <c r="E18" s="77">
        <f>Master[[#This Row],[Received Date -received by site]]</f>
        <v>44466</v>
      </c>
      <c r="F18" s="17" t="str">
        <f>IF(Master[[#This Row],[Total Weight -gram (if unknown, leave blank)]]="","1",Master[[#This Row],[Total Weight -gram (if unknown, leave blank)]])</f>
        <v>1</v>
      </c>
      <c r="G18" s="17" t="str">
        <f>IF(InvActionRecd[[#This Row],[Quantity]]="1","packet","gram")</f>
        <v>packet</v>
      </c>
      <c r="H18" t="str">
        <f>IF(Master[[#This Row],[Inventory Type - Lookup Picker]]="","",Master[[#This Row],[Inventory Type - Lookup Picker]])</f>
        <v>SD</v>
      </c>
      <c r="I18" t="str">
        <f>IF(Master[[#This Row],[Cooperator (Donor) 1 -full record]]="","",Master[[#This Row],[Cooperator (Donor) 1 -full record]])</f>
        <v>Bureau of Land Management, SOS project</v>
      </c>
      <c r="J18" s="141"/>
    </row>
    <row r="19" spans="1:10" x14ac:dyDescent="0.25">
      <c r="A19" s="7"/>
      <c r="B19" t="str">
        <f>Master[[#This Row],[Inventory Prefix]]&amp;" "&amp;Master[[#This Row],[Inventory Number]]&amp;" "&amp;Master[[#This Row],[Inventory Suffix]]&amp;" "&amp;Master[[#This Row],[Inventory Type - Lookup Picker]]</f>
        <v>W6   SD</v>
      </c>
      <c r="C19" t="str">
        <f t="shared" si="0"/>
        <v>Received</v>
      </c>
      <c r="D19" t="str">
        <f t="shared" si="1"/>
        <v>mm/dd/yyyy</v>
      </c>
      <c r="E19" s="77">
        <f>Master[[#This Row],[Received Date -received by site]]</f>
        <v>44466</v>
      </c>
      <c r="F19" s="17" t="str">
        <f>IF(Master[[#This Row],[Total Weight -gram (if unknown, leave blank)]]="","1",Master[[#This Row],[Total Weight -gram (if unknown, leave blank)]])</f>
        <v>1</v>
      </c>
      <c r="G19" s="17" t="str">
        <f>IF(InvActionRecd[[#This Row],[Quantity]]="1","packet","gram")</f>
        <v>packet</v>
      </c>
      <c r="H19" t="str">
        <f>IF(Master[[#This Row],[Inventory Type - Lookup Picker]]="","",Master[[#This Row],[Inventory Type - Lookup Picker]])</f>
        <v>SD</v>
      </c>
      <c r="I19" t="str">
        <f>IF(Master[[#This Row],[Cooperator (Donor) 1 -full record]]="","",Master[[#This Row],[Cooperator (Donor) 1 -full record]])</f>
        <v>Bureau of Land Management, SOS project</v>
      </c>
      <c r="J19" s="141"/>
    </row>
    <row r="20" spans="1:10" x14ac:dyDescent="0.25">
      <c r="A20" s="7"/>
      <c r="B20" t="str">
        <f>Master[[#This Row],[Inventory Prefix]]&amp;" "&amp;Master[[#This Row],[Inventory Number]]&amp;" "&amp;Master[[#This Row],[Inventory Suffix]]&amp;" "&amp;Master[[#This Row],[Inventory Type - Lookup Picker]]</f>
        <v>W6   SD</v>
      </c>
      <c r="C20" t="str">
        <f t="shared" si="0"/>
        <v>Received</v>
      </c>
      <c r="D20" t="str">
        <f t="shared" si="1"/>
        <v>mm/dd/yyyy</v>
      </c>
      <c r="E20" s="77">
        <f>Master[[#This Row],[Received Date -received by site]]</f>
        <v>44466</v>
      </c>
      <c r="F20" s="17" t="str">
        <f>IF(Master[[#This Row],[Total Weight -gram (if unknown, leave blank)]]="","1",Master[[#This Row],[Total Weight -gram (if unknown, leave blank)]])</f>
        <v>1</v>
      </c>
      <c r="G20" s="17" t="str">
        <f>IF(InvActionRecd[[#This Row],[Quantity]]="1","packet","gram")</f>
        <v>packet</v>
      </c>
      <c r="H20" t="str">
        <f>IF(Master[[#This Row],[Inventory Type - Lookup Picker]]="","",Master[[#This Row],[Inventory Type - Lookup Picker]])</f>
        <v>SD</v>
      </c>
      <c r="I20" t="str">
        <f>IF(Master[[#This Row],[Cooperator (Donor) 1 -full record]]="","",Master[[#This Row],[Cooperator (Donor) 1 -full record]])</f>
        <v>Bureau of Land Management, SOS project</v>
      </c>
      <c r="J20" s="141"/>
    </row>
    <row r="21" spans="1:10" x14ac:dyDescent="0.25">
      <c r="A21" s="7"/>
      <c r="B21" t="str">
        <f>Master[[#This Row],[Inventory Prefix]]&amp;" "&amp;Master[[#This Row],[Inventory Number]]&amp;" "&amp;Master[[#This Row],[Inventory Suffix]]&amp;" "&amp;Master[[#This Row],[Inventory Type - Lookup Picker]]</f>
        <v>W6   SD</v>
      </c>
      <c r="C21" t="str">
        <f t="shared" si="0"/>
        <v>Received</v>
      </c>
      <c r="D21" t="str">
        <f t="shared" si="1"/>
        <v>mm/dd/yyyy</v>
      </c>
      <c r="E21" s="77">
        <f>Master[[#This Row],[Received Date -received by site]]</f>
        <v>44466</v>
      </c>
      <c r="F21" s="17" t="str">
        <f>IF(Master[[#This Row],[Total Weight -gram (if unknown, leave blank)]]="","1",Master[[#This Row],[Total Weight -gram (if unknown, leave blank)]])</f>
        <v>1</v>
      </c>
      <c r="G21" s="17" t="str">
        <f>IF(InvActionRecd[[#This Row],[Quantity]]="1","packet","gram")</f>
        <v>packet</v>
      </c>
      <c r="H21" t="str">
        <f>IF(Master[[#This Row],[Inventory Type - Lookup Picker]]="","",Master[[#This Row],[Inventory Type - Lookup Picker]])</f>
        <v>SD</v>
      </c>
      <c r="I21" t="str">
        <f>IF(Master[[#This Row],[Cooperator (Donor) 1 -full record]]="","",Master[[#This Row],[Cooperator (Donor) 1 -full record]])</f>
        <v>Bureau of Land Management, SOS project</v>
      </c>
      <c r="J21" s="141"/>
    </row>
    <row r="22" spans="1:10" x14ac:dyDescent="0.25">
      <c r="B22" s="45" t="str">
        <f>Master[[#This Row],[Inventory Prefix]]&amp;" "&amp;Master[[#This Row],[Inventory Number]]&amp;" "&amp;Master[[#This Row],[Inventory Suffix]]&amp;" "&amp;Master[[#This Row],[Inventory Type - Lookup Picker]]</f>
        <v>W6   SD</v>
      </c>
      <c r="C22" t="str">
        <f t="shared" ref="C22:C53" si="2">"Received"</f>
        <v>Received</v>
      </c>
      <c r="D22" t="str">
        <f t="shared" ref="D22:D53" si="3">"mm/dd/yyyy"</f>
        <v>mm/dd/yyyy</v>
      </c>
      <c r="E22" s="77">
        <f>Master[[#This Row],[Received Date -received by site]]</f>
        <v>44466</v>
      </c>
      <c r="F22" s="17" t="str">
        <f>IF(Master[[#This Row],[Total Weight -gram (if unknown, leave blank)]]="","1",Master[[#This Row],[Total Weight -gram (if unknown, leave blank)]])</f>
        <v>1</v>
      </c>
      <c r="G22" s="17" t="str">
        <f>IF(InvActionRecd[[#This Row],[Quantity]]="1","packet","gram")</f>
        <v>packet</v>
      </c>
      <c r="H22" t="str">
        <f>IF(Master[[#This Row],[Inventory Type - Lookup Picker]]="","",Master[[#This Row],[Inventory Type - Lookup Picker]])</f>
        <v>SD</v>
      </c>
      <c r="I22" t="str">
        <f>IF(Master[[#This Row],[Cooperator (Donor) 1 -full record]]="","",Master[[#This Row],[Cooperator (Donor) 1 -full record]])</f>
        <v>Bureau of Land Management, SOS project</v>
      </c>
      <c r="J22" s="141"/>
    </row>
    <row r="23" spans="1:10" x14ac:dyDescent="0.25">
      <c r="B23" s="45" t="str">
        <f>Master[[#This Row],[Inventory Prefix]]&amp;" "&amp;Master[[#This Row],[Inventory Number]]&amp;" "&amp;Master[[#This Row],[Inventory Suffix]]&amp;" "&amp;Master[[#This Row],[Inventory Type - Lookup Picker]]</f>
        <v>W6   SD</v>
      </c>
      <c r="C23" t="str">
        <f t="shared" si="2"/>
        <v>Received</v>
      </c>
      <c r="D23" t="str">
        <f t="shared" si="3"/>
        <v>mm/dd/yyyy</v>
      </c>
      <c r="E23" s="77">
        <f>Master[[#This Row],[Received Date -received by site]]</f>
        <v>44466</v>
      </c>
      <c r="F23" s="17" t="str">
        <f>IF(Master[[#This Row],[Total Weight -gram (if unknown, leave blank)]]="","1",Master[[#This Row],[Total Weight -gram (if unknown, leave blank)]])</f>
        <v>1</v>
      </c>
      <c r="G23" s="17" t="str">
        <f>IF(InvActionRecd[[#This Row],[Quantity]]="1","packet","gram")</f>
        <v>packet</v>
      </c>
      <c r="H23" t="str">
        <f>IF(Master[[#This Row],[Inventory Type - Lookup Picker]]="","",Master[[#This Row],[Inventory Type - Lookup Picker]])</f>
        <v>SD</v>
      </c>
      <c r="I23" t="str">
        <f>IF(Master[[#This Row],[Cooperator (Donor) 1 -full record]]="","",Master[[#This Row],[Cooperator (Donor) 1 -full record]])</f>
        <v>Bureau of Land Management, SOS project</v>
      </c>
      <c r="J23" s="141"/>
    </row>
    <row r="24" spans="1:10" x14ac:dyDescent="0.25">
      <c r="B24" s="45" t="str">
        <f>Master[[#This Row],[Inventory Prefix]]&amp;" "&amp;Master[[#This Row],[Inventory Number]]&amp;" "&amp;Master[[#This Row],[Inventory Suffix]]&amp;" "&amp;Master[[#This Row],[Inventory Type - Lookup Picker]]</f>
        <v>W6   SD</v>
      </c>
      <c r="C24" t="str">
        <f t="shared" si="2"/>
        <v>Received</v>
      </c>
      <c r="D24" t="str">
        <f t="shared" si="3"/>
        <v>mm/dd/yyyy</v>
      </c>
      <c r="E24" s="77">
        <f>Master[[#This Row],[Received Date -received by site]]</f>
        <v>44466</v>
      </c>
      <c r="F24" s="17" t="str">
        <f>IF(Master[[#This Row],[Total Weight -gram (if unknown, leave blank)]]="","1",Master[[#This Row],[Total Weight -gram (if unknown, leave blank)]])</f>
        <v>1</v>
      </c>
      <c r="G24" s="17" t="str">
        <f>IF(InvActionRecd[[#This Row],[Quantity]]="1","packet","gram")</f>
        <v>packet</v>
      </c>
      <c r="H24" t="str">
        <f>IF(Master[[#This Row],[Inventory Type - Lookup Picker]]="","",Master[[#This Row],[Inventory Type - Lookup Picker]])</f>
        <v>SD</v>
      </c>
      <c r="I24" t="str">
        <f>IF(Master[[#This Row],[Cooperator (Donor) 1 -full record]]="","",Master[[#This Row],[Cooperator (Donor) 1 -full record]])</f>
        <v>Bureau of Land Management, SOS project</v>
      </c>
      <c r="J24" s="141"/>
    </row>
    <row r="25" spans="1:10" x14ac:dyDescent="0.25">
      <c r="B25" s="45" t="str">
        <f>Master[[#This Row],[Inventory Prefix]]&amp;" "&amp;Master[[#This Row],[Inventory Number]]&amp;" "&amp;Master[[#This Row],[Inventory Suffix]]&amp;" "&amp;Master[[#This Row],[Inventory Type - Lookup Picker]]</f>
        <v>W6   SD</v>
      </c>
      <c r="C25" t="str">
        <f t="shared" si="2"/>
        <v>Received</v>
      </c>
      <c r="D25" t="str">
        <f t="shared" si="3"/>
        <v>mm/dd/yyyy</v>
      </c>
      <c r="E25" s="77">
        <f>Master[[#This Row],[Received Date -received by site]]</f>
        <v>44466</v>
      </c>
      <c r="F25" s="17" t="str">
        <f>IF(Master[[#This Row],[Total Weight -gram (if unknown, leave blank)]]="","1",Master[[#This Row],[Total Weight -gram (if unknown, leave blank)]])</f>
        <v>1</v>
      </c>
      <c r="G25" s="17" t="str">
        <f>IF(InvActionRecd[[#This Row],[Quantity]]="1","packet","gram")</f>
        <v>packet</v>
      </c>
      <c r="H25" t="str">
        <f>IF(Master[[#This Row],[Inventory Type - Lookup Picker]]="","",Master[[#This Row],[Inventory Type - Lookup Picker]])</f>
        <v>SD</v>
      </c>
      <c r="I25" t="str">
        <f>IF(Master[[#This Row],[Cooperator (Donor) 1 -full record]]="","",Master[[#This Row],[Cooperator (Donor) 1 -full record]])</f>
        <v>Bureau of Land Management, SOS project</v>
      </c>
      <c r="J25" s="141"/>
    </row>
    <row r="26" spans="1:10" x14ac:dyDescent="0.25">
      <c r="B26" s="45" t="str">
        <f>Master[[#This Row],[Inventory Prefix]]&amp;" "&amp;Master[[#This Row],[Inventory Number]]&amp;" "&amp;Master[[#This Row],[Inventory Suffix]]&amp;" "&amp;Master[[#This Row],[Inventory Type - Lookup Picker]]</f>
        <v>W6   SD</v>
      </c>
      <c r="C26" t="str">
        <f t="shared" si="2"/>
        <v>Received</v>
      </c>
      <c r="D26" t="str">
        <f t="shared" si="3"/>
        <v>mm/dd/yyyy</v>
      </c>
      <c r="E26" s="77">
        <f>Master[[#This Row],[Received Date -received by site]]</f>
        <v>44466</v>
      </c>
      <c r="F26" s="17" t="str">
        <f>IF(Master[[#This Row],[Total Weight -gram (if unknown, leave blank)]]="","1",Master[[#This Row],[Total Weight -gram (if unknown, leave blank)]])</f>
        <v>1</v>
      </c>
      <c r="G26" s="17" t="str">
        <f>IF(InvActionRecd[[#This Row],[Quantity]]="1","packet","gram")</f>
        <v>packet</v>
      </c>
      <c r="H26" t="str">
        <f>IF(Master[[#This Row],[Inventory Type - Lookup Picker]]="","",Master[[#This Row],[Inventory Type - Lookup Picker]])</f>
        <v>SD</v>
      </c>
      <c r="I26" t="str">
        <f>IF(Master[[#This Row],[Cooperator (Donor) 1 -full record]]="","",Master[[#This Row],[Cooperator (Donor) 1 -full record]])</f>
        <v>Bureau of Land Management, SOS project</v>
      </c>
      <c r="J26" s="141"/>
    </row>
    <row r="27" spans="1:10" x14ac:dyDescent="0.25">
      <c r="B27" s="45" t="str">
        <f>Master[[#This Row],[Inventory Prefix]]&amp;" "&amp;Master[[#This Row],[Inventory Number]]&amp;" "&amp;Master[[#This Row],[Inventory Suffix]]&amp;" "&amp;Master[[#This Row],[Inventory Type - Lookup Picker]]</f>
        <v>W6   SD</v>
      </c>
      <c r="C27" t="str">
        <f t="shared" si="2"/>
        <v>Received</v>
      </c>
      <c r="D27" t="str">
        <f t="shared" si="3"/>
        <v>mm/dd/yyyy</v>
      </c>
      <c r="E27" s="77">
        <f>Master[[#This Row],[Received Date -received by site]]</f>
        <v>44466</v>
      </c>
      <c r="F27" s="17" t="str">
        <f>IF(Master[[#This Row],[Total Weight -gram (if unknown, leave blank)]]="","1",Master[[#This Row],[Total Weight -gram (if unknown, leave blank)]])</f>
        <v>1</v>
      </c>
      <c r="G27" s="17" t="str">
        <f>IF(InvActionRecd[[#This Row],[Quantity]]="1","packet","gram")</f>
        <v>packet</v>
      </c>
      <c r="H27" t="str">
        <f>IF(Master[[#This Row],[Inventory Type - Lookup Picker]]="","",Master[[#This Row],[Inventory Type - Lookup Picker]])</f>
        <v>SD</v>
      </c>
      <c r="I27" t="str">
        <f>IF(Master[[#This Row],[Cooperator (Donor) 1 -full record]]="","",Master[[#This Row],[Cooperator (Donor) 1 -full record]])</f>
        <v>Bureau of Land Management, SOS project</v>
      </c>
      <c r="J27" s="141"/>
    </row>
    <row r="28" spans="1:10" x14ac:dyDescent="0.25">
      <c r="B28" s="45" t="str">
        <f>Master[[#This Row],[Inventory Prefix]]&amp;" "&amp;Master[[#This Row],[Inventory Number]]&amp;" "&amp;Master[[#This Row],[Inventory Suffix]]&amp;" "&amp;Master[[#This Row],[Inventory Type - Lookup Picker]]</f>
        <v>W6   SD</v>
      </c>
      <c r="C28" t="str">
        <f t="shared" si="2"/>
        <v>Received</v>
      </c>
      <c r="D28" t="str">
        <f t="shared" si="3"/>
        <v>mm/dd/yyyy</v>
      </c>
      <c r="E28" s="77">
        <f>Master[[#This Row],[Received Date -received by site]]</f>
        <v>44466</v>
      </c>
      <c r="F28" s="17" t="str">
        <f>IF(Master[[#This Row],[Total Weight -gram (if unknown, leave blank)]]="","1",Master[[#This Row],[Total Weight -gram (if unknown, leave blank)]])</f>
        <v>1</v>
      </c>
      <c r="G28" s="17" t="str">
        <f>IF(InvActionRecd[[#This Row],[Quantity]]="1","packet","gram")</f>
        <v>packet</v>
      </c>
      <c r="H28" t="str">
        <f>IF(Master[[#This Row],[Inventory Type - Lookup Picker]]="","",Master[[#This Row],[Inventory Type - Lookup Picker]])</f>
        <v>SD</v>
      </c>
      <c r="I28" t="str">
        <f>IF(Master[[#This Row],[Cooperator (Donor) 1 -full record]]="","",Master[[#This Row],[Cooperator (Donor) 1 -full record]])</f>
        <v>Bureau of Land Management, SOS project</v>
      </c>
      <c r="J28" s="141"/>
    </row>
    <row r="29" spans="1:10" x14ac:dyDescent="0.25">
      <c r="B29" s="45" t="str">
        <f>Master[[#This Row],[Inventory Prefix]]&amp;" "&amp;Master[[#This Row],[Inventory Number]]&amp;" "&amp;Master[[#This Row],[Inventory Suffix]]&amp;" "&amp;Master[[#This Row],[Inventory Type - Lookup Picker]]</f>
        <v>W6   SD</v>
      </c>
      <c r="C29" t="str">
        <f t="shared" si="2"/>
        <v>Received</v>
      </c>
      <c r="D29" t="str">
        <f t="shared" si="3"/>
        <v>mm/dd/yyyy</v>
      </c>
      <c r="E29" s="77">
        <f>Master[[#This Row],[Received Date -received by site]]</f>
        <v>44466</v>
      </c>
      <c r="F29" s="17" t="str">
        <f>IF(Master[[#This Row],[Total Weight -gram (if unknown, leave blank)]]="","1",Master[[#This Row],[Total Weight -gram (if unknown, leave blank)]])</f>
        <v>1</v>
      </c>
      <c r="G29" s="17" t="str">
        <f>IF(InvActionRecd[[#This Row],[Quantity]]="1","packet","gram")</f>
        <v>packet</v>
      </c>
      <c r="H29" t="str">
        <f>IF(Master[[#This Row],[Inventory Type - Lookup Picker]]="","",Master[[#This Row],[Inventory Type - Lookup Picker]])</f>
        <v>SD</v>
      </c>
      <c r="I29" t="str">
        <f>IF(Master[[#This Row],[Cooperator (Donor) 1 -full record]]="","",Master[[#This Row],[Cooperator (Donor) 1 -full record]])</f>
        <v>Bureau of Land Management, SOS project</v>
      </c>
      <c r="J29" s="141"/>
    </row>
    <row r="30" spans="1:10" x14ac:dyDescent="0.25">
      <c r="B30" s="45" t="str">
        <f>Master[[#This Row],[Inventory Prefix]]&amp;" "&amp;Master[[#This Row],[Inventory Number]]&amp;" "&amp;Master[[#This Row],[Inventory Suffix]]&amp;" "&amp;Master[[#This Row],[Inventory Type - Lookup Picker]]</f>
        <v>W6   SD</v>
      </c>
      <c r="C30" t="str">
        <f t="shared" si="2"/>
        <v>Received</v>
      </c>
      <c r="D30" t="str">
        <f t="shared" si="3"/>
        <v>mm/dd/yyyy</v>
      </c>
      <c r="E30" s="77">
        <f>Master[[#This Row],[Received Date -received by site]]</f>
        <v>44466</v>
      </c>
      <c r="F30" s="17" t="str">
        <f>IF(Master[[#This Row],[Total Weight -gram (if unknown, leave blank)]]="","1",Master[[#This Row],[Total Weight -gram (if unknown, leave blank)]])</f>
        <v>1</v>
      </c>
      <c r="G30" s="17" t="str">
        <f>IF(InvActionRecd[[#This Row],[Quantity]]="1","packet","gram")</f>
        <v>packet</v>
      </c>
      <c r="H30" t="str">
        <f>IF(Master[[#This Row],[Inventory Type - Lookup Picker]]="","",Master[[#This Row],[Inventory Type - Lookup Picker]])</f>
        <v>SD</v>
      </c>
      <c r="I30" t="str">
        <f>IF(Master[[#This Row],[Cooperator (Donor) 1 -full record]]="","",Master[[#This Row],[Cooperator (Donor) 1 -full record]])</f>
        <v>Bureau of Land Management, SOS project</v>
      </c>
      <c r="J30" s="141"/>
    </row>
    <row r="31" spans="1:10" x14ac:dyDescent="0.25">
      <c r="B31" s="45" t="str">
        <f>Master[[#This Row],[Inventory Prefix]]&amp;" "&amp;Master[[#This Row],[Inventory Number]]&amp;" "&amp;Master[[#This Row],[Inventory Suffix]]&amp;" "&amp;Master[[#This Row],[Inventory Type - Lookup Picker]]</f>
        <v>W6   SD</v>
      </c>
      <c r="C31" t="str">
        <f t="shared" si="2"/>
        <v>Received</v>
      </c>
      <c r="D31" t="str">
        <f t="shared" si="3"/>
        <v>mm/dd/yyyy</v>
      </c>
      <c r="E31" s="77">
        <f>Master[[#This Row],[Received Date -received by site]]</f>
        <v>44466</v>
      </c>
      <c r="F31" s="17" t="str">
        <f>IF(Master[[#This Row],[Total Weight -gram (if unknown, leave blank)]]="","1",Master[[#This Row],[Total Weight -gram (if unknown, leave blank)]])</f>
        <v>1</v>
      </c>
      <c r="G31" s="17" t="str">
        <f>IF(InvActionRecd[[#This Row],[Quantity]]="1","packet","gram")</f>
        <v>packet</v>
      </c>
      <c r="H31" t="str">
        <f>IF(Master[[#This Row],[Inventory Type - Lookup Picker]]="","",Master[[#This Row],[Inventory Type - Lookup Picker]])</f>
        <v>SD</v>
      </c>
      <c r="I31" t="str">
        <f>IF(Master[[#This Row],[Cooperator (Donor) 1 -full record]]="","",Master[[#This Row],[Cooperator (Donor) 1 -full record]])</f>
        <v>Bureau of Land Management, SOS project</v>
      </c>
      <c r="J31" s="141"/>
    </row>
    <row r="32" spans="1:10" x14ac:dyDescent="0.25">
      <c r="B32" s="45" t="str">
        <f>Master[[#This Row],[Inventory Prefix]]&amp;" "&amp;Master[[#This Row],[Inventory Number]]&amp;" "&amp;Master[[#This Row],[Inventory Suffix]]&amp;" "&amp;Master[[#This Row],[Inventory Type - Lookup Picker]]</f>
        <v>W6   SD</v>
      </c>
      <c r="C32" t="str">
        <f t="shared" si="2"/>
        <v>Received</v>
      </c>
      <c r="D32" t="str">
        <f t="shared" si="3"/>
        <v>mm/dd/yyyy</v>
      </c>
      <c r="E32" s="77">
        <f>Master[[#This Row],[Received Date -received by site]]</f>
        <v>44466</v>
      </c>
      <c r="F32" s="17" t="str">
        <f>IF(Master[[#This Row],[Total Weight -gram (if unknown, leave blank)]]="","1",Master[[#This Row],[Total Weight -gram (if unknown, leave blank)]])</f>
        <v>1</v>
      </c>
      <c r="G32" s="17" t="str">
        <f>IF(InvActionRecd[[#This Row],[Quantity]]="1","packet","gram")</f>
        <v>packet</v>
      </c>
      <c r="H32" t="str">
        <f>IF(Master[[#This Row],[Inventory Type - Lookup Picker]]="","",Master[[#This Row],[Inventory Type - Lookup Picker]])</f>
        <v>SD</v>
      </c>
      <c r="I32" t="str">
        <f>IF(Master[[#This Row],[Cooperator (Donor) 1 -full record]]="","",Master[[#This Row],[Cooperator (Donor) 1 -full record]])</f>
        <v>Bureau of Land Management, SOS project</v>
      </c>
      <c r="J32" s="141"/>
    </row>
    <row r="33" spans="2:10" x14ac:dyDescent="0.25">
      <c r="B33" s="45" t="str">
        <f>Master[[#This Row],[Inventory Prefix]]&amp;" "&amp;Master[[#This Row],[Inventory Number]]&amp;" "&amp;Master[[#This Row],[Inventory Suffix]]&amp;" "&amp;Master[[#This Row],[Inventory Type - Lookup Picker]]</f>
        <v>W6   SD</v>
      </c>
      <c r="C33" t="str">
        <f t="shared" si="2"/>
        <v>Received</v>
      </c>
      <c r="D33" t="str">
        <f t="shared" si="3"/>
        <v>mm/dd/yyyy</v>
      </c>
      <c r="E33" s="77">
        <f>Master[[#This Row],[Received Date -received by site]]</f>
        <v>44466</v>
      </c>
      <c r="F33" s="17" t="str">
        <f>IF(Master[[#This Row],[Total Weight -gram (if unknown, leave blank)]]="","1",Master[[#This Row],[Total Weight -gram (if unknown, leave blank)]])</f>
        <v>1</v>
      </c>
      <c r="G33" s="17" t="str">
        <f>IF(InvActionRecd[[#This Row],[Quantity]]="1","packet","gram")</f>
        <v>packet</v>
      </c>
      <c r="H33" t="str">
        <f>IF(Master[[#This Row],[Inventory Type - Lookup Picker]]="","",Master[[#This Row],[Inventory Type - Lookup Picker]])</f>
        <v>SD</v>
      </c>
      <c r="I33" t="str">
        <f>IF(Master[[#This Row],[Cooperator (Donor) 1 -full record]]="","",Master[[#This Row],[Cooperator (Donor) 1 -full record]])</f>
        <v>Bureau of Land Management, SOS project</v>
      </c>
      <c r="J33" s="141"/>
    </row>
    <row r="34" spans="2:10" x14ac:dyDescent="0.25">
      <c r="B34" s="45" t="str">
        <f>Master[[#This Row],[Inventory Prefix]]&amp;" "&amp;Master[[#This Row],[Inventory Number]]&amp;" "&amp;Master[[#This Row],[Inventory Suffix]]&amp;" "&amp;Master[[#This Row],[Inventory Type - Lookup Picker]]</f>
        <v>W6   SD</v>
      </c>
      <c r="C34" t="str">
        <f t="shared" si="2"/>
        <v>Received</v>
      </c>
      <c r="D34" t="str">
        <f t="shared" si="3"/>
        <v>mm/dd/yyyy</v>
      </c>
      <c r="E34" s="77">
        <f>Master[[#This Row],[Received Date -received by site]]</f>
        <v>44466</v>
      </c>
      <c r="F34" s="17" t="str">
        <f>IF(Master[[#This Row],[Total Weight -gram (if unknown, leave blank)]]="","1",Master[[#This Row],[Total Weight -gram (if unknown, leave blank)]])</f>
        <v>1</v>
      </c>
      <c r="G34" s="17" t="str">
        <f>IF(InvActionRecd[[#This Row],[Quantity]]="1","packet","gram")</f>
        <v>packet</v>
      </c>
      <c r="H34" t="str">
        <f>IF(Master[[#This Row],[Inventory Type - Lookup Picker]]="","",Master[[#This Row],[Inventory Type - Lookup Picker]])</f>
        <v>SD</v>
      </c>
      <c r="I34" t="str">
        <f>IF(Master[[#This Row],[Cooperator (Donor) 1 -full record]]="","",Master[[#This Row],[Cooperator (Donor) 1 -full record]])</f>
        <v>Bureau of Land Management, SOS project</v>
      </c>
      <c r="J34" s="141"/>
    </row>
    <row r="35" spans="2:10" x14ac:dyDescent="0.25">
      <c r="B35" s="45" t="str">
        <f>Master[[#This Row],[Inventory Prefix]]&amp;" "&amp;Master[[#This Row],[Inventory Number]]&amp;" "&amp;Master[[#This Row],[Inventory Suffix]]&amp;" "&amp;Master[[#This Row],[Inventory Type - Lookup Picker]]</f>
        <v>W6   SD</v>
      </c>
      <c r="C35" t="str">
        <f t="shared" si="2"/>
        <v>Received</v>
      </c>
      <c r="D35" t="str">
        <f t="shared" si="3"/>
        <v>mm/dd/yyyy</v>
      </c>
      <c r="E35" s="77">
        <f>Master[[#This Row],[Received Date -received by site]]</f>
        <v>44466</v>
      </c>
      <c r="F35" s="17" t="str">
        <f>IF(Master[[#This Row],[Total Weight -gram (if unknown, leave blank)]]="","1",Master[[#This Row],[Total Weight -gram (if unknown, leave blank)]])</f>
        <v>1</v>
      </c>
      <c r="G35" s="17" t="str">
        <f>IF(InvActionRecd[[#This Row],[Quantity]]="1","packet","gram")</f>
        <v>packet</v>
      </c>
      <c r="H35" t="str">
        <f>IF(Master[[#This Row],[Inventory Type - Lookup Picker]]="","",Master[[#This Row],[Inventory Type - Lookup Picker]])</f>
        <v>SD</v>
      </c>
      <c r="I35" t="str">
        <f>IF(Master[[#This Row],[Cooperator (Donor) 1 -full record]]="","",Master[[#This Row],[Cooperator (Donor) 1 -full record]])</f>
        <v>Bureau of Land Management, SOS project</v>
      </c>
      <c r="J35" s="141"/>
    </row>
    <row r="36" spans="2:10" x14ac:dyDescent="0.25">
      <c r="B36" s="45" t="str">
        <f>Master[[#This Row],[Inventory Prefix]]&amp;" "&amp;Master[[#This Row],[Inventory Number]]&amp;" "&amp;Master[[#This Row],[Inventory Suffix]]&amp;" "&amp;Master[[#This Row],[Inventory Type - Lookup Picker]]</f>
        <v>W6   SD</v>
      </c>
      <c r="C36" t="str">
        <f t="shared" si="2"/>
        <v>Received</v>
      </c>
      <c r="D36" t="str">
        <f t="shared" si="3"/>
        <v>mm/dd/yyyy</v>
      </c>
      <c r="E36" s="77">
        <f>Master[[#This Row],[Received Date -received by site]]</f>
        <v>44466</v>
      </c>
      <c r="F36" s="17" t="str">
        <f>IF(Master[[#This Row],[Total Weight -gram (if unknown, leave blank)]]="","1",Master[[#This Row],[Total Weight -gram (if unknown, leave blank)]])</f>
        <v>1</v>
      </c>
      <c r="G36" s="17" t="str">
        <f>IF(InvActionRecd[[#This Row],[Quantity]]="1","packet","gram")</f>
        <v>packet</v>
      </c>
      <c r="H36" t="str">
        <f>IF(Master[[#This Row],[Inventory Type - Lookup Picker]]="","",Master[[#This Row],[Inventory Type - Lookup Picker]])</f>
        <v>SD</v>
      </c>
      <c r="I36" t="str">
        <f>IF(Master[[#This Row],[Cooperator (Donor) 1 -full record]]="","",Master[[#This Row],[Cooperator (Donor) 1 -full record]])</f>
        <v>Bureau of Land Management, SOS project</v>
      </c>
      <c r="J36" s="141"/>
    </row>
    <row r="37" spans="2:10" x14ac:dyDescent="0.25">
      <c r="B37" s="45" t="str">
        <f>Master[[#This Row],[Inventory Prefix]]&amp;" "&amp;Master[[#This Row],[Inventory Number]]&amp;" "&amp;Master[[#This Row],[Inventory Suffix]]&amp;" "&amp;Master[[#This Row],[Inventory Type - Lookup Picker]]</f>
        <v>W6   SD</v>
      </c>
      <c r="C37" t="str">
        <f t="shared" si="2"/>
        <v>Received</v>
      </c>
      <c r="D37" t="str">
        <f t="shared" si="3"/>
        <v>mm/dd/yyyy</v>
      </c>
      <c r="E37" s="77">
        <f>Master[[#This Row],[Received Date -received by site]]</f>
        <v>44466</v>
      </c>
      <c r="F37" s="17" t="str">
        <f>IF(Master[[#This Row],[Total Weight -gram (if unknown, leave blank)]]="","1",Master[[#This Row],[Total Weight -gram (if unknown, leave blank)]])</f>
        <v>1</v>
      </c>
      <c r="G37" s="17" t="str">
        <f>IF(InvActionRecd[[#This Row],[Quantity]]="1","packet","gram")</f>
        <v>packet</v>
      </c>
      <c r="H37" t="str">
        <f>IF(Master[[#This Row],[Inventory Type - Lookup Picker]]="","",Master[[#This Row],[Inventory Type - Lookup Picker]])</f>
        <v>SD</v>
      </c>
      <c r="I37" t="str">
        <f>IF(Master[[#This Row],[Cooperator (Donor) 1 -full record]]="","",Master[[#This Row],[Cooperator (Donor) 1 -full record]])</f>
        <v>Bureau of Land Management, SOS project</v>
      </c>
      <c r="J37" s="141"/>
    </row>
    <row r="38" spans="2:10" x14ac:dyDescent="0.25">
      <c r="B38" s="45" t="str">
        <f>Master[[#This Row],[Inventory Prefix]]&amp;" "&amp;Master[[#This Row],[Inventory Number]]&amp;" "&amp;Master[[#This Row],[Inventory Suffix]]&amp;" "&amp;Master[[#This Row],[Inventory Type - Lookup Picker]]</f>
        <v>W6   SD</v>
      </c>
      <c r="C38" t="str">
        <f t="shared" si="2"/>
        <v>Received</v>
      </c>
      <c r="D38" t="str">
        <f t="shared" si="3"/>
        <v>mm/dd/yyyy</v>
      </c>
      <c r="E38" s="77">
        <f>Master[[#This Row],[Received Date -received by site]]</f>
        <v>44466</v>
      </c>
      <c r="F38" s="17" t="str">
        <f>IF(Master[[#This Row],[Total Weight -gram (if unknown, leave blank)]]="","1",Master[[#This Row],[Total Weight -gram (if unknown, leave blank)]])</f>
        <v>1</v>
      </c>
      <c r="G38" s="17" t="str">
        <f>IF(InvActionRecd[[#This Row],[Quantity]]="1","packet","gram")</f>
        <v>packet</v>
      </c>
      <c r="H38" t="str">
        <f>IF(Master[[#This Row],[Inventory Type - Lookup Picker]]="","",Master[[#This Row],[Inventory Type - Lookup Picker]])</f>
        <v>SD</v>
      </c>
      <c r="I38" t="str">
        <f>IF(Master[[#This Row],[Cooperator (Donor) 1 -full record]]="","",Master[[#This Row],[Cooperator (Donor) 1 -full record]])</f>
        <v>Bureau of Land Management, SOS project</v>
      </c>
      <c r="J38" s="141"/>
    </row>
    <row r="39" spans="2:10" x14ac:dyDescent="0.25">
      <c r="B39" s="45" t="str">
        <f>Master[[#This Row],[Inventory Prefix]]&amp;" "&amp;Master[[#This Row],[Inventory Number]]&amp;" "&amp;Master[[#This Row],[Inventory Suffix]]&amp;" "&amp;Master[[#This Row],[Inventory Type - Lookup Picker]]</f>
        <v>W6   SD</v>
      </c>
      <c r="C39" t="str">
        <f t="shared" si="2"/>
        <v>Received</v>
      </c>
      <c r="D39" t="str">
        <f t="shared" si="3"/>
        <v>mm/dd/yyyy</v>
      </c>
      <c r="E39" s="77">
        <f>Master[[#This Row],[Received Date -received by site]]</f>
        <v>44466</v>
      </c>
      <c r="F39" s="17" t="str">
        <f>IF(Master[[#This Row],[Total Weight -gram (if unknown, leave blank)]]="","1",Master[[#This Row],[Total Weight -gram (if unknown, leave blank)]])</f>
        <v>1</v>
      </c>
      <c r="G39" s="17" t="str">
        <f>IF(InvActionRecd[[#This Row],[Quantity]]="1","packet","gram")</f>
        <v>packet</v>
      </c>
      <c r="H39" t="str">
        <f>IF(Master[[#This Row],[Inventory Type - Lookup Picker]]="","",Master[[#This Row],[Inventory Type - Lookup Picker]])</f>
        <v>SD</v>
      </c>
      <c r="I39" t="str">
        <f>IF(Master[[#This Row],[Cooperator (Donor) 1 -full record]]="","",Master[[#This Row],[Cooperator (Donor) 1 -full record]])</f>
        <v>Bureau of Land Management, SOS project</v>
      </c>
      <c r="J39" s="141"/>
    </row>
    <row r="40" spans="2:10" x14ac:dyDescent="0.25">
      <c r="B40" s="45" t="str">
        <f>Master[[#This Row],[Inventory Prefix]]&amp;" "&amp;Master[[#This Row],[Inventory Number]]&amp;" "&amp;Master[[#This Row],[Inventory Suffix]]&amp;" "&amp;Master[[#This Row],[Inventory Type - Lookup Picker]]</f>
        <v>W6   SD</v>
      </c>
      <c r="C40" t="str">
        <f t="shared" si="2"/>
        <v>Received</v>
      </c>
      <c r="D40" t="str">
        <f t="shared" si="3"/>
        <v>mm/dd/yyyy</v>
      </c>
      <c r="E40" s="77">
        <f>Master[[#This Row],[Received Date -received by site]]</f>
        <v>44466</v>
      </c>
      <c r="F40" s="17" t="str">
        <f>IF(Master[[#This Row],[Total Weight -gram (if unknown, leave blank)]]="","1",Master[[#This Row],[Total Weight -gram (if unknown, leave blank)]])</f>
        <v>1</v>
      </c>
      <c r="G40" s="17" t="str">
        <f>IF(InvActionRecd[[#This Row],[Quantity]]="1","packet","gram")</f>
        <v>packet</v>
      </c>
      <c r="H40" t="str">
        <f>IF(Master[[#This Row],[Inventory Type - Lookup Picker]]="","",Master[[#This Row],[Inventory Type - Lookup Picker]])</f>
        <v>SD</v>
      </c>
      <c r="I40" t="str">
        <f>IF(Master[[#This Row],[Cooperator (Donor) 1 -full record]]="","",Master[[#This Row],[Cooperator (Donor) 1 -full record]])</f>
        <v>Bureau of Land Management, SOS project</v>
      </c>
      <c r="J40" s="141"/>
    </row>
    <row r="41" spans="2:10" x14ac:dyDescent="0.25">
      <c r="B41" s="45" t="str">
        <f>Master[[#This Row],[Inventory Prefix]]&amp;" "&amp;Master[[#This Row],[Inventory Number]]&amp;" "&amp;Master[[#This Row],[Inventory Suffix]]&amp;" "&amp;Master[[#This Row],[Inventory Type - Lookup Picker]]</f>
        <v>W6   SD</v>
      </c>
      <c r="C41" t="str">
        <f t="shared" si="2"/>
        <v>Received</v>
      </c>
      <c r="D41" t="str">
        <f t="shared" si="3"/>
        <v>mm/dd/yyyy</v>
      </c>
      <c r="E41" s="77">
        <f>Master[[#This Row],[Received Date -received by site]]</f>
        <v>44466</v>
      </c>
      <c r="F41" s="17" t="str">
        <f>IF(Master[[#This Row],[Total Weight -gram (if unknown, leave blank)]]="","1",Master[[#This Row],[Total Weight -gram (if unknown, leave blank)]])</f>
        <v>1</v>
      </c>
      <c r="G41" s="17" t="str">
        <f>IF(InvActionRecd[[#This Row],[Quantity]]="1","packet","gram")</f>
        <v>packet</v>
      </c>
      <c r="H41" t="str">
        <f>IF(Master[[#This Row],[Inventory Type - Lookup Picker]]="","",Master[[#This Row],[Inventory Type - Lookup Picker]])</f>
        <v>SD</v>
      </c>
      <c r="I41" t="str">
        <f>IF(Master[[#This Row],[Cooperator (Donor) 1 -full record]]="","",Master[[#This Row],[Cooperator (Donor) 1 -full record]])</f>
        <v>Bureau of Land Management, SOS project</v>
      </c>
      <c r="J41" s="141"/>
    </row>
    <row r="42" spans="2:10" x14ac:dyDescent="0.25">
      <c r="B42" s="45" t="str">
        <f>Master[[#This Row],[Inventory Prefix]]&amp;" "&amp;Master[[#This Row],[Inventory Number]]&amp;" "&amp;Master[[#This Row],[Inventory Suffix]]&amp;" "&amp;Master[[#This Row],[Inventory Type - Lookup Picker]]</f>
        <v>W6   SD</v>
      </c>
      <c r="C42" t="str">
        <f t="shared" si="2"/>
        <v>Received</v>
      </c>
      <c r="D42" t="str">
        <f t="shared" si="3"/>
        <v>mm/dd/yyyy</v>
      </c>
      <c r="E42" s="77">
        <f>Master[[#This Row],[Received Date -received by site]]</f>
        <v>44466</v>
      </c>
      <c r="F42" s="17" t="str">
        <f>IF(Master[[#This Row],[Total Weight -gram (if unknown, leave blank)]]="","1",Master[[#This Row],[Total Weight -gram (if unknown, leave blank)]])</f>
        <v>1</v>
      </c>
      <c r="G42" s="17" t="str">
        <f>IF(InvActionRecd[[#This Row],[Quantity]]="1","packet","gram")</f>
        <v>packet</v>
      </c>
      <c r="H42" t="str">
        <f>IF(Master[[#This Row],[Inventory Type - Lookup Picker]]="","",Master[[#This Row],[Inventory Type - Lookup Picker]])</f>
        <v>SD</v>
      </c>
      <c r="I42" t="str">
        <f>IF(Master[[#This Row],[Cooperator (Donor) 1 -full record]]="","",Master[[#This Row],[Cooperator (Donor) 1 -full record]])</f>
        <v>Bureau of Land Management, SOS project</v>
      </c>
      <c r="J42" s="141"/>
    </row>
    <row r="43" spans="2:10" x14ac:dyDescent="0.25">
      <c r="B43" s="45" t="str">
        <f>Master[[#This Row],[Inventory Prefix]]&amp;" "&amp;Master[[#This Row],[Inventory Number]]&amp;" "&amp;Master[[#This Row],[Inventory Suffix]]&amp;" "&amp;Master[[#This Row],[Inventory Type - Lookup Picker]]</f>
        <v>W6   SD</v>
      </c>
      <c r="C43" t="str">
        <f t="shared" si="2"/>
        <v>Received</v>
      </c>
      <c r="D43" t="str">
        <f t="shared" si="3"/>
        <v>mm/dd/yyyy</v>
      </c>
      <c r="E43" s="77">
        <f>Master[[#This Row],[Received Date -received by site]]</f>
        <v>44466</v>
      </c>
      <c r="F43" s="17" t="str">
        <f>IF(Master[[#This Row],[Total Weight -gram (if unknown, leave blank)]]="","1",Master[[#This Row],[Total Weight -gram (if unknown, leave blank)]])</f>
        <v>1</v>
      </c>
      <c r="G43" s="17" t="str">
        <f>IF(InvActionRecd[[#This Row],[Quantity]]="1","packet","gram")</f>
        <v>packet</v>
      </c>
      <c r="H43" t="str">
        <f>IF(Master[[#This Row],[Inventory Type - Lookup Picker]]="","",Master[[#This Row],[Inventory Type - Lookup Picker]])</f>
        <v>SD</v>
      </c>
      <c r="I43" t="str">
        <f>IF(Master[[#This Row],[Cooperator (Donor) 1 -full record]]="","",Master[[#This Row],[Cooperator (Donor) 1 -full record]])</f>
        <v>Bureau of Land Management, SOS project</v>
      </c>
      <c r="J43" s="141"/>
    </row>
    <row r="44" spans="2:10" x14ac:dyDescent="0.25">
      <c r="B44" s="45" t="str">
        <f>Master[[#This Row],[Inventory Prefix]]&amp;" "&amp;Master[[#This Row],[Inventory Number]]&amp;" "&amp;Master[[#This Row],[Inventory Suffix]]&amp;" "&amp;Master[[#This Row],[Inventory Type - Lookup Picker]]</f>
        <v>W6   SD</v>
      </c>
      <c r="C44" t="str">
        <f t="shared" si="2"/>
        <v>Received</v>
      </c>
      <c r="D44" t="str">
        <f t="shared" si="3"/>
        <v>mm/dd/yyyy</v>
      </c>
      <c r="E44" s="77">
        <f>Master[[#This Row],[Received Date -received by site]]</f>
        <v>44466</v>
      </c>
      <c r="F44" s="17" t="str">
        <f>IF(Master[[#This Row],[Total Weight -gram (if unknown, leave blank)]]="","1",Master[[#This Row],[Total Weight -gram (if unknown, leave blank)]])</f>
        <v>1</v>
      </c>
      <c r="G44" s="17" t="str">
        <f>IF(InvActionRecd[[#This Row],[Quantity]]="1","packet","gram")</f>
        <v>packet</v>
      </c>
      <c r="H44" t="str">
        <f>IF(Master[[#This Row],[Inventory Type - Lookup Picker]]="","",Master[[#This Row],[Inventory Type - Lookup Picker]])</f>
        <v>SD</v>
      </c>
      <c r="I44" t="str">
        <f>IF(Master[[#This Row],[Cooperator (Donor) 1 -full record]]="","",Master[[#This Row],[Cooperator (Donor) 1 -full record]])</f>
        <v>Bureau of Land Management, SOS project</v>
      </c>
      <c r="J44" s="141"/>
    </row>
    <row r="45" spans="2:10" x14ac:dyDescent="0.25">
      <c r="B45" s="45" t="str">
        <f>Master[[#This Row],[Inventory Prefix]]&amp;" "&amp;Master[[#This Row],[Inventory Number]]&amp;" "&amp;Master[[#This Row],[Inventory Suffix]]&amp;" "&amp;Master[[#This Row],[Inventory Type - Lookup Picker]]</f>
        <v>W6   SD</v>
      </c>
      <c r="C45" t="str">
        <f t="shared" si="2"/>
        <v>Received</v>
      </c>
      <c r="D45" t="str">
        <f t="shared" si="3"/>
        <v>mm/dd/yyyy</v>
      </c>
      <c r="E45" s="77">
        <f>Master[[#This Row],[Received Date -received by site]]</f>
        <v>44466</v>
      </c>
      <c r="F45" s="17" t="str">
        <f>IF(Master[[#This Row],[Total Weight -gram (if unknown, leave blank)]]="","1",Master[[#This Row],[Total Weight -gram (if unknown, leave blank)]])</f>
        <v>1</v>
      </c>
      <c r="G45" s="17" t="str">
        <f>IF(InvActionRecd[[#This Row],[Quantity]]="1","packet","gram")</f>
        <v>packet</v>
      </c>
      <c r="H45" t="str">
        <f>IF(Master[[#This Row],[Inventory Type - Lookup Picker]]="","",Master[[#This Row],[Inventory Type - Lookup Picker]])</f>
        <v>SD</v>
      </c>
      <c r="I45" t="str">
        <f>IF(Master[[#This Row],[Cooperator (Donor) 1 -full record]]="","",Master[[#This Row],[Cooperator (Donor) 1 -full record]])</f>
        <v>Bureau of Land Management, SOS project</v>
      </c>
      <c r="J45" s="141"/>
    </row>
    <row r="46" spans="2:10" x14ac:dyDescent="0.25">
      <c r="B46" s="45" t="str">
        <f>Master[[#This Row],[Inventory Prefix]]&amp;" "&amp;Master[[#This Row],[Inventory Number]]&amp;" "&amp;Master[[#This Row],[Inventory Suffix]]&amp;" "&amp;Master[[#This Row],[Inventory Type - Lookup Picker]]</f>
        <v>W6   SD</v>
      </c>
      <c r="C46" t="str">
        <f t="shared" si="2"/>
        <v>Received</v>
      </c>
      <c r="D46" t="str">
        <f t="shared" si="3"/>
        <v>mm/dd/yyyy</v>
      </c>
      <c r="E46" s="77">
        <f>Master[[#This Row],[Received Date -received by site]]</f>
        <v>44466</v>
      </c>
      <c r="F46" s="17" t="str">
        <f>IF(Master[[#This Row],[Total Weight -gram (if unknown, leave blank)]]="","1",Master[[#This Row],[Total Weight -gram (if unknown, leave blank)]])</f>
        <v>1</v>
      </c>
      <c r="G46" s="17" t="str">
        <f>IF(InvActionRecd[[#This Row],[Quantity]]="1","packet","gram")</f>
        <v>packet</v>
      </c>
      <c r="H46" t="str">
        <f>IF(Master[[#This Row],[Inventory Type - Lookup Picker]]="","",Master[[#This Row],[Inventory Type - Lookup Picker]])</f>
        <v>SD</v>
      </c>
      <c r="I46" t="str">
        <f>IF(Master[[#This Row],[Cooperator (Donor) 1 -full record]]="","",Master[[#This Row],[Cooperator (Donor) 1 -full record]])</f>
        <v>Bureau of Land Management, SOS project</v>
      </c>
      <c r="J46" s="141"/>
    </row>
    <row r="47" spans="2:10" x14ac:dyDescent="0.25">
      <c r="B47" s="45" t="str">
        <f>Master[[#This Row],[Inventory Prefix]]&amp;" "&amp;Master[[#This Row],[Inventory Number]]&amp;" "&amp;Master[[#This Row],[Inventory Suffix]]&amp;" "&amp;Master[[#This Row],[Inventory Type - Lookup Picker]]</f>
        <v>W6   SD</v>
      </c>
      <c r="C47" t="str">
        <f t="shared" si="2"/>
        <v>Received</v>
      </c>
      <c r="D47" t="str">
        <f t="shared" si="3"/>
        <v>mm/dd/yyyy</v>
      </c>
      <c r="E47" s="77">
        <f>Master[[#This Row],[Received Date -received by site]]</f>
        <v>44466</v>
      </c>
      <c r="F47" s="17" t="str">
        <f>IF(Master[[#This Row],[Total Weight -gram (if unknown, leave blank)]]="","1",Master[[#This Row],[Total Weight -gram (if unknown, leave blank)]])</f>
        <v>1</v>
      </c>
      <c r="G47" s="17" t="str">
        <f>IF(InvActionRecd[[#This Row],[Quantity]]="1","packet","gram")</f>
        <v>packet</v>
      </c>
      <c r="H47" t="str">
        <f>IF(Master[[#This Row],[Inventory Type - Lookup Picker]]="","",Master[[#This Row],[Inventory Type - Lookup Picker]])</f>
        <v>SD</v>
      </c>
      <c r="I47" t="str">
        <f>IF(Master[[#This Row],[Cooperator (Donor) 1 -full record]]="","",Master[[#This Row],[Cooperator (Donor) 1 -full record]])</f>
        <v>Bureau of Land Management, SOS project</v>
      </c>
      <c r="J47" s="141"/>
    </row>
    <row r="48" spans="2:10" x14ac:dyDescent="0.25">
      <c r="B48" s="45" t="str">
        <f>Master[[#This Row],[Inventory Prefix]]&amp;" "&amp;Master[[#This Row],[Inventory Number]]&amp;" "&amp;Master[[#This Row],[Inventory Suffix]]&amp;" "&amp;Master[[#This Row],[Inventory Type - Lookup Picker]]</f>
        <v>W6   SD</v>
      </c>
      <c r="C48" t="str">
        <f t="shared" si="2"/>
        <v>Received</v>
      </c>
      <c r="D48" t="str">
        <f t="shared" si="3"/>
        <v>mm/dd/yyyy</v>
      </c>
      <c r="E48" s="77">
        <f>Master[[#This Row],[Received Date -received by site]]</f>
        <v>44466</v>
      </c>
      <c r="F48" s="17" t="str">
        <f>IF(Master[[#This Row],[Total Weight -gram (if unknown, leave blank)]]="","1",Master[[#This Row],[Total Weight -gram (if unknown, leave blank)]])</f>
        <v>1</v>
      </c>
      <c r="G48" s="17" t="str">
        <f>IF(InvActionRecd[[#This Row],[Quantity]]="1","packet","gram")</f>
        <v>packet</v>
      </c>
      <c r="H48" t="str">
        <f>IF(Master[[#This Row],[Inventory Type - Lookup Picker]]="","",Master[[#This Row],[Inventory Type - Lookup Picker]])</f>
        <v>SD</v>
      </c>
      <c r="I48" t="str">
        <f>IF(Master[[#This Row],[Cooperator (Donor) 1 -full record]]="","",Master[[#This Row],[Cooperator (Donor) 1 -full record]])</f>
        <v>Bureau of Land Management, SOS project</v>
      </c>
      <c r="J48" s="141"/>
    </row>
    <row r="49" spans="2:10" x14ac:dyDescent="0.25">
      <c r="B49" s="45" t="str">
        <f>Master[[#This Row],[Inventory Prefix]]&amp;" "&amp;Master[[#This Row],[Inventory Number]]&amp;" "&amp;Master[[#This Row],[Inventory Suffix]]&amp;" "&amp;Master[[#This Row],[Inventory Type - Lookup Picker]]</f>
        <v>W6   SD</v>
      </c>
      <c r="C49" t="str">
        <f t="shared" si="2"/>
        <v>Received</v>
      </c>
      <c r="D49" t="str">
        <f t="shared" si="3"/>
        <v>mm/dd/yyyy</v>
      </c>
      <c r="E49" s="77">
        <f>Master[[#This Row],[Received Date -received by site]]</f>
        <v>44466</v>
      </c>
      <c r="F49" s="17" t="str">
        <f>IF(Master[[#This Row],[Total Weight -gram (if unknown, leave blank)]]="","1",Master[[#This Row],[Total Weight -gram (if unknown, leave blank)]])</f>
        <v>1</v>
      </c>
      <c r="G49" s="17" t="str">
        <f>IF(InvActionRecd[[#This Row],[Quantity]]="1","packet","gram")</f>
        <v>packet</v>
      </c>
      <c r="H49" t="str">
        <f>IF(Master[[#This Row],[Inventory Type - Lookup Picker]]="","",Master[[#This Row],[Inventory Type - Lookup Picker]])</f>
        <v>SD</v>
      </c>
      <c r="I49" t="str">
        <f>IF(Master[[#This Row],[Cooperator (Donor) 1 -full record]]="","",Master[[#This Row],[Cooperator (Donor) 1 -full record]])</f>
        <v>Bureau of Land Management, SOS project</v>
      </c>
      <c r="J49" s="141"/>
    </row>
    <row r="50" spans="2:10" x14ac:dyDescent="0.25">
      <c r="B50" s="45" t="str">
        <f>Master[[#This Row],[Inventory Prefix]]&amp;" "&amp;Master[[#This Row],[Inventory Number]]&amp;" "&amp;Master[[#This Row],[Inventory Suffix]]&amp;" "&amp;Master[[#This Row],[Inventory Type - Lookup Picker]]</f>
        <v>W6   SD</v>
      </c>
      <c r="C50" t="str">
        <f t="shared" si="2"/>
        <v>Received</v>
      </c>
      <c r="D50" t="str">
        <f t="shared" si="3"/>
        <v>mm/dd/yyyy</v>
      </c>
      <c r="E50" s="77">
        <f>Master[[#This Row],[Received Date -received by site]]</f>
        <v>44466</v>
      </c>
      <c r="F50" s="17" t="str">
        <f>IF(Master[[#This Row],[Total Weight -gram (if unknown, leave blank)]]="","1",Master[[#This Row],[Total Weight -gram (if unknown, leave blank)]])</f>
        <v>1</v>
      </c>
      <c r="G50" s="17" t="str">
        <f>IF(InvActionRecd[[#This Row],[Quantity]]="1","packet","gram")</f>
        <v>packet</v>
      </c>
      <c r="H50" t="str">
        <f>IF(Master[[#This Row],[Inventory Type - Lookup Picker]]="","",Master[[#This Row],[Inventory Type - Lookup Picker]])</f>
        <v>SD</v>
      </c>
      <c r="I50" t="str">
        <f>IF(Master[[#This Row],[Cooperator (Donor) 1 -full record]]="","",Master[[#This Row],[Cooperator (Donor) 1 -full record]])</f>
        <v>Bureau of Land Management, SOS project</v>
      </c>
      <c r="J50" s="141"/>
    </row>
    <row r="51" spans="2:10" x14ac:dyDescent="0.25">
      <c r="B51" s="45" t="str">
        <f>Master[[#This Row],[Inventory Prefix]]&amp;" "&amp;Master[[#This Row],[Inventory Number]]&amp;" "&amp;Master[[#This Row],[Inventory Suffix]]&amp;" "&amp;Master[[#This Row],[Inventory Type - Lookup Picker]]</f>
        <v>W6   SD</v>
      </c>
      <c r="C51" t="str">
        <f t="shared" si="2"/>
        <v>Received</v>
      </c>
      <c r="D51" t="str">
        <f t="shared" si="3"/>
        <v>mm/dd/yyyy</v>
      </c>
      <c r="E51" s="77">
        <f>Master[[#This Row],[Received Date -received by site]]</f>
        <v>44466</v>
      </c>
      <c r="F51" s="17" t="str">
        <f>IF(Master[[#This Row],[Total Weight -gram (if unknown, leave blank)]]="","1",Master[[#This Row],[Total Weight -gram (if unknown, leave blank)]])</f>
        <v>1</v>
      </c>
      <c r="G51" s="17" t="str">
        <f>IF(InvActionRecd[[#This Row],[Quantity]]="1","packet","gram")</f>
        <v>packet</v>
      </c>
      <c r="H51" t="str">
        <f>IF(Master[[#This Row],[Inventory Type - Lookup Picker]]="","",Master[[#This Row],[Inventory Type - Lookup Picker]])</f>
        <v>SD</v>
      </c>
      <c r="I51" t="str">
        <f>IF(Master[[#This Row],[Cooperator (Donor) 1 -full record]]="","",Master[[#This Row],[Cooperator (Donor) 1 -full record]])</f>
        <v>Bureau of Land Management, SOS project</v>
      </c>
      <c r="J51" s="141"/>
    </row>
    <row r="52" spans="2:10" x14ac:dyDescent="0.25">
      <c r="B52" s="45" t="str">
        <f>Master[[#This Row],[Inventory Prefix]]&amp;" "&amp;Master[[#This Row],[Inventory Number]]&amp;" "&amp;Master[[#This Row],[Inventory Suffix]]&amp;" "&amp;Master[[#This Row],[Inventory Type - Lookup Picker]]</f>
        <v>W6   SD</v>
      </c>
      <c r="C52" t="str">
        <f t="shared" si="2"/>
        <v>Received</v>
      </c>
      <c r="D52" t="str">
        <f t="shared" si="3"/>
        <v>mm/dd/yyyy</v>
      </c>
      <c r="E52" s="77">
        <f>Master[[#This Row],[Received Date -received by site]]</f>
        <v>44466</v>
      </c>
      <c r="F52" s="17" t="str">
        <f>IF(Master[[#This Row],[Total Weight -gram (if unknown, leave blank)]]="","1",Master[[#This Row],[Total Weight -gram (if unknown, leave blank)]])</f>
        <v>1</v>
      </c>
      <c r="G52" s="17" t="str">
        <f>IF(InvActionRecd[[#This Row],[Quantity]]="1","packet","gram")</f>
        <v>packet</v>
      </c>
      <c r="H52" t="str">
        <f>IF(Master[[#This Row],[Inventory Type - Lookup Picker]]="","",Master[[#This Row],[Inventory Type - Lookup Picker]])</f>
        <v>SD</v>
      </c>
      <c r="I52" t="str">
        <f>IF(Master[[#This Row],[Cooperator (Donor) 1 -full record]]="","",Master[[#This Row],[Cooperator (Donor) 1 -full record]])</f>
        <v>Bureau of Land Management, SOS project</v>
      </c>
      <c r="J52" s="141"/>
    </row>
    <row r="53" spans="2:10" x14ac:dyDescent="0.25">
      <c r="B53" s="45" t="str">
        <f>Master[[#This Row],[Inventory Prefix]]&amp;" "&amp;Master[[#This Row],[Inventory Number]]&amp;" "&amp;Master[[#This Row],[Inventory Suffix]]&amp;" "&amp;Master[[#This Row],[Inventory Type - Lookup Picker]]</f>
        <v>W6   SD</v>
      </c>
      <c r="C53" t="str">
        <f t="shared" si="2"/>
        <v>Received</v>
      </c>
      <c r="D53" t="str">
        <f t="shared" si="3"/>
        <v>mm/dd/yyyy</v>
      </c>
      <c r="E53" s="77">
        <f>Master[[#This Row],[Received Date -received by site]]</f>
        <v>44466</v>
      </c>
      <c r="F53" s="17" t="str">
        <f>IF(Master[[#This Row],[Total Weight -gram (if unknown, leave blank)]]="","1",Master[[#This Row],[Total Weight -gram (if unknown, leave blank)]])</f>
        <v>1</v>
      </c>
      <c r="G53" s="17" t="str">
        <f>IF(InvActionRecd[[#This Row],[Quantity]]="1","packet","gram")</f>
        <v>packet</v>
      </c>
      <c r="H53" t="str">
        <f>IF(Master[[#This Row],[Inventory Type - Lookup Picker]]="","",Master[[#This Row],[Inventory Type - Lookup Picker]])</f>
        <v>SD</v>
      </c>
      <c r="I53" t="str">
        <f>IF(Master[[#This Row],[Cooperator (Donor) 1 -full record]]="","",Master[[#This Row],[Cooperator (Donor) 1 -full record]])</f>
        <v>Bureau of Land Management, SOS project</v>
      </c>
      <c r="J53" s="141"/>
    </row>
    <row r="54" spans="2:10" x14ac:dyDescent="0.25">
      <c r="B54" s="45" t="str">
        <f>Master[[#This Row],[Inventory Prefix]]&amp;" "&amp;Master[[#This Row],[Inventory Number]]&amp;" "&amp;Master[[#This Row],[Inventory Suffix]]&amp;" "&amp;Master[[#This Row],[Inventory Type - Lookup Picker]]</f>
        <v>W6   SD</v>
      </c>
      <c r="C54" t="str">
        <f t="shared" ref="C54:C85" si="4">"Received"</f>
        <v>Received</v>
      </c>
      <c r="D54" t="str">
        <f t="shared" ref="D54:D85" si="5">"mm/dd/yyyy"</f>
        <v>mm/dd/yyyy</v>
      </c>
      <c r="E54" s="77">
        <f>Master[[#This Row],[Received Date -received by site]]</f>
        <v>44466</v>
      </c>
      <c r="F54" s="17" t="str">
        <f>IF(Master[[#This Row],[Total Weight -gram (if unknown, leave blank)]]="","1",Master[[#This Row],[Total Weight -gram (if unknown, leave blank)]])</f>
        <v>1</v>
      </c>
      <c r="G54" s="17" t="str">
        <f>IF(InvActionRecd[[#This Row],[Quantity]]="1","packet","gram")</f>
        <v>packet</v>
      </c>
      <c r="H54" t="str">
        <f>IF(Master[[#This Row],[Inventory Type - Lookup Picker]]="","",Master[[#This Row],[Inventory Type - Lookup Picker]])</f>
        <v>SD</v>
      </c>
      <c r="I54" t="str">
        <f>IF(Master[[#This Row],[Cooperator (Donor) 1 -full record]]="","",Master[[#This Row],[Cooperator (Donor) 1 -full record]])</f>
        <v>Bureau of Land Management, SOS project</v>
      </c>
      <c r="J54" s="141"/>
    </row>
    <row r="55" spans="2:10" x14ac:dyDescent="0.25">
      <c r="B55" s="45" t="str">
        <f>Master[[#This Row],[Inventory Prefix]]&amp;" "&amp;Master[[#This Row],[Inventory Number]]&amp;" "&amp;Master[[#This Row],[Inventory Suffix]]&amp;" "&amp;Master[[#This Row],[Inventory Type - Lookup Picker]]</f>
        <v>W6   SD</v>
      </c>
      <c r="C55" t="str">
        <f t="shared" si="4"/>
        <v>Received</v>
      </c>
      <c r="D55" t="str">
        <f t="shared" si="5"/>
        <v>mm/dd/yyyy</v>
      </c>
      <c r="E55" s="77">
        <f>Master[[#This Row],[Received Date -received by site]]</f>
        <v>44466</v>
      </c>
      <c r="F55" s="17" t="str">
        <f>IF(Master[[#This Row],[Total Weight -gram (if unknown, leave blank)]]="","1",Master[[#This Row],[Total Weight -gram (if unknown, leave blank)]])</f>
        <v>1</v>
      </c>
      <c r="G55" s="17" t="str">
        <f>IF(InvActionRecd[[#This Row],[Quantity]]="1","packet","gram")</f>
        <v>packet</v>
      </c>
      <c r="H55" t="str">
        <f>IF(Master[[#This Row],[Inventory Type - Lookup Picker]]="","",Master[[#This Row],[Inventory Type - Lookup Picker]])</f>
        <v>SD</v>
      </c>
      <c r="I55" t="str">
        <f>IF(Master[[#This Row],[Cooperator (Donor) 1 -full record]]="","",Master[[#This Row],[Cooperator (Donor) 1 -full record]])</f>
        <v>Bureau of Land Management, SOS project</v>
      </c>
      <c r="J55" s="141"/>
    </row>
    <row r="56" spans="2:10" x14ac:dyDescent="0.25">
      <c r="B56" s="45" t="str">
        <f>Master[[#This Row],[Inventory Prefix]]&amp;" "&amp;Master[[#This Row],[Inventory Number]]&amp;" "&amp;Master[[#This Row],[Inventory Suffix]]&amp;" "&amp;Master[[#This Row],[Inventory Type - Lookup Picker]]</f>
        <v>W6   SD</v>
      </c>
      <c r="C56" t="str">
        <f t="shared" si="4"/>
        <v>Received</v>
      </c>
      <c r="D56" t="str">
        <f t="shared" si="5"/>
        <v>mm/dd/yyyy</v>
      </c>
      <c r="E56" s="77">
        <f>Master[[#This Row],[Received Date -received by site]]</f>
        <v>44466</v>
      </c>
      <c r="F56" s="17" t="str">
        <f>IF(Master[[#This Row],[Total Weight -gram (if unknown, leave blank)]]="","1",Master[[#This Row],[Total Weight -gram (if unknown, leave blank)]])</f>
        <v>1</v>
      </c>
      <c r="G56" s="17" t="str">
        <f>IF(InvActionRecd[[#This Row],[Quantity]]="1","packet","gram")</f>
        <v>packet</v>
      </c>
      <c r="H56" t="str">
        <f>IF(Master[[#This Row],[Inventory Type - Lookup Picker]]="","",Master[[#This Row],[Inventory Type - Lookup Picker]])</f>
        <v>SD</v>
      </c>
      <c r="I56" t="str">
        <f>IF(Master[[#This Row],[Cooperator (Donor) 1 -full record]]="","",Master[[#This Row],[Cooperator (Donor) 1 -full record]])</f>
        <v>Bureau of Land Management, SOS project</v>
      </c>
      <c r="J56" s="141"/>
    </row>
    <row r="57" spans="2:10" x14ac:dyDescent="0.25">
      <c r="B57" s="45" t="str">
        <f>Master[[#This Row],[Inventory Prefix]]&amp;" "&amp;Master[[#This Row],[Inventory Number]]&amp;" "&amp;Master[[#This Row],[Inventory Suffix]]&amp;" "&amp;Master[[#This Row],[Inventory Type - Lookup Picker]]</f>
        <v>W6   SD</v>
      </c>
      <c r="C57" t="str">
        <f t="shared" si="4"/>
        <v>Received</v>
      </c>
      <c r="D57" t="str">
        <f t="shared" si="5"/>
        <v>mm/dd/yyyy</v>
      </c>
      <c r="E57" s="77">
        <f>Master[[#This Row],[Received Date -received by site]]</f>
        <v>44466</v>
      </c>
      <c r="F57" s="17" t="str">
        <f>IF(Master[[#This Row],[Total Weight -gram (if unknown, leave blank)]]="","1",Master[[#This Row],[Total Weight -gram (if unknown, leave blank)]])</f>
        <v>1</v>
      </c>
      <c r="G57" s="17" t="str">
        <f>IF(InvActionRecd[[#This Row],[Quantity]]="1","packet","gram")</f>
        <v>packet</v>
      </c>
      <c r="H57" t="str">
        <f>IF(Master[[#This Row],[Inventory Type - Lookup Picker]]="","",Master[[#This Row],[Inventory Type - Lookup Picker]])</f>
        <v>SD</v>
      </c>
      <c r="I57" t="str">
        <f>IF(Master[[#This Row],[Cooperator (Donor) 1 -full record]]="","",Master[[#This Row],[Cooperator (Donor) 1 -full record]])</f>
        <v>Bureau of Land Management, SOS project</v>
      </c>
      <c r="J57" s="141"/>
    </row>
    <row r="58" spans="2:10" x14ac:dyDescent="0.25">
      <c r="B58" s="45" t="str">
        <f>Master[[#This Row],[Inventory Prefix]]&amp;" "&amp;Master[[#This Row],[Inventory Number]]&amp;" "&amp;Master[[#This Row],[Inventory Suffix]]&amp;" "&amp;Master[[#This Row],[Inventory Type - Lookup Picker]]</f>
        <v>W6   SD</v>
      </c>
      <c r="C58" t="str">
        <f t="shared" si="4"/>
        <v>Received</v>
      </c>
      <c r="D58" t="str">
        <f t="shared" si="5"/>
        <v>mm/dd/yyyy</v>
      </c>
      <c r="E58" s="77">
        <f>Master[[#This Row],[Received Date -received by site]]</f>
        <v>44466</v>
      </c>
      <c r="F58" s="17" t="str">
        <f>IF(Master[[#This Row],[Total Weight -gram (if unknown, leave blank)]]="","1",Master[[#This Row],[Total Weight -gram (if unknown, leave blank)]])</f>
        <v>1</v>
      </c>
      <c r="G58" s="17" t="str">
        <f>IF(InvActionRecd[[#This Row],[Quantity]]="1","packet","gram")</f>
        <v>packet</v>
      </c>
      <c r="H58" t="str">
        <f>IF(Master[[#This Row],[Inventory Type - Lookup Picker]]="","",Master[[#This Row],[Inventory Type - Lookup Picker]])</f>
        <v>SD</v>
      </c>
      <c r="I58" t="str">
        <f>IF(Master[[#This Row],[Cooperator (Donor) 1 -full record]]="","",Master[[#This Row],[Cooperator (Donor) 1 -full record]])</f>
        <v>Bureau of Land Management, SOS project</v>
      </c>
      <c r="J58" s="141"/>
    </row>
    <row r="59" spans="2:10" x14ac:dyDescent="0.25">
      <c r="B59" s="45" t="str">
        <f>Master[[#This Row],[Inventory Prefix]]&amp;" "&amp;Master[[#This Row],[Inventory Number]]&amp;" "&amp;Master[[#This Row],[Inventory Suffix]]&amp;" "&amp;Master[[#This Row],[Inventory Type - Lookup Picker]]</f>
        <v>W6   SD</v>
      </c>
      <c r="C59" t="str">
        <f t="shared" si="4"/>
        <v>Received</v>
      </c>
      <c r="D59" t="str">
        <f t="shared" si="5"/>
        <v>mm/dd/yyyy</v>
      </c>
      <c r="E59" s="77">
        <f>Master[[#This Row],[Received Date -received by site]]</f>
        <v>44466</v>
      </c>
      <c r="F59" s="17" t="str">
        <f>IF(Master[[#This Row],[Total Weight -gram (if unknown, leave blank)]]="","1",Master[[#This Row],[Total Weight -gram (if unknown, leave blank)]])</f>
        <v>1</v>
      </c>
      <c r="G59" s="17" t="str">
        <f>IF(InvActionRecd[[#This Row],[Quantity]]="1","packet","gram")</f>
        <v>packet</v>
      </c>
      <c r="H59" t="str">
        <f>IF(Master[[#This Row],[Inventory Type - Lookup Picker]]="","",Master[[#This Row],[Inventory Type - Lookup Picker]])</f>
        <v>SD</v>
      </c>
      <c r="I59" t="str">
        <f>IF(Master[[#This Row],[Cooperator (Donor) 1 -full record]]="","",Master[[#This Row],[Cooperator (Donor) 1 -full record]])</f>
        <v>Bureau of Land Management, SOS project</v>
      </c>
      <c r="J59" s="141"/>
    </row>
    <row r="60" spans="2:10" x14ac:dyDescent="0.25">
      <c r="B60" s="45" t="str">
        <f>Master[[#This Row],[Inventory Prefix]]&amp;" "&amp;Master[[#This Row],[Inventory Number]]&amp;" "&amp;Master[[#This Row],[Inventory Suffix]]&amp;" "&amp;Master[[#This Row],[Inventory Type - Lookup Picker]]</f>
        <v>W6   SD</v>
      </c>
      <c r="C60" t="str">
        <f t="shared" si="4"/>
        <v>Received</v>
      </c>
      <c r="D60" t="str">
        <f t="shared" si="5"/>
        <v>mm/dd/yyyy</v>
      </c>
      <c r="E60" s="77">
        <f>Master[[#This Row],[Received Date -received by site]]</f>
        <v>44466</v>
      </c>
      <c r="F60" s="17" t="str">
        <f>IF(Master[[#This Row],[Total Weight -gram (if unknown, leave blank)]]="","1",Master[[#This Row],[Total Weight -gram (if unknown, leave blank)]])</f>
        <v>1</v>
      </c>
      <c r="G60" s="17" t="str">
        <f>IF(InvActionRecd[[#This Row],[Quantity]]="1","packet","gram")</f>
        <v>packet</v>
      </c>
      <c r="H60" t="str">
        <f>IF(Master[[#This Row],[Inventory Type - Lookup Picker]]="","",Master[[#This Row],[Inventory Type - Lookup Picker]])</f>
        <v>SD</v>
      </c>
      <c r="I60" t="str">
        <f>IF(Master[[#This Row],[Cooperator (Donor) 1 -full record]]="","",Master[[#This Row],[Cooperator (Donor) 1 -full record]])</f>
        <v>Bureau of Land Management, SOS project</v>
      </c>
      <c r="J60" s="141"/>
    </row>
    <row r="61" spans="2:10" x14ac:dyDescent="0.25">
      <c r="B61" s="45" t="str">
        <f>Master[[#This Row],[Inventory Prefix]]&amp;" "&amp;Master[[#This Row],[Inventory Number]]&amp;" "&amp;Master[[#This Row],[Inventory Suffix]]&amp;" "&amp;Master[[#This Row],[Inventory Type - Lookup Picker]]</f>
        <v>W6   SD</v>
      </c>
      <c r="C61" t="str">
        <f t="shared" si="4"/>
        <v>Received</v>
      </c>
      <c r="D61" t="str">
        <f t="shared" si="5"/>
        <v>mm/dd/yyyy</v>
      </c>
      <c r="E61" s="77">
        <f>Master[[#This Row],[Received Date -received by site]]</f>
        <v>44466</v>
      </c>
      <c r="F61" s="17" t="str">
        <f>IF(Master[[#This Row],[Total Weight -gram (if unknown, leave blank)]]="","1",Master[[#This Row],[Total Weight -gram (if unknown, leave blank)]])</f>
        <v>1</v>
      </c>
      <c r="G61" s="17" t="str">
        <f>IF(InvActionRecd[[#This Row],[Quantity]]="1","packet","gram")</f>
        <v>packet</v>
      </c>
      <c r="H61" t="str">
        <f>IF(Master[[#This Row],[Inventory Type - Lookup Picker]]="","",Master[[#This Row],[Inventory Type - Lookup Picker]])</f>
        <v>SD</v>
      </c>
      <c r="I61" t="str">
        <f>IF(Master[[#This Row],[Cooperator (Donor) 1 -full record]]="","",Master[[#This Row],[Cooperator (Donor) 1 -full record]])</f>
        <v>Bureau of Land Management, SOS project</v>
      </c>
      <c r="J61" s="141"/>
    </row>
    <row r="62" spans="2:10" x14ac:dyDescent="0.25">
      <c r="B62" s="45" t="str">
        <f>Master[[#This Row],[Inventory Prefix]]&amp;" "&amp;Master[[#This Row],[Inventory Number]]&amp;" "&amp;Master[[#This Row],[Inventory Suffix]]&amp;" "&amp;Master[[#This Row],[Inventory Type - Lookup Picker]]</f>
        <v>W6   SD</v>
      </c>
      <c r="C62" t="str">
        <f t="shared" si="4"/>
        <v>Received</v>
      </c>
      <c r="D62" t="str">
        <f t="shared" si="5"/>
        <v>mm/dd/yyyy</v>
      </c>
      <c r="E62" s="77">
        <f>Master[[#This Row],[Received Date -received by site]]</f>
        <v>44466</v>
      </c>
      <c r="F62" s="17" t="str">
        <f>IF(Master[[#This Row],[Total Weight -gram (if unknown, leave blank)]]="","1",Master[[#This Row],[Total Weight -gram (if unknown, leave blank)]])</f>
        <v>1</v>
      </c>
      <c r="G62" s="17" t="str">
        <f>IF(InvActionRecd[[#This Row],[Quantity]]="1","packet","gram")</f>
        <v>packet</v>
      </c>
      <c r="H62" t="str">
        <f>IF(Master[[#This Row],[Inventory Type - Lookup Picker]]="","",Master[[#This Row],[Inventory Type - Lookup Picker]])</f>
        <v>SD</v>
      </c>
      <c r="I62" t="str">
        <f>IF(Master[[#This Row],[Cooperator (Donor) 1 -full record]]="","",Master[[#This Row],[Cooperator (Donor) 1 -full record]])</f>
        <v>Bureau of Land Management, SOS project</v>
      </c>
      <c r="J62" s="141"/>
    </row>
    <row r="63" spans="2:10" x14ac:dyDescent="0.25">
      <c r="B63" s="45" t="str">
        <f>Master[[#This Row],[Inventory Prefix]]&amp;" "&amp;Master[[#This Row],[Inventory Number]]&amp;" "&amp;Master[[#This Row],[Inventory Suffix]]&amp;" "&amp;Master[[#This Row],[Inventory Type - Lookup Picker]]</f>
        <v>W6   SD</v>
      </c>
      <c r="C63" t="str">
        <f t="shared" si="4"/>
        <v>Received</v>
      </c>
      <c r="D63" t="str">
        <f t="shared" si="5"/>
        <v>mm/dd/yyyy</v>
      </c>
      <c r="E63" s="77">
        <f>Master[[#This Row],[Received Date -received by site]]</f>
        <v>44466</v>
      </c>
      <c r="F63" s="17" t="str">
        <f>IF(Master[[#This Row],[Total Weight -gram (if unknown, leave blank)]]="","1",Master[[#This Row],[Total Weight -gram (if unknown, leave blank)]])</f>
        <v>1</v>
      </c>
      <c r="G63" s="17" t="str">
        <f>IF(InvActionRecd[[#This Row],[Quantity]]="1","packet","gram")</f>
        <v>packet</v>
      </c>
      <c r="H63" t="str">
        <f>IF(Master[[#This Row],[Inventory Type - Lookup Picker]]="","",Master[[#This Row],[Inventory Type - Lookup Picker]])</f>
        <v>SD</v>
      </c>
      <c r="I63" t="str">
        <f>IF(Master[[#This Row],[Cooperator (Donor) 1 -full record]]="","",Master[[#This Row],[Cooperator (Donor) 1 -full record]])</f>
        <v>Bureau of Land Management, SOS project</v>
      </c>
      <c r="J63" s="141"/>
    </row>
    <row r="64" spans="2:10" x14ac:dyDescent="0.25">
      <c r="B64" s="45" t="str">
        <f>Master[[#This Row],[Inventory Prefix]]&amp;" "&amp;Master[[#This Row],[Inventory Number]]&amp;" "&amp;Master[[#This Row],[Inventory Suffix]]&amp;" "&amp;Master[[#This Row],[Inventory Type - Lookup Picker]]</f>
        <v>W6   SD</v>
      </c>
      <c r="C64" t="str">
        <f t="shared" si="4"/>
        <v>Received</v>
      </c>
      <c r="D64" t="str">
        <f t="shared" si="5"/>
        <v>mm/dd/yyyy</v>
      </c>
      <c r="E64" s="77">
        <f>Master[[#This Row],[Received Date -received by site]]</f>
        <v>44466</v>
      </c>
      <c r="F64" s="17" t="str">
        <f>IF(Master[[#This Row],[Total Weight -gram (if unknown, leave blank)]]="","1",Master[[#This Row],[Total Weight -gram (if unknown, leave blank)]])</f>
        <v>1</v>
      </c>
      <c r="G64" s="17" t="str">
        <f>IF(InvActionRecd[[#This Row],[Quantity]]="1","packet","gram")</f>
        <v>packet</v>
      </c>
      <c r="H64" t="str">
        <f>IF(Master[[#This Row],[Inventory Type - Lookup Picker]]="","",Master[[#This Row],[Inventory Type - Lookup Picker]])</f>
        <v>SD</v>
      </c>
      <c r="I64" t="str">
        <f>IF(Master[[#This Row],[Cooperator (Donor) 1 -full record]]="","",Master[[#This Row],[Cooperator (Donor) 1 -full record]])</f>
        <v>Bureau of Land Management, SOS project</v>
      </c>
      <c r="J64" s="141"/>
    </row>
    <row r="65" spans="2:10" x14ac:dyDescent="0.25">
      <c r="B65" s="45" t="str">
        <f>Master[[#This Row],[Inventory Prefix]]&amp;" "&amp;Master[[#This Row],[Inventory Number]]&amp;" "&amp;Master[[#This Row],[Inventory Suffix]]&amp;" "&amp;Master[[#This Row],[Inventory Type - Lookup Picker]]</f>
        <v>W6   SD</v>
      </c>
      <c r="C65" t="str">
        <f t="shared" si="4"/>
        <v>Received</v>
      </c>
      <c r="D65" t="str">
        <f t="shared" si="5"/>
        <v>mm/dd/yyyy</v>
      </c>
      <c r="E65" s="77">
        <f>Master[[#This Row],[Received Date -received by site]]</f>
        <v>44466</v>
      </c>
      <c r="F65" s="17" t="str">
        <f>IF(Master[[#This Row],[Total Weight -gram (if unknown, leave blank)]]="","1",Master[[#This Row],[Total Weight -gram (if unknown, leave blank)]])</f>
        <v>1</v>
      </c>
      <c r="G65" s="17" t="str">
        <f>IF(InvActionRecd[[#This Row],[Quantity]]="1","packet","gram")</f>
        <v>packet</v>
      </c>
      <c r="H65" t="str">
        <f>IF(Master[[#This Row],[Inventory Type - Lookup Picker]]="","",Master[[#This Row],[Inventory Type - Lookup Picker]])</f>
        <v>SD</v>
      </c>
      <c r="I65" t="str">
        <f>IF(Master[[#This Row],[Cooperator (Donor) 1 -full record]]="","",Master[[#This Row],[Cooperator (Donor) 1 -full record]])</f>
        <v>Bureau of Land Management, SOS project</v>
      </c>
      <c r="J65" s="141"/>
    </row>
    <row r="66" spans="2:10" x14ac:dyDescent="0.25">
      <c r="B66" s="45" t="str">
        <f>Master[[#This Row],[Inventory Prefix]]&amp;" "&amp;Master[[#This Row],[Inventory Number]]&amp;" "&amp;Master[[#This Row],[Inventory Suffix]]&amp;" "&amp;Master[[#This Row],[Inventory Type - Lookup Picker]]</f>
        <v>W6   SD</v>
      </c>
      <c r="C66" t="str">
        <f t="shared" si="4"/>
        <v>Received</v>
      </c>
      <c r="D66" t="str">
        <f t="shared" si="5"/>
        <v>mm/dd/yyyy</v>
      </c>
      <c r="E66" s="77">
        <f>Master[[#This Row],[Received Date -received by site]]</f>
        <v>44466</v>
      </c>
      <c r="F66" s="17" t="str">
        <f>IF(Master[[#This Row],[Total Weight -gram (if unknown, leave blank)]]="","1",Master[[#This Row],[Total Weight -gram (if unknown, leave blank)]])</f>
        <v>1</v>
      </c>
      <c r="G66" s="17" t="str">
        <f>IF(InvActionRecd[[#This Row],[Quantity]]="1","packet","gram")</f>
        <v>packet</v>
      </c>
      <c r="H66" t="str">
        <f>IF(Master[[#This Row],[Inventory Type - Lookup Picker]]="","",Master[[#This Row],[Inventory Type - Lookup Picker]])</f>
        <v>SD</v>
      </c>
      <c r="I66" t="str">
        <f>IF(Master[[#This Row],[Cooperator (Donor) 1 -full record]]="","",Master[[#This Row],[Cooperator (Donor) 1 -full record]])</f>
        <v>Bureau of Land Management, SOS project</v>
      </c>
      <c r="J66" s="141"/>
    </row>
    <row r="67" spans="2:10" x14ac:dyDescent="0.25">
      <c r="B67" s="45" t="str">
        <f>Master[[#This Row],[Inventory Prefix]]&amp;" "&amp;Master[[#This Row],[Inventory Number]]&amp;" "&amp;Master[[#This Row],[Inventory Suffix]]&amp;" "&amp;Master[[#This Row],[Inventory Type - Lookup Picker]]</f>
        <v>W6   SD</v>
      </c>
      <c r="C67" t="str">
        <f t="shared" si="4"/>
        <v>Received</v>
      </c>
      <c r="D67" t="str">
        <f t="shared" si="5"/>
        <v>mm/dd/yyyy</v>
      </c>
      <c r="E67" s="77">
        <f>Master[[#This Row],[Received Date -received by site]]</f>
        <v>44466</v>
      </c>
      <c r="F67" s="17" t="str">
        <f>IF(Master[[#This Row],[Total Weight -gram (if unknown, leave blank)]]="","1",Master[[#This Row],[Total Weight -gram (if unknown, leave blank)]])</f>
        <v>1</v>
      </c>
      <c r="G67" s="17" t="str">
        <f>IF(InvActionRecd[[#This Row],[Quantity]]="1","packet","gram")</f>
        <v>packet</v>
      </c>
      <c r="H67" t="str">
        <f>IF(Master[[#This Row],[Inventory Type - Lookup Picker]]="","",Master[[#This Row],[Inventory Type - Lookup Picker]])</f>
        <v>SD</v>
      </c>
      <c r="I67" t="str">
        <f>IF(Master[[#This Row],[Cooperator (Donor) 1 -full record]]="","",Master[[#This Row],[Cooperator (Donor) 1 -full record]])</f>
        <v>Bureau of Land Management, SOS project</v>
      </c>
      <c r="J67" s="141"/>
    </row>
    <row r="68" spans="2:10" x14ac:dyDescent="0.25">
      <c r="B68" s="45" t="str">
        <f>Master[[#This Row],[Inventory Prefix]]&amp;" "&amp;Master[[#This Row],[Inventory Number]]&amp;" "&amp;Master[[#This Row],[Inventory Suffix]]&amp;" "&amp;Master[[#This Row],[Inventory Type - Lookup Picker]]</f>
        <v>W6   SD</v>
      </c>
      <c r="C68" t="str">
        <f t="shared" si="4"/>
        <v>Received</v>
      </c>
      <c r="D68" t="str">
        <f t="shared" si="5"/>
        <v>mm/dd/yyyy</v>
      </c>
      <c r="E68" s="77">
        <f>Master[[#This Row],[Received Date -received by site]]</f>
        <v>44466</v>
      </c>
      <c r="F68" s="17" t="str">
        <f>IF(Master[[#This Row],[Total Weight -gram (if unknown, leave blank)]]="","1",Master[[#This Row],[Total Weight -gram (if unknown, leave blank)]])</f>
        <v>1</v>
      </c>
      <c r="G68" s="17" t="str">
        <f>IF(InvActionRecd[[#This Row],[Quantity]]="1","packet","gram")</f>
        <v>packet</v>
      </c>
      <c r="H68" t="str">
        <f>IF(Master[[#This Row],[Inventory Type - Lookup Picker]]="","",Master[[#This Row],[Inventory Type - Lookup Picker]])</f>
        <v>SD</v>
      </c>
      <c r="I68" t="str">
        <f>IF(Master[[#This Row],[Cooperator (Donor) 1 -full record]]="","",Master[[#This Row],[Cooperator (Donor) 1 -full record]])</f>
        <v>Bureau of Land Management, SOS project</v>
      </c>
      <c r="J68" s="141"/>
    </row>
    <row r="69" spans="2:10" x14ac:dyDescent="0.25">
      <c r="B69" s="45" t="str">
        <f>Master[[#This Row],[Inventory Prefix]]&amp;" "&amp;Master[[#This Row],[Inventory Number]]&amp;" "&amp;Master[[#This Row],[Inventory Suffix]]&amp;" "&amp;Master[[#This Row],[Inventory Type - Lookup Picker]]</f>
        <v>W6   SD</v>
      </c>
      <c r="C69" t="str">
        <f t="shared" si="4"/>
        <v>Received</v>
      </c>
      <c r="D69" t="str">
        <f t="shared" si="5"/>
        <v>mm/dd/yyyy</v>
      </c>
      <c r="E69" s="77">
        <f>Master[[#This Row],[Received Date -received by site]]</f>
        <v>44466</v>
      </c>
      <c r="F69" s="17" t="str">
        <f>IF(Master[[#This Row],[Total Weight -gram (if unknown, leave blank)]]="","1",Master[[#This Row],[Total Weight -gram (if unknown, leave blank)]])</f>
        <v>1</v>
      </c>
      <c r="G69" s="17" t="str">
        <f>IF(InvActionRecd[[#This Row],[Quantity]]="1","packet","gram")</f>
        <v>packet</v>
      </c>
      <c r="H69" t="str">
        <f>IF(Master[[#This Row],[Inventory Type - Lookup Picker]]="","",Master[[#This Row],[Inventory Type - Lookup Picker]])</f>
        <v>SD</v>
      </c>
      <c r="I69" t="str">
        <f>IF(Master[[#This Row],[Cooperator (Donor) 1 -full record]]="","",Master[[#This Row],[Cooperator (Donor) 1 -full record]])</f>
        <v>Bureau of Land Management, SOS project</v>
      </c>
      <c r="J69" s="141"/>
    </row>
    <row r="70" spans="2:10" x14ac:dyDescent="0.25">
      <c r="B70" s="45" t="str">
        <f>Master[[#This Row],[Inventory Prefix]]&amp;" "&amp;Master[[#This Row],[Inventory Number]]&amp;" "&amp;Master[[#This Row],[Inventory Suffix]]&amp;" "&amp;Master[[#This Row],[Inventory Type - Lookup Picker]]</f>
        <v>W6   SD</v>
      </c>
      <c r="C70" t="str">
        <f t="shared" si="4"/>
        <v>Received</v>
      </c>
      <c r="D70" t="str">
        <f t="shared" si="5"/>
        <v>mm/dd/yyyy</v>
      </c>
      <c r="E70" s="77">
        <f>Master[[#This Row],[Received Date -received by site]]</f>
        <v>44466</v>
      </c>
      <c r="F70" s="17" t="str">
        <f>IF(Master[[#This Row],[Total Weight -gram (if unknown, leave blank)]]="","1",Master[[#This Row],[Total Weight -gram (if unknown, leave blank)]])</f>
        <v>1</v>
      </c>
      <c r="G70" s="17" t="str">
        <f>IF(InvActionRecd[[#This Row],[Quantity]]="1","packet","gram")</f>
        <v>packet</v>
      </c>
      <c r="H70" t="str">
        <f>IF(Master[[#This Row],[Inventory Type - Lookup Picker]]="","",Master[[#This Row],[Inventory Type - Lookup Picker]])</f>
        <v>SD</v>
      </c>
      <c r="I70" t="str">
        <f>IF(Master[[#This Row],[Cooperator (Donor) 1 -full record]]="","",Master[[#This Row],[Cooperator (Donor) 1 -full record]])</f>
        <v>Bureau of Land Management, SOS project</v>
      </c>
      <c r="J70" s="141"/>
    </row>
    <row r="71" spans="2:10" x14ac:dyDescent="0.25">
      <c r="B71" s="45" t="str">
        <f>Master[[#This Row],[Inventory Prefix]]&amp;" "&amp;Master[[#This Row],[Inventory Number]]&amp;" "&amp;Master[[#This Row],[Inventory Suffix]]&amp;" "&amp;Master[[#This Row],[Inventory Type - Lookup Picker]]</f>
        <v>W6   SD</v>
      </c>
      <c r="C71" t="str">
        <f t="shared" si="4"/>
        <v>Received</v>
      </c>
      <c r="D71" t="str">
        <f t="shared" si="5"/>
        <v>mm/dd/yyyy</v>
      </c>
      <c r="E71" s="77">
        <f>Master[[#This Row],[Received Date -received by site]]</f>
        <v>44466</v>
      </c>
      <c r="F71" s="17" t="str">
        <f>IF(Master[[#This Row],[Total Weight -gram (if unknown, leave blank)]]="","1",Master[[#This Row],[Total Weight -gram (if unknown, leave blank)]])</f>
        <v>1</v>
      </c>
      <c r="G71" s="17" t="str">
        <f>IF(InvActionRecd[[#This Row],[Quantity]]="1","packet","gram")</f>
        <v>packet</v>
      </c>
      <c r="H71" t="str">
        <f>IF(Master[[#This Row],[Inventory Type - Lookup Picker]]="","",Master[[#This Row],[Inventory Type - Lookup Picker]])</f>
        <v>SD</v>
      </c>
      <c r="I71" t="str">
        <f>IF(Master[[#This Row],[Cooperator (Donor) 1 -full record]]="","",Master[[#This Row],[Cooperator (Donor) 1 -full record]])</f>
        <v>Bureau of Land Management, SOS project</v>
      </c>
      <c r="J71" s="141"/>
    </row>
    <row r="72" spans="2:10" x14ac:dyDescent="0.25">
      <c r="B72" s="45" t="str">
        <f>Master[[#This Row],[Inventory Prefix]]&amp;" "&amp;Master[[#This Row],[Inventory Number]]&amp;" "&amp;Master[[#This Row],[Inventory Suffix]]&amp;" "&amp;Master[[#This Row],[Inventory Type - Lookup Picker]]</f>
        <v>W6   SD</v>
      </c>
      <c r="C72" t="str">
        <f t="shared" si="4"/>
        <v>Received</v>
      </c>
      <c r="D72" t="str">
        <f t="shared" si="5"/>
        <v>mm/dd/yyyy</v>
      </c>
      <c r="E72" s="77">
        <f>Master[[#This Row],[Received Date -received by site]]</f>
        <v>44466</v>
      </c>
      <c r="F72" s="17" t="str">
        <f>IF(Master[[#This Row],[Total Weight -gram (if unknown, leave blank)]]="","1",Master[[#This Row],[Total Weight -gram (if unknown, leave blank)]])</f>
        <v>1</v>
      </c>
      <c r="G72" s="17" t="str">
        <f>IF(InvActionRecd[[#This Row],[Quantity]]="1","packet","gram")</f>
        <v>packet</v>
      </c>
      <c r="H72" t="str">
        <f>IF(Master[[#This Row],[Inventory Type - Lookup Picker]]="","",Master[[#This Row],[Inventory Type - Lookup Picker]])</f>
        <v>SD</v>
      </c>
      <c r="I72" t="str">
        <f>IF(Master[[#This Row],[Cooperator (Donor) 1 -full record]]="","",Master[[#This Row],[Cooperator (Donor) 1 -full record]])</f>
        <v>Bureau of Land Management, SOS project</v>
      </c>
      <c r="J72" s="141"/>
    </row>
    <row r="73" spans="2:10" x14ac:dyDescent="0.25">
      <c r="B73" s="45" t="str">
        <f>Master[[#This Row],[Inventory Prefix]]&amp;" "&amp;Master[[#This Row],[Inventory Number]]&amp;" "&amp;Master[[#This Row],[Inventory Suffix]]&amp;" "&amp;Master[[#This Row],[Inventory Type - Lookup Picker]]</f>
        <v>W6   SD</v>
      </c>
      <c r="C73" t="str">
        <f t="shared" si="4"/>
        <v>Received</v>
      </c>
      <c r="D73" t="str">
        <f t="shared" si="5"/>
        <v>mm/dd/yyyy</v>
      </c>
      <c r="E73" s="77">
        <f>Master[[#This Row],[Received Date -received by site]]</f>
        <v>44466</v>
      </c>
      <c r="F73" s="17" t="str">
        <f>IF(Master[[#This Row],[Total Weight -gram (if unknown, leave blank)]]="","1",Master[[#This Row],[Total Weight -gram (if unknown, leave blank)]])</f>
        <v>1</v>
      </c>
      <c r="G73" s="17" t="str">
        <f>IF(InvActionRecd[[#This Row],[Quantity]]="1","packet","gram")</f>
        <v>packet</v>
      </c>
      <c r="H73" t="str">
        <f>IF(Master[[#This Row],[Inventory Type - Lookup Picker]]="","",Master[[#This Row],[Inventory Type - Lookup Picker]])</f>
        <v>SD</v>
      </c>
      <c r="I73" t="str">
        <f>IF(Master[[#This Row],[Cooperator (Donor) 1 -full record]]="","",Master[[#This Row],[Cooperator (Donor) 1 -full record]])</f>
        <v>Bureau of Land Management, SOS project</v>
      </c>
      <c r="J73" s="141"/>
    </row>
    <row r="74" spans="2:10" x14ac:dyDescent="0.25">
      <c r="B74" s="45" t="str">
        <f>Master[[#This Row],[Inventory Prefix]]&amp;" "&amp;Master[[#This Row],[Inventory Number]]&amp;" "&amp;Master[[#This Row],[Inventory Suffix]]&amp;" "&amp;Master[[#This Row],[Inventory Type - Lookup Picker]]</f>
        <v>W6   SD</v>
      </c>
      <c r="C74" t="str">
        <f t="shared" si="4"/>
        <v>Received</v>
      </c>
      <c r="D74" t="str">
        <f t="shared" si="5"/>
        <v>mm/dd/yyyy</v>
      </c>
      <c r="E74" s="77">
        <f>Master[[#This Row],[Received Date -received by site]]</f>
        <v>44466</v>
      </c>
      <c r="F74" s="17" t="str">
        <f>IF(Master[[#This Row],[Total Weight -gram (if unknown, leave blank)]]="","1",Master[[#This Row],[Total Weight -gram (if unknown, leave blank)]])</f>
        <v>1</v>
      </c>
      <c r="G74" s="17" t="str">
        <f>IF(InvActionRecd[[#This Row],[Quantity]]="1","packet","gram")</f>
        <v>packet</v>
      </c>
      <c r="H74" t="str">
        <f>IF(Master[[#This Row],[Inventory Type - Lookup Picker]]="","",Master[[#This Row],[Inventory Type - Lookup Picker]])</f>
        <v>SD</v>
      </c>
      <c r="I74" t="str">
        <f>IF(Master[[#This Row],[Cooperator (Donor) 1 -full record]]="","",Master[[#This Row],[Cooperator (Donor) 1 -full record]])</f>
        <v>Bureau of Land Management, SOS project</v>
      </c>
      <c r="J74" s="141"/>
    </row>
    <row r="75" spans="2:10" x14ac:dyDescent="0.25">
      <c r="B75" s="45" t="str">
        <f>Master[[#This Row],[Inventory Prefix]]&amp;" "&amp;Master[[#This Row],[Inventory Number]]&amp;" "&amp;Master[[#This Row],[Inventory Suffix]]&amp;" "&amp;Master[[#This Row],[Inventory Type - Lookup Picker]]</f>
        <v>W6   SD</v>
      </c>
      <c r="C75" t="str">
        <f t="shared" si="4"/>
        <v>Received</v>
      </c>
      <c r="D75" t="str">
        <f t="shared" si="5"/>
        <v>mm/dd/yyyy</v>
      </c>
      <c r="E75" s="77">
        <f>Master[[#This Row],[Received Date -received by site]]</f>
        <v>44466</v>
      </c>
      <c r="F75" s="17" t="str">
        <f>IF(Master[[#This Row],[Total Weight -gram (if unknown, leave blank)]]="","1",Master[[#This Row],[Total Weight -gram (if unknown, leave blank)]])</f>
        <v>1</v>
      </c>
      <c r="G75" s="17" t="str">
        <f>IF(InvActionRecd[[#This Row],[Quantity]]="1","packet","gram")</f>
        <v>packet</v>
      </c>
      <c r="H75" t="str">
        <f>IF(Master[[#This Row],[Inventory Type - Lookup Picker]]="","",Master[[#This Row],[Inventory Type - Lookup Picker]])</f>
        <v>SD</v>
      </c>
      <c r="I75" t="str">
        <f>IF(Master[[#This Row],[Cooperator (Donor) 1 -full record]]="","",Master[[#This Row],[Cooperator (Donor) 1 -full record]])</f>
        <v>Bureau of Land Management, SOS project</v>
      </c>
      <c r="J75" s="141"/>
    </row>
    <row r="76" spans="2:10" x14ac:dyDescent="0.25">
      <c r="B76" s="45" t="str">
        <f>Master[[#This Row],[Inventory Prefix]]&amp;" "&amp;Master[[#This Row],[Inventory Number]]&amp;" "&amp;Master[[#This Row],[Inventory Suffix]]&amp;" "&amp;Master[[#This Row],[Inventory Type - Lookup Picker]]</f>
        <v>W6   SD</v>
      </c>
      <c r="C76" t="str">
        <f t="shared" si="4"/>
        <v>Received</v>
      </c>
      <c r="D76" t="str">
        <f t="shared" si="5"/>
        <v>mm/dd/yyyy</v>
      </c>
      <c r="E76" s="77">
        <f>Master[[#This Row],[Received Date -received by site]]</f>
        <v>44466</v>
      </c>
      <c r="F76" s="17" t="str">
        <f>IF(Master[[#This Row],[Total Weight -gram (if unknown, leave blank)]]="","1",Master[[#This Row],[Total Weight -gram (if unknown, leave blank)]])</f>
        <v>1</v>
      </c>
      <c r="G76" s="17" t="str">
        <f>IF(InvActionRecd[[#This Row],[Quantity]]="1","packet","gram")</f>
        <v>packet</v>
      </c>
      <c r="H76" t="str">
        <f>IF(Master[[#This Row],[Inventory Type - Lookup Picker]]="","",Master[[#This Row],[Inventory Type - Lookup Picker]])</f>
        <v>SD</v>
      </c>
      <c r="I76" t="str">
        <f>IF(Master[[#This Row],[Cooperator (Donor) 1 -full record]]="","",Master[[#This Row],[Cooperator (Donor) 1 -full record]])</f>
        <v>Bureau of Land Management, SOS project</v>
      </c>
      <c r="J76" s="141"/>
    </row>
    <row r="77" spans="2:10" x14ac:dyDescent="0.25">
      <c r="B77" s="45" t="str">
        <f>Master[[#This Row],[Inventory Prefix]]&amp;" "&amp;Master[[#This Row],[Inventory Number]]&amp;" "&amp;Master[[#This Row],[Inventory Suffix]]&amp;" "&amp;Master[[#This Row],[Inventory Type - Lookup Picker]]</f>
        <v>W6   SD</v>
      </c>
      <c r="C77" t="str">
        <f t="shared" si="4"/>
        <v>Received</v>
      </c>
      <c r="D77" t="str">
        <f t="shared" si="5"/>
        <v>mm/dd/yyyy</v>
      </c>
      <c r="E77" s="77">
        <f>Master[[#This Row],[Received Date -received by site]]</f>
        <v>44466</v>
      </c>
      <c r="F77" s="17" t="str">
        <f>IF(Master[[#This Row],[Total Weight -gram (if unknown, leave blank)]]="","1",Master[[#This Row],[Total Weight -gram (if unknown, leave blank)]])</f>
        <v>1</v>
      </c>
      <c r="G77" s="17" t="str">
        <f>IF(InvActionRecd[[#This Row],[Quantity]]="1","packet","gram")</f>
        <v>packet</v>
      </c>
      <c r="H77" t="str">
        <f>IF(Master[[#This Row],[Inventory Type - Lookup Picker]]="","",Master[[#This Row],[Inventory Type - Lookup Picker]])</f>
        <v>SD</v>
      </c>
      <c r="I77" t="str">
        <f>IF(Master[[#This Row],[Cooperator (Donor) 1 -full record]]="","",Master[[#This Row],[Cooperator (Donor) 1 -full record]])</f>
        <v>Bureau of Land Management, SOS project</v>
      </c>
      <c r="J77" s="141"/>
    </row>
    <row r="78" spans="2:10" x14ac:dyDescent="0.25">
      <c r="B78" s="45" t="str">
        <f>Master[[#This Row],[Inventory Prefix]]&amp;" "&amp;Master[[#This Row],[Inventory Number]]&amp;" "&amp;Master[[#This Row],[Inventory Suffix]]&amp;" "&amp;Master[[#This Row],[Inventory Type - Lookup Picker]]</f>
        <v>W6   SD</v>
      </c>
      <c r="C78" t="str">
        <f t="shared" si="4"/>
        <v>Received</v>
      </c>
      <c r="D78" t="str">
        <f t="shared" si="5"/>
        <v>mm/dd/yyyy</v>
      </c>
      <c r="E78" s="77">
        <f>Master[[#This Row],[Received Date -received by site]]</f>
        <v>44466</v>
      </c>
      <c r="F78" s="17" t="str">
        <f>IF(Master[[#This Row],[Total Weight -gram (if unknown, leave blank)]]="","1",Master[[#This Row],[Total Weight -gram (if unknown, leave blank)]])</f>
        <v>1</v>
      </c>
      <c r="G78" s="17" t="str">
        <f>IF(InvActionRecd[[#This Row],[Quantity]]="1","packet","gram")</f>
        <v>packet</v>
      </c>
      <c r="H78" t="str">
        <f>IF(Master[[#This Row],[Inventory Type - Lookup Picker]]="","",Master[[#This Row],[Inventory Type - Lookup Picker]])</f>
        <v>SD</v>
      </c>
      <c r="I78" t="str">
        <f>IF(Master[[#This Row],[Cooperator (Donor) 1 -full record]]="","",Master[[#This Row],[Cooperator (Donor) 1 -full record]])</f>
        <v>Bureau of Land Management, SOS project</v>
      </c>
      <c r="J78" s="141"/>
    </row>
    <row r="79" spans="2:10" x14ac:dyDescent="0.25">
      <c r="B79" s="45" t="str">
        <f>Master[[#This Row],[Inventory Prefix]]&amp;" "&amp;Master[[#This Row],[Inventory Number]]&amp;" "&amp;Master[[#This Row],[Inventory Suffix]]&amp;" "&amp;Master[[#This Row],[Inventory Type - Lookup Picker]]</f>
        <v>W6   SD</v>
      </c>
      <c r="C79" t="str">
        <f t="shared" si="4"/>
        <v>Received</v>
      </c>
      <c r="D79" t="str">
        <f t="shared" si="5"/>
        <v>mm/dd/yyyy</v>
      </c>
      <c r="E79" s="77">
        <f>Master[[#This Row],[Received Date -received by site]]</f>
        <v>44466</v>
      </c>
      <c r="F79" s="17" t="str">
        <f>IF(Master[[#This Row],[Total Weight -gram (if unknown, leave blank)]]="","1",Master[[#This Row],[Total Weight -gram (if unknown, leave blank)]])</f>
        <v>1</v>
      </c>
      <c r="G79" s="17" t="str">
        <f>IF(InvActionRecd[[#This Row],[Quantity]]="1","packet","gram")</f>
        <v>packet</v>
      </c>
      <c r="H79" t="str">
        <f>IF(Master[[#This Row],[Inventory Type - Lookup Picker]]="","",Master[[#This Row],[Inventory Type - Lookup Picker]])</f>
        <v>SD</v>
      </c>
      <c r="I79" t="str">
        <f>IF(Master[[#This Row],[Cooperator (Donor) 1 -full record]]="","",Master[[#This Row],[Cooperator (Donor) 1 -full record]])</f>
        <v>Bureau of Land Management, SOS project</v>
      </c>
      <c r="J79" s="141"/>
    </row>
    <row r="80" spans="2:10" x14ac:dyDescent="0.25">
      <c r="B80" s="45" t="str">
        <f>Master[[#This Row],[Inventory Prefix]]&amp;" "&amp;Master[[#This Row],[Inventory Number]]&amp;" "&amp;Master[[#This Row],[Inventory Suffix]]&amp;" "&amp;Master[[#This Row],[Inventory Type - Lookup Picker]]</f>
        <v>W6   SD</v>
      </c>
      <c r="C80" t="str">
        <f t="shared" si="4"/>
        <v>Received</v>
      </c>
      <c r="D80" t="str">
        <f t="shared" si="5"/>
        <v>mm/dd/yyyy</v>
      </c>
      <c r="E80" s="77">
        <f>Master[[#This Row],[Received Date -received by site]]</f>
        <v>44466</v>
      </c>
      <c r="F80" s="17" t="str">
        <f>IF(Master[[#This Row],[Total Weight -gram (if unknown, leave blank)]]="","1",Master[[#This Row],[Total Weight -gram (if unknown, leave blank)]])</f>
        <v>1</v>
      </c>
      <c r="G80" s="17" t="str">
        <f>IF(InvActionRecd[[#This Row],[Quantity]]="1","packet","gram")</f>
        <v>packet</v>
      </c>
      <c r="H80" t="str">
        <f>IF(Master[[#This Row],[Inventory Type - Lookup Picker]]="","",Master[[#This Row],[Inventory Type - Lookup Picker]])</f>
        <v>SD</v>
      </c>
      <c r="I80" t="str">
        <f>IF(Master[[#This Row],[Cooperator (Donor) 1 -full record]]="","",Master[[#This Row],[Cooperator (Donor) 1 -full record]])</f>
        <v>Bureau of Land Management, SOS project</v>
      </c>
      <c r="J80" s="141"/>
    </row>
    <row r="81" spans="2:10" x14ac:dyDescent="0.25">
      <c r="B81" s="45" t="str">
        <f>Master[[#This Row],[Inventory Prefix]]&amp;" "&amp;Master[[#This Row],[Inventory Number]]&amp;" "&amp;Master[[#This Row],[Inventory Suffix]]&amp;" "&amp;Master[[#This Row],[Inventory Type - Lookup Picker]]</f>
        <v>W6   SD</v>
      </c>
      <c r="C81" t="str">
        <f t="shared" si="4"/>
        <v>Received</v>
      </c>
      <c r="D81" t="str">
        <f t="shared" si="5"/>
        <v>mm/dd/yyyy</v>
      </c>
      <c r="E81" s="77">
        <f>Master[[#This Row],[Received Date -received by site]]</f>
        <v>44466</v>
      </c>
      <c r="F81" s="17" t="str">
        <f>IF(Master[[#This Row],[Total Weight -gram (if unknown, leave blank)]]="","1",Master[[#This Row],[Total Weight -gram (if unknown, leave blank)]])</f>
        <v>1</v>
      </c>
      <c r="G81" s="17" t="str">
        <f>IF(InvActionRecd[[#This Row],[Quantity]]="1","packet","gram")</f>
        <v>packet</v>
      </c>
      <c r="H81" t="str">
        <f>IF(Master[[#This Row],[Inventory Type - Lookup Picker]]="","",Master[[#This Row],[Inventory Type - Lookup Picker]])</f>
        <v>SD</v>
      </c>
      <c r="I81" t="str">
        <f>IF(Master[[#This Row],[Cooperator (Donor) 1 -full record]]="","",Master[[#This Row],[Cooperator (Donor) 1 -full record]])</f>
        <v>Bureau of Land Management, SOS project</v>
      </c>
      <c r="J81" s="141"/>
    </row>
    <row r="82" spans="2:10" x14ac:dyDescent="0.25">
      <c r="B82" s="45" t="str">
        <f>Master[[#This Row],[Inventory Prefix]]&amp;" "&amp;Master[[#This Row],[Inventory Number]]&amp;" "&amp;Master[[#This Row],[Inventory Suffix]]&amp;" "&amp;Master[[#This Row],[Inventory Type - Lookup Picker]]</f>
        <v>W6   SD</v>
      </c>
      <c r="C82" t="str">
        <f t="shared" si="4"/>
        <v>Received</v>
      </c>
      <c r="D82" t="str">
        <f t="shared" si="5"/>
        <v>mm/dd/yyyy</v>
      </c>
      <c r="E82" s="77">
        <f>Master[[#This Row],[Received Date -received by site]]</f>
        <v>44466</v>
      </c>
      <c r="F82" s="17" t="str">
        <f>IF(Master[[#This Row],[Total Weight -gram (if unknown, leave blank)]]="","1",Master[[#This Row],[Total Weight -gram (if unknown, leave blank)]])</f>
        <v>1</v>
      </c>
      <c r="G82" s="17" t="str">
        <f>IF(InvActionRecd[[#This Row],[Quantity]]="1","packet","gram")</f>
        <v>packet</v>
      </c>
      <c r="H82" t="str">
        <f>IF(Master[[#This Row],[Inventory Type - Lookup Picker]]="","",Master[[#This Row],[Inventory Type - Lookup Picker]])</f>
        <v>SD</v>
      </c>
      <c r="I82" t="str">
        <f>IF(Master[[#This Row],[Cooperator (Donor) 1 -full record]]="","",Master[[#This Row],[Cooperator (Donor) 1 -full record]])</f>
        <v>Bureau of Land Management, SOS project</v>
      </c>
      <c r="J82" s="141"/>
    </row>
    <row r="83" spans="2:10" x14ac:dyDescent="0.25">
      <c r="B83" s="45" t="str">
        <f>Master[[#This Row],[Inventory Prefix]]&amp;" "&amp;Master[[#This Row],[Inventory Number]]&amp;" "&amp;Master[[#This Row],[Inventory Suffix]]&amp;" "&amp;Master[[#This Row],[Inventory Type - Lookup Picker]]</f>
        <v>W6   SD</v>
      </c>
      <c r="C83" t="str">
        <f t="shared" si="4"/>
        <v>Received</v>
      </c>
      <c r="D83" t="str">
        <f t="shared" si="5"/>
        <v>mm/dd/yyyy</v>
      </c>
      <c r="E83" s="77">
        <f>Master[[#This Row],[Received Date -received by site]]</f>
        <v>44466</v>
      </c>
      <c r="F83" s="17" t="str">
        <f>IF(Master[[#This Row],[Total Weight -gram (if unknown, leave blank)]]="","1",Master[[#This Row],[Total Weight -gram (if unknown, leave blank)]])</f>
        <v>1</v>
      </c>
      <c r="G83" s="17" t="str">
        <f>IF(InvActionRecd[[#This Row],[Quantity]]="1","packet","gram")</f>
        <v>packet</v>
      </c>
      <c r="H83" t="str">
        <f>IF(Master[[#This Row],[Inventory Type - Lookup Picker]]="","",Master[[#This Row],[Inventory Type - Lookup Picker]])</f>
        <v>SD</v>
      </c>
      <c r="I83" t="str">
        <f>IF(Master[[#This Row],[Cooperator (Donor) 1 -full record]]="","",Master[[#This Row],[Cooperator (Donor) 1 -full record]])</f>
        <v>Bureau of Land Management, SOS project</v>
      </c>
      <c r="J83" s="141"/>
    </row>
    <row r="84" spans="2:10" x14ac:dyDescent="0.25">
      <c r="B84" s="45" t="str">
        <f>Master[[#This Row],[Inventory Prefix]]&amp;" "&amp;Master[[#This Row],[Inventory Number]]&amp;" "&amp;Master[[#This Row],[Inventory Suffix]]&amp;" "&amp;Master[[#This Row],[Inventory Type - Lookup Picker]]</f>
        <v>W6   SD</v>
      </c>
      <c r="C84" t="str">
        <f t="shared" si="4"/>
        <v>Received</v>
      </c>
      <c r="D84" t="str">
        <f t="shared" si="5"/>
        <v>mm/dd/yyyy</v>
      </c>
      <c r="E84" s="77">
        <f>Master[[#This Row],[Received Date -received by site]]</f>
        <v>44466</v>
      </c>
      <c r="F84" s="17" t="str">
        <f>IF(Master[[#This Row],[Total Weight -gram (if unknown, leave blank)]]="","1",Master[[#This Row],[Total Weight -gram (if unknown, leave blank)]])</f>
        <v>1</v>
      </c>
      <c r="G84" s="17" t="str">
        <f>IF(InvActionRecd[[#This Row],[Quantity]]="1","packet","gram")</f>
        <v>packet</v>
      </c>
      <c r="H84" t="str">
        <f>IF(Master[[#This Row],[Inventory Type - Lookup Picker]]="","",Master[[#This Row],[Inventory Type - Lookup Picker]])</f>
        <v>SD</v>
      </c>
      <c r="I84" t="str">
        <f>IF(Master[[#This Row],[Cooperator (Donor) 1 -full record]]="","",Master[[#This Row],[Cooperator (Donor) 1 -full record]])</f>
        <v>Bureau of Land Management, SOS project</v>
      </c>
      <c r="J84" s="141"/>
    </row>
    <row r="85" spans="2:10" x14ac:dyDescent="0.25">
      <c r="B85" s="45" t="str">
        <f>Master[[#This Row],[Inventory Prefix]]&amp;" "&amp;Master[[#This Row],[Inventory Number]]&amp;" "&amp;Master[[#This Row],[Inventory Suffix]]&amp;" "&amp;Master[[#This Row],[Inventory Type - Lookup Picker]]</f>
        <v>W6   SD</v>
      </c>
      <c r="C85" t="str">
        <f t="shared" si="4"/>
        <v>Received</v>
      </c>
      <c r="D85" t="str">
        <f t="shared" si="5"/>
        <v>mm/dd/yyyy</v>
      </c>
      <c r="E85" s="77">
        <f>Master[[#This Row],[Received Date -received by site]]</f>
        <v>44466</v>
      </c>
      <c r="F85" s="17" t="str">
        <f>IF(Master[[#This Row],[Total Weight -gram (if unknown, leave blank)]]="","1",Master[[#This Row],[Total Weight -gram (if unknown, leave blank)]])</f>
        <v>1</v>
      </c>
      <c r="G85" s="17" t="str">
        <f>IF(InvActionRecd[[#This Row],[Quantity]]="1","packet","gram")</f>
        <v>packet</v>
      </c>
      <c r="H85" t="str">
        <f>IF(Master[[#This Row],[Inventory Type - Lookup Picker]]="","",Master[[#This Row],[Inventory Type - Lookup Picker]])</f>
        <v>SD</v>
      </c>
      <c r="I85" t="str">
        <f>IF(Master[[#This Row],[Cooperator (Donor) 1 -full record]]="","",Master[[#This Row],[Cooperator (Donor) 1 -full record]])</f>
        <v>Bureau of Land Management, SOS project</v>
      </c>
      <c r="J85" s="141"/>
    </row>
    <row r="86" spans="2:10" x14ac:dyDescent="0.25">
      <c r="B86" s="45" t="str">
        <f>Master[[#This Row],[Inventory Prefix]]&amp;" "&amp;Master[[#This Row],[Inventory Number]]&amp;" "&amp;Master[[#This Row],[Inventory Suffix]]&amp;" "&amp;Master[[#This Row],[Inventory Type - Lookup Picker]]</f>
        <v>W6   SD</v>
      </c>
      <c r="C86" t="str">
        <f t="shared" ref="C86:C117" si="6">"Received"</f>
        <v>Received</v>
      </c>
      <c r="D86" t="str">
        <f t="shared" ref="D86:D117" si="7">"mm/dd/yyyy"</f>
        <v>mm/dd/yyyy</v>
      </c>
      <c r="E86" s="77">
        <f>Master[[#This Row],[Received Date -received by site]]</f>
        <v>44466</v>
      </c>
      <c r="F86" s="17" t="str">
        <f>IF(Master[[#This Row],[Total Weight -gram (if unknown, leave blank)]]="","1",Master[[#This Row],[Total Weight -gram (if unknown, leave blank)]])</f>
        <v>1</v>
      </c>
      <c r="G86" s="17" t="str">
        <f>IF(InvActionRecd[[#This Row],[Quantity]]="1","packet","gram")</f>
        <v>packet</v>
      </c>
      <c r="H86" t="str">
        <f>IF(Master[[#This Row],[Inventory Type - Lookup Picker]]="","",Master[[#This Row],[Inventory Type - Lookup Picker]])</f>
        <v>SD</v>
      </c>
      <c r="I86" t="str">
        <f>IF(Master[[#This Row],[Cooperator (Donor) 1 -full record]]="","",Master[[#This Row],[Cooperator (Donor) 1 -full record]])</f>
        <v>Bureau of Land Management, SOS project</v>
      </c>
      <c r="J86" s="141"/>
    </row>
    <row r="87" spans="2:10" x14ac:dyDescent="0.25">
      <c r="B87" s="45" t="str">
        <f>Master[[#This Row],[Inventory Prefix]]&amp;" "&amp;Master[[#This Row],[Inventory Number]]&amp;" "&amp;Master[[#This Row],[Inventory Suffix]]&amp;" "&amp;Master[[#This Row],[Inventory Type - Lookup Picker]]</f>
        <v>W6   SD</v>
      </c>
      <c r="C87" t="str">
        <f t="shared" si="6"/>
        <v>Received</v>
      </c>
      <c r="D87" t="str">
        <f t="shared" si="7"/>
        <v>mm/dd/yyyy</v>
      </c>
      <c r="E87" s="77">
        <f>Master[[#This Row],[Received Date -received by site]]</f>
        <v>44466</v>
      </c>
      <c r="F87" s="17" t="str">
        <f>IF(Master[[#This Row],[Total Weight -gram (if unknown, leave blank)]]="","1",Master[[#This Row],[Total Weight -gram (if unknown, leave blank)]])</f>
        <v>1</v>
      </c>
      <c r="G87" s="17" t="str">
        <f>IF(InvActionRecd[[#This Row],[Quantity]]="1","packet","gram")</f>
        <v>packet</v>
      </c>
      <c r="H87" t="str">
        <f>IF(Master[[#This Row],[Inventory Type - Lookup Picker]]="","",Master[[#This Row],[Inventory Type - Lookup Picker]])</f>
        <v>SD</v>
      </c>
      <c r="I87" t="str">
        <f>IF(Master[[#This Row],[Cooperator (Donor) 1 -full record]]="","",Master[[#This Row],[Cooperator (Donor) 1 -full record]])</f>
        <v>Bureau of Land Management, SOS project</v>
      </c>
      <c r="J87" s="141"/>
    </row>
    <row r="88" spans="2:10" x14ac:dyDescent="0.25">
      <c r="B88" s="45" t="str">
        <f>Master[[#This Row],[Inventory Prefix]]&amp;" "&amp;Master[[#This Row],[Inventory Number]]&amp;" "&amp;Master[[#This Row],[Inventory Suffix]]&amp;" "&amp;Master[[#This Row],[Inventory Type - Lookup Picker]]</f>
        <v>W6   SD</v>
      </c>
      <c r="C88" t="str">
        <f t="shared" si="6"/>
        <v>Received</v>
      </c>
      <c r="D88" t="str">
        <f t="shared" si="7"/>
        <v>mm/dd/yyyy</v>
      </c>
      <c r="E88" s="77">
        <f>Master[[#This Row],[Received Date -received by site]]</f>
        <v>44466</v>
      </c>
      <c r="F88" s="17" t="str">
        <f>IF(Master[[#This Row],[Total Weight -gram (if unknown, leave blank)]]="","1",Master[[#This Row],[Total Weight -gram (if unknown, leave blank)]])</f>
        <v>1</v>
      </c>
      <c r="G88" s="17" t="str">
        <f>IF(InvActionRecd[[#This Row],[Quantity]]="1","packet","gram")</f>
        <v>packet</v>
      </c>
      <c r="H88" t="str">
        <f>IF(Master[[#This Row],[Inventory Type - Lookup Picker]]="","",Master[[#This Row],[Inventory Type - Lookup Picker]])</f>
        <v>SD</v>
      </c>
      <c r="I88" t="str">
        <f>IF(Master[[#This Row],[Cooperator (Donor) 1 -full record]]="","",Master[[#This Row],[Cooperator (Donor) 1 -full record]])</f>
        <v>Bureau of Land Management, SOS project</v>
      </c>
      <c r="J88" s="141"/>
    </row>
    <row r="89" spans="2:10" x14ac:dyDescent="0.25">
      <c r="B89" s="45" t="str">
        <f>Master[[#This Row],[Inventory Prefix]]&amp;" "&amp;Master[[#This Row],[Inventory Number]]&amp;" "&amp;Master[[#This Row],[Inventory Suffix]]&amp;" "&amp;Master[[#This Row],[Inventory Type - Lookup Picker]]</f>
        <v>W6   SD</v>
      </c>
      <c r="C89" t="str">
        <f t="shared" si="6"/>
        <v>Received</v>
      </c>
      <c r="D89" t="str">
        <f t="shared" si="7"/>
        <v>mm/dd/yyyy</v>
      </c>
      <c r="E89" s="77">
        <f>Master[[#This Row],[Received Date -received by site]]</f>
        <v>44466</v>
      </c>
      <c r="F89" s="17" t="str">
        <f>IF(Master[[#This Row],[Total Weight -gram (if unknown, leave blank)]]="","1",Master[[#This Row],[Total Weight -gram (if unknown, leave blank)]])</f>
        <v>1</v>
      </c>
      <c r="G89" s="17" t="str">
        <f>IF(InvActionRecd[[#This Row],[Quantity]]="1","packet","gram")</f>
        <v>packet</v>
      </c>
      <c r="H89" t="str">
        <f>IF(Master[[#This Row],[Inventory Type - Lookup Picker]]="","",Master[[#This Row],[Inventory Type - Lookup Picker]])</f>
        <v>SD</v>
      </c>
      <c r="I89" t="str">
        <f>IF(Master[[#This Row],[Cooperator (Donor) 1 -full record]]="","",Master[[#This Row],[Cooperator (Donor) 1 -full record]])</f>
        <v>Bureau of Land Management, SOS project</v>
      </c>
      <c r="J89" s="141"/>
    </row>
    <row r="90" spans="2:10" x14ac:dyDescent="0.25">
      <c r="B90" s="45" t="str">
        <f>Master[[#This Row],[Inventory Prefix]]&amp;" "&amp;Master[[#This Row],[Inventory Number]]&amp;" "&amp;Master[[#This Row],[Inventory Suffix]]&amp;" "&amp;Master[[#This Row],[Inventory Type - Lookup Picker]]</f>
        <v>W6   SD</v>
      </c>
      <c r="C90" t="str">
        <f t="shared" si="6"/>
        <v>Received</v>
      </c>
      <c r="D90" t="str">
        <f t="shared" si="7"/>
        <v>mm/dd/yyyy</v>
      </c>
      <c r="E90" s="77">
        <f>Master[[#This Row],[Received Date -received by site]]</f>
        <v>44466</v>
      </c>
      <c r="F90" s="17" t="str">
        <f>IF(Master[[#This Row],[Total Weight -gram (if unknown, leave blank)]]="","1",Master[[#This Row],[Total Weight -gram (if unknown, leave blank)]])</f>
        <v>1</v>
      </c>
      <c r="G90" s="17" t="str">
        <f>IF(InvActionRecd[[#This Row],[Quantity]]="1","packet","gram")</f>
        <v>packet</v>
      </c>
      <c r="H90" t="str">
        <f>IF(Master[[#This Row],[Inventory Type - Lookup Picker]]="","",Master[[#This Row],[Inventory Type - Lookup Picker]])</f>
        <v>SD</v>
      </c>
      <c r="I90" t="str">
        <f>IF(Master[[#This Row],[Cooperator (Donor) 1 -full record]]="","",Master[[#This Row],[Cooperator (Donor) 1 -full record]])</f>
        <v>Bureau of Land Management, SOS project</v>
      </c>
      <c r="J90" s="141"/>
    </row>
    <row r="91" spans="2:10" x14ac:dyDescent="0.25">
      <c r="B91" s="45" t="str">
        <f>Master[[#This Row],[Inventory Prefix]]&amp;" "&amp;Master[[#This Row],[Inventory Number]]&amp;" "&amp;Master[[#This Row],[Inventory Suffix]]&amp;" "&amp;Master[[#This Row],[Inventory Type - Lookup Picker]]</f>
        <v>W6   SD</v>
      </c>
      <c r="C91" t="str">
        <f t="shared" si="6"/>
        <v>Received</v>
      </c>
      <c r="D91" t="str">
        <f t="shared" si="7"/>
        <v>mm/dd/yyyy</v>
      </c>
      <c r="E91" s="77">
        <f>Master[[#This Row],[Received Date -received by site]]</f>
        <v>44466</v>
      </c>
      <c r="F91" s="17" t="str">
        <f>IF(Master[[#This Row],[Total Weight -gram (if unknown, leave blank)]]="","1",Master[[#This Row],[Total Weight -gram (if unknown, leave blank)]])</f>
        <v>1</v>
      </c>
      <c r="G91" s="17" t="str">
        <f>IF(InvActionRecd[[#This Row],[Quantity]]="1","packet","gram")</f>
        <v>packet</v>
      </c>
      <c r="H91" t="str">
        <f>IF(Master[[#This Row],[Inventory Type - Lookup Picker]]="","",Master[[#This Row],[Inventory Type - Lookup Picker]])</f>
        <v>SD</v>
      </c>
      <c r="I91" t="str">
        <f>IF(Master[[#This Row],[Cooperator (Donor) 1 -full record]]="","",Master[[#This Row],[Cooperator (Donor) 1 -full record]])</f>
        <v>Bureau of Land Management, SOS project</v>
      </c>
      <c r="J91" s="141"/>
    </row>
    <row r="92" spans="2:10" x14ac:dyDescent="0.25">
      <c r="B92" s="45" t="str">
        <f>Master[[#This Row],[Inventory Prefix]]&amp;" "&amp;Master[[#This Row],[Inventory Number]]&amp;" "&amp;Master[[#This Row],[Inventory Suffix]]&amp;" "&amp;Master[[#This Row],[Inventory Type - Lookup Picker]]</f>
        <v>W6   SD</v>
      </c>
      <c r="C92" t="str">
        <f t="shared" si="6"/>
        <v>Received</v>
      </c>
      <c r="D92" t="str">
        <f t="shared" si="7"/>
        <v>mm/dd/yyyy</v>
      </c>
      <c r="E92" s="77">
        <f>Master[[#This Row],[Received Date -received by site]]</f>
        <v>44466</v>
      </c>
      <c r="F92" s="17" t="str">
        <f>IF(Master[[#This Row],[Total Weight -gram (if unknown, leave blank)]]="","1",Master[[#This Row],[Total Weight -gram (if unknown, leave blank)]])</f>
        <v>1</v>
      </c>
      <c r="G92" s="17" t="str">
        <f>IF(InvActionRecd[[#This Row],[Quantity]]="1","packet","gram")</f>
        <v>packet</v>
      </c>
      <c r="H92" t="str">
        <f>IF(Master[[#This Row],[Inventory Type - Lookup Picker]]="","",Master[[#This Row],[Inventory Type - Lookup Picker]])</f>
        <v>SD</v>
      </c>
      <c r="I92" t="str">
        <f>IF(Master[[#This Row],[Cooperator (Donor) 1 -full record]]="","",Master[[#This Row],[Cooperator (Donor) 1 -full record]])</f>
        <v>Bureau of Land Management, SOS project</v>
      </c>
      <c r="J92" s="141"/>
    </row>
    <row r="93" spans="2:10" x14ac:dyDescent="0.25">
      <c r="B93" s="45" t="str">
        <f>Master[[#This Row],[Inventory Prefix]]&amp;" "&amp;Master[[#This Row],[Inventory Number]]&amp;" "&amp;Master[[#This Row],[Inventory Suffix]]&amp;" "&amp;Master[[#This Row],[Inventory Type - Lookup Picker]]</f>
        <v>W6   SD</v>
      </c>
      <c r="C93" t="str">
        <f t="shared" si="6"/>
        <v>Received</v>
      </c>
      <c r="D93" t="str">
        <f t="shared" si="7"/>
        <v>mm/dd/yyyy</v>
      </c>
      <c r="E93" s="77">
        <f>Master[[#This Row],[Received Date -received by site]]</f>
        <v>44466</v>
      </c>
      <c r="F93" s="17" t="str">
        <f>IF(Master[[#This Row],[Total Weight -gram (if unknown, leave blank)]]="","1",Master[[#This Row],[Total Weight -gram (if unknown, leave blank)]])</f>
        <v>1</v>
      </c>
      <c r="G93" s="17" t="str">
        <f>IF(InvActionRecd[[#This Row],[Quantity]]="1","packet","gram")</f>
        <v>packet</v>
      </c>
      <c r="H93" t="str">
        <f>IF(Master[[#This Row],[Inventory Type - Lookup Picker]]="","",Master[[#This Row],[Inventory Type - Lookup Picker]])</f>
        <v>SD</v>
      </c>
      <c r="I93" t="str">
        <f>IF(Master[[#This Row],[Cooperator (Donor) 1 -full record]]="","",Master[[#This Row],[Cooperator (Donor) 1 -full record]])</f>
        <v>Bureau of Land Management, SOS project</v>
      </c>
      <c r="J93" s="141"/>
    </row>
    <row r="94" spans="2:10" x14ac:dyDescent="0.25">
      <c r="B94" s="45" t="str">
        <f>Master[[#This Row],[Inventory Prefix]]&amp;" "&amp;Master[[#This Row],[Inventory Number]]&amp;" "&amp;Master[[#This Row],[Inventory Suffix]]&amp;" "&amp;Master[[#This Row],[Inventory Type - Lookup Picker]]</f>
        <v>W6   SD</v>
      </c>
      <c r="C94" t="str">
        <f t="shared" si="6"/>
        <v>Received</v>
      </c>
      <c r="D94" t="str">
        <f t="shared" si="7"/>
        <v>mm/dd/yyyy</v>
      </c>
      <c r="E94" s="77">
        <f>Master[[#This Row],[Received Date -received by site]]</f>
        <v>44466</v>
      </c>
      <c r="F94" s="17" t="str">
        <f>IF(Master[[#This Row],[Total Weight -gram (if unknown, leave blank)]]="","1",Master[[#This Row],[Total Weight -gram (if unknown, leave blank)]])</f>
        <v>1</v>
      </c>
      <c r="G94" s="17" t="str">
        <f>IF(InvActionRecd[[#This Row],[Quantity]]="1","packet","gram")</f>
        <v>packet</v>
      </c>
      <c r="H94" t="str">
        <f>IF(Master[[#This Row],[Inventory Type - Lookup Picker]]="","",Master[[#This Row],[Inventory Type - Lookup Picker]])</f>
        <v>SD</v>
      </c>
      <c r="I94" t="str">
        <f>IF(Master[[#This Row],[Cooperator (Donor) 1 -full record]]="","",Master[[#This Row],[Cooperator (Donor) 1 -full record]])</f>
        <v>Bureau of Land Management, SOS project</v>
      </c>
      <c r="J94" s="141"/>
    </row>
    <row r="95" spans="2:10" x14ac:dyDescent="0.25">
      <c r="B95" s="45" t="str">
        <f>Master[[#This Row],[Inventory Prefix]]&amp;" "&amp;Master[[#This Row],[Inventory Number]]&amp;" "&amp;Master[[#This Row],[Inventory Suffix]]&amp;" "&amp;Master[[#This Row],[Inventory Type - Lookup Picker]]</f>
        <v>W6   SD</v>
      </c>
      <c r="C95" t="str">
        <f t="shared" si="6"/>
        <v>Received</v>
      </c>
      <c r="D95" t="str">
        <f t="shared" si="7"/>
        <v>mm/dd/yyyy</v>
      </c>
      <c r="E95" s="77">
        <f>Master[[#This Row],[Received Date -received by site]]</f>
        <v>44466</v>
      </c>
      <c r="F95" s="17" t="str">
        <f>IF(Master[[#This Row],[Total Weight -gram (if unknown, leave blank)]]="","1",Master[[#This Row],[Total Weight -gram (if unknown, leave blank)]])</f>
        <v>1</v>
      </c>
      <c r="G95" s="17" t="str">
        <f>IF(InvActionRecd[[#This Row],[Quantity]]="1","packet","gram")</f>
        <v>packet</v>
      </c>
      <c r="H95" t="str">
        <f>IF(Master[[#This Row],[Inventory Type - Lookup Picker]]="","",Master[[#This Row],[Inventory Type - Lookup Picker]])</f>
        <v>SD</v>
      </c>
      <c r="I95" t="str">
        <f>IF(Master[[#This Row],[Cooperator (Donor) 1 -full record]]="","",Master[[#This Row],[Cooperator (Donor) 1 -full record]])</f>
        <v>Bureau of Land Management, SOS project</v>
      </c>
      <c r="J95" s="141"/>
    </row>
    <row r="96" spans="2:10" x14ac:dyDescent="0.25">
      <c r="B96" s="45" t="str">
        <f>Master[[#This Row],[Inventory Prefix]]&amp;" "&amp;Master[[#This Row],[Inventory Number]]&amp;" "&amp;Master[[#This Row],[Inventory Suffix]]&amp;" "&amp;Master[[#This Row],[Inventory Type - Lookup Picker]]</f>
        <v>W6   SD</v>
      </c>
      <c r="C96" t="str">
        <f t="shared" si="6"/>
        <v>Received</v>
      </c>
      <c r="D96" t="str">
        <f t="shared" si="7"/>
        <v>mm/dd/yyyy</v>
      </c>
      <c r="E96" s="77">
        <f>Master[[#This Row],[Received Date -received by site]]</f>
        <v>44466</v>
      </c>
      <c r="F96" s="17" t="str">
        <f>IF(Master[[#This Row],[Total Weight -gram (if unknown, leave blank)]]="","1",Master[[#This Row],[Total Weight -gram (if unknown, leave blank)]])</f>
        <v>1</v>
      </c>
      <c r="G96" s="17" t="str">
        <f>IF(InvActionRecd[[#This Row],[Quantity]]="1","packet","gram")</f>
        <v>packet</v>
      </c>
      <c r="H96" t="str">
        <f>IF(Master[[#This Row],[Inventory Type - Lookup Picker]]="","",Master[[#This Row],[Inventory Type - Lookup Picker]])</f>
        <v>SD</v>
      </c>
      <c r="I96" t="str">
        <f>IF(Master[[#This Row],[Cooperator (Donor) 1 -full record]]="","",Master[[#This Row],[Cooperator (Donor) 1 -full record]])</f>
        <v>Bureau of Land Management, SOS project</v>
      </c>
      <c r="J96" s="141"/>
    </row>
    <row r="97" spans="2:10" x14ac:dyDescent="0.25">
      <c r="B97" s="45" t="str">
        <f>Master[[#This Row],[Inventory Prefix]]&amp;" "&amp;Master[[#This Row],[Inventory Number]]&amp;" "&amp;Master[[#This Row],[Inventory Suffix]]&amp;" "&amp;Master[[#This Row],[Inventory Type - Lookup Picker]]</f>
        <v>W6   SD</v>
      </c>
      <c r="C97" t="str">
        <f t="shared" si="6"/>
        <v>Received</v>
      </c>
      <c r="D97" t="str">
        <f t="shared" si="7"/>
        <v>mm/dd/yyyy</v>
      </c>
      <c r="E97" s="77">
        <f>Master[[#This Row],[Received Date -received by site]]</f>
        <v>44466</v>
      </c>
      <c r="F97" s="17" t="str">
        <f>IF(Master[[#This Row],[Total Weight -gram (if unknown, leave blank)]]="","1",Master[[#This Row],[Total Weight -gram (if unknown, leave blank)]])</f>
        <v>1</v>
      </c>
      <c r="G97" s="17" t="str">
        <f>IF(InvActionRecd[[#This Row],[Quantity]]="1","packet","gram")</f>
        <v>packet</v>
      </c>
      <c r="H97" t="str">
        <f>IF(Master[[#This Row],[Inventory Type - Lookup Picker]]="","",Master[[#This Row],[Inventory Type - Lookup Picker]])</f>
        <v>SD</v>
      </c>
      <c r="I97" t="str">
        <f>IF(Master[[#This Row],[Cooperator (Donor) 1 -full record]]="","",Master[[#This Row],[Cooperator (Donor) 1 -full record]])</f>
        <v>Bureau of Land Management, SOS project</v>
      </c>
      <c r="J97" s="141"/>
    </row>
    <row r="98" spans="2:10" x14ac:dyDescent="0.25">
      <c r="B98" s="45" t="str">
        <f>Master[[#This Row],[Inventory Prefix]]&amp;" "&amp;Master[[#This Row],[Inventory Number]]&amp;" "&amp;Master[[#This Row],[Inventory Suffix]]&amp;" "&amp;Master[[#This Row],[Inventory Type - Lookup Picker]]</f>
        <v>W6   SD</v>
      </c>
      <c r="C98" t="str">
        <f t="shared" si="6"/>
        <v>Received</v>
      </c>
      <c r="D98" t="str">
        <f t="shared" si="7"/>
        <v>mm/dd/yyyy</v>
      </c>
      <c r="E98" s="77">
        <f>Master[[#This Row],[Received Date -received by site]]</f>
        <v>44466</v>
      </c>
      <c r="F98" s="17" t="str">
        <f>IF(Master[[#This Row],[Total Weight -gram (if unknown, leave blank)]]="","1",Master[[#This Row],[Total Weight -gram (if unknown, leave blank)]])</f>
        <v>1</v>
      </c>
      <c r="G98" s="17" t="str">
        <f>IF(InvActionRecd[[#This Row],[Quantity]]="1","packet","gram")</f>
        <v>packet</v>
      </c>
      <c r="H98" t="str">
        <f>IF(Master[[#This Row],[Inventory Type - Lookup Picker]]="","",Master[[#This Row],[Inventory Type - Lookup Picker]])</f>
        <v>SD</v>
      </c>
      <c r="I98" t="str">
        <f>IF(Master[[#This Row],[Cooperator (Donor) 1 -full record]]="","",Master[[#This Row],[Cooperator (Donor) 1 -full record]])</f>
        <v>Bureau of Land Management, SOS project</v>
      </c>
      <c r="J98" s="141"/>
    </row>
    <row r="99" spans="2:10" x14ac:dyDescent="0.25">
      <c r="B99" s="45" t="str">
        <f>Master[[#This Row],[Inventory Prefix]]&amp;" "&amp;Master[[#This Row],[Inventory Number]]&amp;" "&amp;Master[[#This Row],[Inventory Suffix]]&amp;" "&amp;Master[[#This Row],[Inventory Type - Lookup Picker]]</f>
        <v>W6   SD</v>
      </c>
      <c r="C99" t="str">
        <f t="shared" si="6"/>
        <v>Received</v>
      </c>
      <c r="D99" t="str">
        <f t="shared" si="7"/>
        <v>mm/dd/yyyy</v>
      </c>
      <c r="E99" s="77">
        <f>Master[[#This Row],[Received Date -received by site]]</f>
        <v>44466</v>
      </c>
      <c r="F99" s="17" t="str">
        <f>IF(Master[[#This Row],[Total Weight -gram (if unknown, leave blank)]]="","1",Master[[#This Row],[Total Weight -gram (if unknown, leave blank)]])</f>
        <v>1</v>
      </c>
      <c r="G99" s="17" t="str">
        <f>IF(InvActionRecd[[#This Row],[Quantity]]="1","packet","gram")</f>
        <v>packet</v>
      </c>
      <c r="H99" t="str">
        <f>IF(Master[[#This Row],[Inventory Type - Lookup Picker]]="","",Master[[#This Row],[Inventory Type - Lookup Picker]])</f>
        <v>SD</v>
      </c>
      <c r="I99" t="str">
        <f>IF(Master[[#This Row],[Cooperator (Donor) 1 -full record]]="","",Master[[#This Row],[Cooperator (Donor) 1 -full record]])</f>
        <v>Bureau of Land Management, SOS project</v>
      </c>
      <c r="J99" s="141"/>
    </row>
    <row r="100" spans="2:10" x14ac:dyDescent="0.25">
      <c r="B100" s="45" t="str">
        <f>Master[[#This Row],[Inventory Prefix]]&amp;" "&amp;Master[[#This Row],[Inventory Number]]&amp;" "&amp;Master[[#This Row],[Inventory Suffix]]&amp;" "&amp;Master[[#This Row],[Inventory Type - Lookup Picker]]</f>
        <v>W6   SD</v>
      </c>
      <c r="C100" t="str">
        <f t="shared" si="6"/>
        <v>Received</v>
      </c>
      <c r="D100" t="str">
        <f t="shared" si="7"/>
        <v>mm/dd/yyyy</v>
      </c>
      <c r="E100" s="77">
        <f>Master[[#This Row],[Received Date -received by site]]</f>
        <v>44466</v>
      </c>
      <c r="F100" s="17" t="str">
        <f>IF(Master[[#This Row],[Total Weight -gram (if unknown, leave blank)]]="","1",Master[[#This Row],[Total Weight -gram (if unknown, leave blank)]])</f>
        <v>1</v>
      </c>
      <c r="G100" s="17" t="str">
        <f>IF(InvActionRecd[[#This Row],[Quantity]]="1","packet","gram")</f>
        <v>packet</v>
      </c>
      <c r="H100" t="str">
        <f>IF(Master[[#This Row],[Inventory Type - Lookup Picker]]="","",Master[[#This Row],[Inventory Type - Lookup Picker]])</f>
        <v>SD</v>
      </c>
      <c r="I100" t="str">
        <f>IF(Master[[#This Row],[Cooperator (Donor) 1 -full record]]="","",Master[[#This Row],[Cooperator (Donor) 1 -full record]])</f>
        <v>Bureau of Land Management, SOS project</v>
      </c>
      <c r="J100" s="141"/>
    </row>
    <row r="101" spans="2:10" x14ac:dyDescent="0.25">
      <c r="B101" s="45" t="str">
        <f>Master[[#This Row],[Inventory Prefix]]&amp;" "&amp;Master[[#This Row],[Inventory Number]]&amp;" "&amp;Master[[#This Row],[Inventory Suffix]]&amp;" "&amp;Master[[#This Row],[Inventory Type - Lookup Picker]]</f>
        <v>W6   SD</v>
      </c>
      <c r="C101" t="str">
        <f t="shared" si="6"/>
        <v>Received</v>
      </c>
      <c r="D101" t="str">
        <f t="shared" si="7"/>
        <v>mm/dd/yyyy</v>
      </c>
      <c r="E101" s="77">
        <f>Master[[#This Row],[Received Date -received by site]]</f>
        <v>44466</v>
      </c>
      <c r="F101" s="17" t="str">
        <f>IF(Master[[#This Row],[Total Weight -gram (if unknown, leave blank)]]="","1",Master[[#This Row],[Total Weight -gram (if unknown, leave blank)]])</f>
        <v>1</v>
      </c>
      <c r="G101" s="17" t="str">
        <f>IF(InvActionRecd[[#This Row],[Quantity]]="1","packet","gram")</f>
        <v>packet</v>
      </c>
      <c r="H101" t="str">
        <f>IF(Master[[#This Row],[Inventory Type - Lookup Picker]]="","",Master[[#This Row],[Inventory Type - Lookup Picker]])</f>
        <v>SD</v>
      </c>
      <c r="I101" t="str">
        <f>IF(Master[[#This Row],[Cooperator (Donor) 1 -full record]]="","",Master[[#This Row],[Cooperator (Donor) 1 -full record]])</f>
        <v>Bureau of Land Management, SOS project</v>
      </c>
      <c r="J101" s="141"/>
    </row>
    <row r="102" spans="2:10" x14ac:dyDescent="0.25">
      <c r="B102" s="45" t="str">
        <f>Master[[#This Row],[Inventory Prefix]]&amp;" "&amp;Master[[#This Row],[Inventory Number]]&amp;" "&amp;Master[[#This Row],[Inventory Suffix]]&amp;" "&amp;Master[[#This Row],[Inventory Type - Lookup Picker]]</f>
        <v>W6   SD</v>
      </c>
      <c r="C102" t="str">
        <f t="shared" si="6"/>
        <v>Received</v>
      </c>
      <c r="D102" t="str">
        <f t="shared" si="7"/>
        <v>mm/dd/yyyy</v>
      </c>
      <c r="E102" s="77">
        <f>Master[[#This Row],[Received Date -received by site]]</f>
        <v>44466</v>
      </c>
      <c r="F102" s="17" t="str">
        <f>IF(Master[[#This Row],[Total Weight -gram (if unknown, leave blank)]]="","1",Master[[#This Row],[Total Weight -gram (if unknown, leave blank)]])</f>
        <v>1</v>
      </c>
      <c r="G102" s="17" t="str">
        <f>IF(InvActionRecd[[#This Row],[Quantity]]="1","packet","gram")</f>
        <v>packet</v>
      </c>
      <c r="H102" t="str">
        <f>IF(Master[[#This Row],[Inventory Type - Lookup Picker]]="","",Master[[#This Row],[Inventory Type - Lookup Picker]])</f>
        <v>SD</v>
      </c>
      <c r="I102" t="str">
        <f>IF(Master[[#This Row],[Cooperator (Donor) 1 -full record]]="","",Master[[#This Row],[Cooperator (Donor) 1 -full record]])</f>
        <v>Bureau of Land Management, SOS project</v>
      </c>
      <c r="J102" s="141"/>
    </row>
    <row r="103" spans="2:10" x14ac:dyDescent="0.25">
      <c r="B103" s="45" t="str">
        <f>Master[[#This Row],[Inventory Prefix]]&amp;" "&amp;Master[[#This Row],[Inventory Number]]&amp;" "&amp;Master[[#This Row],[Inventory Suffix]]&amp;" "&amp;Master[[#This Row],[Inventory Type - Lookup Picker]]</f>
        <v>W6   SD</v>
      </c>
      <c r="C103" t="str">
        <f t="shared" si="6"/>
        <v>Received</v>
      </c>
      <c r="D103" t="str">
        <f t="shared" si="7"/>
        <v>mm/dd/yyyy</v>
      </c>
      <c r="E103" s="77">
        <f>Master[[#This Row],[Received Date -received by site]]</f>
        <v>44466</v>
      </c>
      <c r="F103" s="17" t="str">
        <f>IF(Master[[#This Row],[Total Weight -gram (if unknown, leave blank)]]="","1",Master[[#This Row],[Total Weight -gram (if unknown, leave blank)]])</f>
        <v>1</v>
      </c>
      <c r="G103" s="17" t="str">
        <f>IF(InvActionRecd[[#This Row],[Quantity]]="1","packet","gram")</f>
        <v>packet</v>
      </c>
      <c r="H103" t="str">
        <f>IF(Master[[#This Row],[Inventory Type - Lookup Picker]]="","",Master[[#This Row],[Inventory Type - Lookup Picker]])</f>
        <v>SD</v>
      </c>
      <c r="I103" t="str">
        <f>IF(Master[[#This Row],[Cooperator (Donor) 1 -full record]]="","",Master[[#This Row],[Cooperator (Donor) 1 -full record]])</f>
        <v>Bureau of Land Management, SOS project</v>
      </c>
      <c r="J103" s="141"/>
    </row>
    <row r="104" spans="2:10" x14ac:dyDescent="0.25">
      <c r="B104" s="45" t="str">
        <f>Master[[#This Row],[Inventory Prefix]]&amp;" "&amp;Master[[#This Row],[Inventory Number]]&amp;" "&amp;Master[[#This Row],[Inventory Suffix]]&amp;" "&amp;Master[[#This Row],[Inventory Type - Lookup Picker]]</f>
        <v>W6   SD</v>
      </c>
      <c r="C104" t="str">
        <f t="shared" si="6"/>
        <v>Received</v>
      </c>
      <c r="D104" t="str">
        <f t="shared" si="7"/>
        <v>mm/dd/yyyy</v>
      </c>
      <c r="E104" s="77">
        <f>Master[[#This Row],[Received Date -received by site]]</f>
        <v>44466</v>
      </c>
      <c r="F104" s="17" t="str">
        <f>IF(Master[[#This Row],[Total Weight -gram (if unknown, leave blank)]]="","1",Master[[#This Row],[Total Weight -gram (if unknown, leave blank)]])</f>
        <v>1</v>
      </c>
      <c r="G104" s="17" t="str">
        <f>IF(InvActionRecd[[#This Row],[Quantity]]="1","packet","gram")</f>
        <v>packet</v>
      </c>
      <c r="H104" t="str">
        <f>IF(Master[[#This Row],[Inventory Type - Lookup Picker]]="","",Master[[#This Row],[Inventory Type - Lookup Picker]])</f>
        <v>SD</v>
      </c>
      <c r="I104" t="str">
        <f>IF(Master[[#This Row],[Cooperator (Donor) 1 -full record]]="","",Master[[#This Row],[Cooperator (Donor) 1 -full record]])</f>
        <v>Bureau of Land Management, SOS project</v>
      </c>
      <c r="J104" s="141"/>
    </row>
    <row r="105" spans="2:10" x14ac:dyDescent="0.25">
      <c r="B105" s="45" t="str">
        <f>Master[[#This Row],[Inventory Prefix]]&amp;" "&amp;Master[[#This Row],[Inventory Number]]&amp;" "&amp;Master[[#This Row],[Inventory Suffix]]&amp;" "&amp;Master[[#This Row],[Inventory Type - Lookup Picker]]</f>
        <v>W6   SD</v>
      </c>
      <c r="C105" t="str">
        <f t="shared" si="6"/>
        <v>Received</v>
      </c>
      <c r="D105" t="str">
        <f t="shared" si="7"/>
        <v>mm/dd/yyyy</v>
      </c>
      <c r="E105" s="77">
        <f>Master[[#This Row],[Received Date -received by site]]</f>
        <v>44466</v>
      </c>
      <c r="F105" s="17" t="str">
        <f>IF(Master[[#This Row],[Total Weight -gram (if unknown, leave blank)]]="","1",Master[[#This Row],[Total Weight -gram (if unknown, leave blank)]])</f>
        <v>1</v>
      </c>
      <c r="G105" s="17" t="str">
        <f>IF(InvActionRecd[[#This Row],[Quantity]]="1","packet","gram")</f>
        <v>packet</v>
      </c>
      <c r="H105" t="str">
        <f>IF(Master[[#This Row],[Inventory Type - Lookup Picker]]="","",Master[[#This Row],[Inventory Type - Lookup Picker]])</f>
        <v>SD</v>
      </c>
      <c r="I105" t="str">
        <f>IF(Master[[#This Row],[Cooperator (Donor) 1 -full record]]="","",Master[[#This Row],[Cooperator (Donor) 1 -full record]])</f>
        <v>Bureau of Land Management, SOS project</v>
      </c>
      <c r="J105" s="141"/>
    </row>
    <row r="106" spans="2:10" x14ac:dyDescent="0.25">
      <c r="B106" s="45" t="str">
        <f>Master[[#This Row],[Inventory Prefix]]&amp;" "&amp;Master[[#This Row],[Inventory Number]]&amp;" "&amp;Master[[#This Row],[Inventory Suffix]]&amp;" "&amp;Master[[#This Row],[Inventory Type - Lookup Picker]]</f>
        <v>W6   SD</v>
      </c>
      <c r="C106" t="str">
        <f t="shared" si="6"/>
        <v>Received</v>
      </c>
      <c r="D106" t="str">
        <f t="shared" si="7"/>
        <v>mm/dd/yyyy</v>
      </c>
      <c r="E106" s="77">
        <f>Master[[#This Row],[Received Date -received by site]]</f>
        <v>44466</v>
      </c>
      <c r="F106" s="17" t="str">
        <f>IF(Master[[#This Row],[Total Weight -gram (if unknown, leave blank)]]="","1",Master[[#This Row],[Total Weight -gram (if unknown, leave blank)]])</f>
        <v>1</v>
      </c>
      <c r="G106" s="17" t="str">
        <f>IF(InvActionRecd[[#This Row],[Quantity]]="1","packet","gram")</f>
        <v>packet</v>
      </c>
      <c r="H106" t="str">
        <f>IF(Master[[#This Row],[Inventory Type - Lookup Picker]]="","",Master[[#This Row],[Inventory Type - Lookup Picker]])</f>
        <v>SD</v>
      </c>
      <c r="I106" t="str">
        <f>IF(Master[[#This Row],[Cooperator (Donor) 1 -full record]]="","",Master[[#This Row],[Cooperator (Donor) 1 -full record]])</f>
        <v>Bureau of Land Management, SOS project</v>
      </c>
      <c r="J106" s="141"/>
    </row>
    <row r="107" spans="2:10" x14ac:dyDescent="0.25">
      <c r="B107" s="45" t="str">
        <f>Master[[#This Row],[Inventory Prefix]]&amp;" "&amp;Master[[#This Row],[Inventory Number]]&amp;" "&amp;Master[[#This Row],[Inventory Suffix]]&amp;" "&amp;Master[[#This Row],[Inventory Type - Lookup Picker]]</f>
        <v>W6   SD</v>
      </c>
      <c r="C107" t="str">
        <f t="shared" si="6"/>
        <v>Received</v>
      </c>
      <c r="D107" t="str">
        <f t="shared" si="7"/>
        <v>mm/dd/yyyy</v>
      </c>
      <c r="E107" s="77">
        <f>Master[[#This Row],[Received Date -received by site]]</f>
        <v>44466</v>
      </c>
      <c r="F107" s="17" t="str">
        <f>IF(Master[[#This Row],[Total Weight -gram (if unknown, leave blank)]]="","1",Master[[#This Row],[Total Weight -gram (if unknown, leave blank)]])</f>
        <v>1</v>
      </c>
      <c r="G107" s="17" t="str">
        <f>IF(InvActionRecd[[#This Row],[Quantity]]="1","packet","gram")</f>
        <v>packet</v>
      </c>
      <c r="H107" t="str">
        <f>IF(Master[[#This Row],[Inventory Type - Lookup Picker]]="","",Master[[#This Row],[Inventory Type - Lookup Picker]])</f>
        <v>SD</v>
      </c>
      <c r="I107" t="str">
        <f>IF(Master[[#This Row],[Cooperator (Donor) 1 -full record]]="","",Master[[#This Row],[Cooperator (Donor) 1 -full record]])</f>
        <v>Bureau of Land Management, SOS project</v>
      </c>
      <c r="J107" s="141"/>
    </row>
    <row r="108" spans="2:10" x14ac:dyDescent="0.25">
      <c r="B108" s="45" t="str">
        <f>Master[[#This Row],[Inventory Prefix]]&amp;" "&amp;Master[[#This Row],[Inventory Number]]&amp;" "&amp;Master[[#This Row],[Inventory Suffix]]&amp;" "&amp;Master[[#This Row],[Inventory Type - Lookup Picker]]</f>
        <v>W6   SD</v>
      </c>
      <c r="C108" t="str">
        <f t="shared" si="6"/>
        <v>Received</v>
      </c>
      <c r="D108" t="str">
        <f t="shared" si="7"/>
        <v>mm/dd/yyyy</v>
      </c>
      <c r="E108" s="77">
        <f>Master[[#This Row],[Received Date -received by site]]</f>
        <v>44466</v>
      </c>
      <c r="F108" s="17" t="str">
        <f>IF(Master[[#This Row],[Total Weight -gram (if unknown, leave blank)]]="","1",Master[[#This Row],[Total Weight -gram (if unknown, leave blank)]])</f>
        <v>1</v>
      </c>
      <c r="G108" s="17" t="str">
        <f>IF(InvActionRecd[[#This Row],[Quantity]]="1","packet","gram")</f>
        <v>packet</v>
      </c>
      <c r="H108" t="str">
        <f>IF(Master[[#This Row],[Inventory Type - Lookup Picker]]="","",Master[[#This Row],[Inventory Type - Lookup Picker]])</f>
        <v>SD</v>
      </c>
      <c r="I108" t="str">
        <f>IF(Master[[#This Row],[Cooperator (Donor) 1 -full record]]="","",Master[[#This Row],[Cooperator (Donor) 1 -full record]])</f>
        <v>Bureau of Land Management, SOS project</v>
      </c>
      <c r="J108" s="141"/>
    </row>
    <row r="109" spans="2:10" x14ac:dyDescent="0.25">
      <c r="B109" s="45" t="str">
        <f>Master[[#This Row],[Inventory Prefix]]&amp;" "&amp;Master[[#This Row],[Inventory Number]]&amp;" "&amp;Master[[#This Row],[Inventory Suffix]]&amp;" "&amp;Master[[#This Row],[Inventory Type - Lookup Picker]]</f>
        <v>W6   SD</v>
      </c>
      <c r="C109" t="str">
        <f t="shared" si="6"/>
        <v>Received</v>
      </c>
      <c r="D109" t="str">
        <f t="shared" si="7"/>
        <v>mm/dd/yyyy</v>
      </c>
      <c r="E109" s="77">
        <f>Master[[#This Row],[Received Date -received by site]]</f>
        <v>44466</v>
      </c>
      <c r="F109" s="17" t="str">
        <f>IF(Master[[#This Row],[Total Weight -gram (if unknown, leave blank)]]="","1",Master[[#This Row],[Total Weight -gram (if unknown, leave blank)]])</f>
        <v>1</v>
      </c>
      <c r="G109" s="17" t="str">
        <f>IF(InvActionRecd[[#This Row],[Quantity]]="1","packet","gram")</f>
        <v>packet</v>
      </c>
      <c r="H109" t="str">
        <f>IF(Master[[#This Row],[Inventory Type - Lookup Picker]]="","",Master[[#This Row],[Inventory Type - Lookup Picker]])</f>
        <v>SD</v>
      </c>
      <c r="I109" t="str">
        <f>IF(Master[[#This Row],[Cooperator (Donor) 1 -full record]]="","",Master[[#This Row],[Cooperator (Donor) 1 -full record]])</f>
        <v>Bureau of Land Management, SOS project</v>
      </c>
      <c r="J109" s="141"/>
    </row>
    <row r="110" spans="2:10" x14ac:dyDescent="0.25">
      <c r="B110" s="45" t="str">
        <f>Master[[#This Row],[Inventory Prefix]]&amp;" "&amp;Master[[#This Row],[Inventory Number]]&amp;" "&amp;Master[[#This Row],[Inventory Suffix]]&amp;" "&amp;Master[[#This Row],[Inventory Type - Lookup Picker]]</f>
        <v>W6   SD</v>
      </c>
      <c r="C110" t="str">
        <f t="shared" si="6"/>
        <v>Received</v>
      </c>
      <c r="D110" t="str">
        <f t="shared" si="7"/>
        <v>mm/dd/yyyy</v>
      </c>
      <c r="E110" s="77">
        <f>Master[[#This Row],[Received Date -received by site]]</f>
        <v>44466</v>
      </c>
      <c r="F110" s="17" t="str">
        <f>IF(Master[[#This Row],[Total Weight -gram (if unknown, leave blank)]]="","1",Master[[#This Row],[Total Weight -gram (if unknown, leave blank)]])</f>
        <v>1</v>
      </c>
      <c r="G110" s="17" t="str">
        <f>IF(InvActionRecd[[#This Row],[Quantity]]="1","packet","gram")</f>
        <v>packet</v>
      </c>
      <c r="H110" t="str">
        <f>IF(Master[[#This Row],[Inventory Type - Lookup Picker]]="","",Master[[#This Row],[Inventory Type - Lookup Picker]])</f>
        <v>SD</v>
      </c>
      <c r="I110" t="str">
        <f>IF(Master[[#This Row],[Cooperator (Donor) 1 -full record]]="","",Master[[#This Row],[Cooperator (Donor) 1 -full record]])</f>
        <v>Bureau of Land Management, SOS project</v>
      </c>
      <c r="J110" s="141"/>
    </row>
    <row r="111" spans="2:10" x14ac:dyDescent="0.25">
      <c r="B111" s="45" t="str">
        <f>Master[[#This Row],[Inventory Prefix]]&amp;" "&amp;Master[[#This Row],[Inventory Number]]&amp;" "&amp;Master[[#This Row],[Inventory Suffix]]&amp;" "&amp;Master[[#This Row],[Inventory Type - Lookup Picker]]</f>
        <v>W6   SD</v>
      </c>
      <c r="C111" t="str">
        <f t="shared" si="6"/>
        <v>Received</v>
      </c>
      <c r="D111" t="str">
        <f t="shared" si="7"/>
        <v>mm/dd/yyyy</v>
      </c>
      <c r="E111" s="77">
        <f>Master[[#This Row],[Received Date -received by site]]</f>
        <v>44466</v>
      </c>
      <c r="F111" s="17" t="str">
        <f>IF(Master[[#This Row],[Total Weight -gram (if unknown, leave blank)]]="","1",Master[[#This Row],[Total Weight -gram (if unknown, leave blank)]])</f>
        <v>1</v>
      </c>
      <c r="G111" s="17" t="str">
        <f>IF(InvActionRecd[[#This Row],[Quantity]]="1","packet","gram")</f>
        <v>packet</v>
      </c>
      <c r="H111" t="str">
        <f>IF(Master[[#This Row],[Inventory Type - Lookup Picker]]="","",Master[[#This Row],[Inventory Type - Lookup Picker]])</f>
        <v>SD</v>
      </c>
      <c r="I111" t="str">
        <f>IF(Master[[#This Row],[Cooperator (Donor) 1 -full record]]="","",Master[[#This Row],[Cooperator (Donor) 1 -full record]])</f>
        <v>Bureau of Land Management, SOS project</v>
      </c>
      <c r="J111" s="141"/>
    </row>
    <row r="112" spans="2:10" x14ac:dyDescent="0.25">
      <c r="B112" s="45" t="str">
        <f>Master[[#This Row],[Inventory Prefix]]&amp;" "&amp;Master[[#This Row],[Inventory Number]]&amp;" "&amp;Master[[#This Row],[Inventory Suffix]]&amp;" "&amp;Master[[#This Row],[Inventory Type - Lookup Picker]]</f>
        <v>W6   SD</v>
      </c>
      <c r="C112" t="str">
        <f t="shared" si="6"/>
        <v>Received</v>
      </c>
      <c r="D112" t="str">
        <f t="shared" si="7"/>
        <v>mm/dd/yyyy</v>
      </c>
      <c r="E112" s="77">
        <f>Master[[#This Row],[Received Date -received by site]]</f>
        <v>44466</v>
      </c>
      <c r="F112" s="17" t="str">
        <f>IF(Master[[#This Row],[Total Weight -gram (if unknown, leave blank)]]="","1",Master[[#This Row],[Total Weight -gram (if unknown, leave blank)]])</f>
        <v>1</v>
      </c>
      <c r="G112" s="17" t="str">
        <f>IF(InvActionRecd[[#This Row],[Quantity]]="1","packet","gram")</f>
        <v>packet</v>
      </c>
      <c r="H112" t="str">
        <f>IF(Master[[#This Row],[Inventory Type - Lookup Picker]]="","",Master[[#This Row],[Inventory Type - Lookup Picker]])</f>
        <v>SD</v>
      </c>
      <c r="I112" t="str">
        <f>IF(Master[[#This Row],[Cooperator (Donor) 1 -full record]]="","",Master[[#This Row],[Cooperator (Donor) 1 -full record]])</f>
        <v>Bureau of Land Management, SOS project</v>
      </c>
      <c r="J112" s="141"/>
    </row>
    <row r="113" spans="2:10" x14ac:dyDescent="0.25">
      <c r="B113" s="45" t="str">
        <f>Master[[#This Row],[Inventory Prefix]]&amp;" "&amp;Master[[#This Row],[Inventory Number]]&amp;" "&amp;Master[[#This Row],[Inventory Suffix]]&amp;" "&amp;Master[[#This Row],[Inventory Type - Lookup Picker]]</f>
        <v>W6   SD</v>
      </c>
      <c r="C113" t="str">
        <f t="shared" si="6"/>
        <v>Received</v>
      </c>
      <c r="D113" t="str">
        <f t="shared" si="7"/>
        <v>mm/dd/yyyy</v>
      </c>
      <c r="E113" s="77">
        <f>Master[[#This Row],[Received Date -received by site]]</f>
        <v>44466</v>
      </c>
      <c r="F113" s="17" t="str">
        <f>IF(Master[[#This Row],[Total Weight -gram (if unknown, leave blank)]]="","1",Master[[#This Row],[Total Weight -gram (if unknown, leave blank)]])</f>
        <v>1</v>
      </c>
      <c r="G113" s="17" t="str">
        <f>IF(InvActionRecd[[#This Row],[Quantity]]="1","packet","gram")</f>
        <v>packet</v>
      </c>
      <c r="H113" t="str">
        <f>IF(Master[[#This Row],[Inventory Type - Lookup Picker]]="","",Master[[#This Row],[Inventory Type - Lookup Picker]])</f>
        <v>SD</v>
      </c>
      <c r="I113" t="str">
        <f>IF(Master[[#This Row],[Cooperator (Donor) 1 -full record]]="","",Master[[#This Row],[Cooperator (Donor) 1 -full record]])</f>
        <v>Bureau of Land Management, SOS project</v>
      </c>
      <c r="J113" s="141"/>
    </row>
    <row r="114" spans="2:10" x14ac:dyDescent="0.25">
      <c r="B114" s="45" t="str">
        <f>Master[[#This Row],[Inventory Prefix]]&amp;" "&amp;Master[[#This Row],[Inventory Number]]&amp;" "&amp;Master[[#This Row],[Inventory Suffix]]&amp;" "&amp;Master[[#This Row],[Inventory Type - Lookup Picker]]</f>
        <v>W6   SD</v>
      </c>
      <c r="C114" t="str">
        <f t="shared" si="6"/>
        <v>Received</v>
      </c>
      <c r="D114" t="str">
        <f t="shared" si="7"/>
        <v>mm/dd/yyyy</v>
      </c>
      <c r="E114" s="77">
        <f>Master[[#This Row],[Received Date -received by site]]</f>
        <v>44466</v>
      </c>
      <c r="F114" s="17" t="str">
        <f>IF(Master[[#This Row],[Total Weight -gram (if unknown, leave blank)]]="","1",Master[[#This Row],[Total Weight -gram (if unknown, leave blank)]])</f>
        <v>1</v>
      </c>
      <c r="G114" s="17" t="str">
        <f>IF(InvActionRecd[[#This Row],[Quantity]]="1","packet","gram")</f>
        <v>packet</v>
      </c>
      <c r="H114" t="str">
        <f>IF(Master[[#This Row],[Inventory Type - Lookup Picker]]="","",Master[[#This Row],[Inventory Type - Lookup Picker]])</f>
        <v>SD</v>
      </c>
      <c r="I114" t="str">
        <f>IF(Master[[#This Row],[Cooperator (Donor) 1 -full record]]="","",Master[[#This Row],[Cooperator (Donor) 1 -full record]])</f>
        <v>Bureau of Land Management, SOS project</v>
      </c>
      <c r="J114" s="141"/>
    </row>
    <row r="115" spans="2:10" x14ac:dyDescent="0.25">
      <c r="B115" s="45" t="str">
        <f>Master[[#This Row],[Inventory Prefix]]&amp;" "&amp;Master[[#This Row],[Inventory Number]]&amp;" "&amp;Master[[#This Row],[Inventory Suffix]]&amp;" "&amp;Master[[#This Row],[Inventory Type - Lookup Picker]]</f>
        <v>W6   SD</v>
      </c>
      <c r="C115" t="str">
        <f t="shared" si="6"/>
        <v>Received</v>
      </c>
      <c r="D115" t="str">
        <f t="shared" si="7"/>
        <v>mm/dd/yyyy</v>
      </c>
      <c r="E115" s="77">
        <f>Master[[#This Row],[Received Date -received by site]]</f>
        <v>44466</v>
      </c>
      <c r="F115" s="17" t="str">
        <f>IF(Master[[#This Row],[Total Weight -gram (if unknown, leave blank)]]="","1",Master[[#This Row],[Total Weight -gram (if unknown, leave blank)]])</f>
        <v>1</v>
      </c>
      <c r="G115" s="17" t="str">
        <f>IF(InvActionRecd[[#This Row],[Quantity]]="1","packet","gram")</f>
        <v>packet</v>
      </c>
      <c r="H115" t="str">
        <f>IF(Master[[#This Row],[Inventory Type - Lookup Picker]]="","",Master[[#This Row],[Inventory Type - Lookup Picker]])</f>
        <v>SD</v>
      </c>
      <c r="I115" t="str">
        <f>IF(Master[[#This Row],[Cooperator (Donor) 1 -full record]]="","",Master[[#This Row],[Cooperator (Donor) 1 -full record]])</f>
        <v>Bureau of Land Management, SOS project</v>
      </c>
      <c r="J115" s="141"/>
    </row>
    <row r="116" spans="2:10" x14ac:dyDescent="0.25">
      <c r="B116" s="45" t="str">
        <f>Master[[#This Row],[Inventory Prefix]]&amp;" "&amp;Master[[#This Row],[Inventory Number]]&amp;" "&amp;Master[[#This Row],[Inventory Suffix]]&amp;" "&amp;Master[[#This Row],[Inventory Type - Lookup Picker]]</f>
        <v>W6   SD</v>
      </c>
      <c r="C116" t="str">
        <f t="shared" si="6"/>
        <v>Received</v>
      </c>
      <c r="D116" t="str">
        <f t="shared" si="7"/>
        <v>mm/dd/yyyy</v>
      </c>
      <c r="E116" s="77">
        <f>Master[[#This Row],[Received Date -received by site]]</f>
        <v>44466</v>
      </c>
      <c r="F116" s="17" t="str">
        <f>IF(Master[[#This Row],[Total Weight -gram (if unknown, leave blank)]]="","1",Master[[#This Row],[Total Weight -gram (if unknown, leave blank)]])</f>
        <v>1</v>
      </c>
      <c r="G116" s="17" t="str">
        <f>IF(InvActionRecd[[#This Row],[Quantity]]="1","packet","gram")</f>
        <v>packet</v>
      </c>
      <c r="H116" t="str">
        <f>IF(Master[[#This Row],[Inventory Type - Lookup Picker]]="","",Master[[#This Row],[Inventory Type - Lookup Picker]])</f>
        <v>SD</v>
      </c>
      <c r="I116" t="str">
        <f>IF(Master[[#This Row],[Cooperator (Donor) 1 -full record]]="","",Master[[#This Row],[Cooperator (Donor) 1 -full record]])</f>
        <v>Bureau of Land Management, SOS project</v>
      </c>
      <c r="J116" s="141"/>
    </row>
    <row r="117" spans="2:10" x14ac:dyDescent="0.25">
      <c r="B117" s="45" t="str">
        <f>Master[[#This Row],[Inventory Prefix]]&amp;" "&amp;Master[[#This Row],[Inventory Number]]&amp;" "&amp;Master[[#This Row],[Inventory Suffix]]&amp;" "&amp;Master[[#This Row],[Inventory Type - Lookup Picker]]</f>
        <v>W6   SD</v>
      </c>
      <c r="C117" t="str">
        <f t="shared" si="6"/>
        <v>Received</v>
      </c>
      <c r="D117" t="str">
        <f t="shared" si="7"/>
        <v>mm/dd/yyyy</v>
      </c>
      <c r="E117" s="77">
        <f>Master[[#This Row],[Received Date -received by site]]</f>
        <v>44466</v>
      </c>
      <c r="F117" s="17" t="str">
        <f>IF(Master[[#This Row],[Total Weight -gram (if unknown, leave blank)]]="","1",Master[[#This Row],[Total Weight -gram (if unknown, leave blank)]])</f>
        <v>1</v>
      </c>
      <c r="G117" s="17" t="str">
        <f>IF(InvActionRecd[[#This Row],[Quantity]]="1","packet","gram")</f>
        <v>packet</v>
      </c>
      <c r="H117" t="str">
        <f>IF(Master[[#This Row],[Inventory Type - Lookup Picker]]="","",Master[[#This Row],[Inventory Type - Lookup Picker]])</f>
        <v>SD</v>
      </c>
      <c r="I117" t="str">
        <f>IF(Master[[#This Row],[Cooperator (Donor) 1 -full record]]="","",Master[[#This Row],[Cooperator (Donor) 1 -full record]])</f>
        <v>Bureau of Land Management, SOS project</v>
      </c>
      <c r="J117" s="141"/>
    </row>
    <row r="118" spans="2:10" x14ac:dyDescent="0.25">
      <c r="B118" s="45" t="str">
        <f>Master[[#This Row],[Inventory Prefix]]&amp;" "&amp;Master[[#This Row],[Inventory Number]]&amp;" "&amp;Master[[#This Row],[Inventory Suffix]]&amp;" "&amp;Master[[#This Row],[Inventory Type - Lookup Picker]]</f>
        <v>W6   SD</v>
      </c>
      <c r="C118" t="str">
        <f t="shared" ref="C118:C149" si="8">"Received"</f>
        <v>Received</v>
      </c>
      <c r="D118" t="str">
        <f t="shared" ref="D118:D149" si="9">"mm/dd/yyyy"</f>
        <v>mm/dd/yyyy</v>
      </c>
      <c r="E118" s="77">
        <f>Master[[#This Row],[Received Date -received by site]]</f>
        <v>44466</v>
      </c>
      <c r="F118" s="17" t="str">
        <f>IF(Master[[#This Row],[Total Weight -gram (if unknown, leave blank)]]="","1",Master[[#This Row],[Total Weight -gram (if unknown, leave blank)]])</f>
        <v>1</v>
      </c>
      <c r="G118" s="17" t="str">
        <f>IF(InvActionRecd[[#This Row],[Quantity]]="1","packet","gram")</f>
        <v>packet</v>
      </c>
      <c r="H118" t="str">
        <f>IF(Master[[#This Row],[Inventory Type - Lookup Picker]]="","",Master[[#This Row],[Inventory Type - Lookup Picker]])</f>
        <v>SD</v>
      </c>
      <c r="I118" t="str">
        <f>IF(Master[[#This Row],[Cooperator (Donor) 1 -full record]]="","",Master[[#This Row],[Cooperator (Donor) 1 -full record]])</f>
        <v>Bureau of Land Management, SOS project</v>
      </c>
      <c r="J118" s="141"/>
    </row>
    <row r="119" spans="2:10" x14ac:dyDescent="0.25">
      <c r="B119" s="45" t="str">
        <f>Master[[#This Row],[Inventory Prefix]]&amp;" "&amp;Master[[#This Row],[Inventory Number]]&amp;" "&amp;Master[[#This Row],[Inventory Suffix]]&amp;" "&amp;Master[[#This Row],[Inventory Type - Lookup Picker]]</f>
        <v>W6   SD</v>
      </c>
      <c r="C119" t="str">
        <f t="shared" si="8"/>
        <v>Received</v>
      </c>
      <c r="D119" t="str">
        <f t="shared" si="9"/>
        <v>mm/dd/yyyy</v>
      </c>
      <c r="E119" s="77">
        <f>Master[[#This Row],[Received Date -received by site]]</f>
        <v>44466</v>
      </c>
      <c r="F119" s="17" t="str">
        <f>IF(Master[[#This Row],[Total Weight -gram (if unknown, leave blank)]]="","1",Master[[#This Row],[Total Weight -gram (if unknown, leave blank)]])</f>
        <v>1</v>
      </c>
      <c r="G119" s="17" t="str">
        <f>IF(InvActionRecd[[#This Row],[Quantity]]="1","packet","gram")</f>
        <v>packet</v>
      </c>
      <c r="H119" t="str">
        <f>IF(Master[[#This Row],[Inventory Type - Lookup Picker]]="","",Master[[#This Row],[Inventory Type - Lookup Picker]])</f>
        <v>SD</v>
      </c>
      <c r="I119" t="str">
        <f>IF(Master[[#This Row],[Cooperator (Donor) 1 -full record]]="","",Master[[#This Row],[Cooperator (Donor) 1 -full record]])</f>
        <v>Bureau of Land Management, SOS project</v>
      </c>
      <c r="J119" s="141"/>
    </row>
    <row r="120" spans="2:10" x14ac:dyDescent="0.25">
      <c r="B120" s="45" t="str">
        <f>Master[[#This Row],[Inventory Prefix]]&amp;" "&amp;Master[[#This Row],[Inventory Number]]&amp;" "&amp;Master[[#This Row],[Inventory Suffix]]&amp;" "&amp;Master[[#This Row],[Inventory Type - Lookup Picker]]</f>
        <v>W6   SD</v>
      </c>
      <c r="C120" t="str">
        <f t="shared" si="8"/>
        <v>Received</v>
      </c>
      <c r="D120" t="str">
        <f t="shared" si="9"/>
        <v>mm/dd/yyyy</v>
      </c>
      <c r="E120" s="77">
        <f>Master[[#This Row],[Received Date -received by site]]</f>
        <v>44466</v>
      </c>
      <c r="F120" s="17" t="str">
        <f>IF(Master[[#This Row],[Total Weight -gram (if unknown, leave blank)]]="","1",Master[[#This Row],[Total Weight -gram (if unknown, leave blank)]])</f>
        <v>1</v>
      </c>
      <c r="G120" s="17" t="str">
        <f>IF(InvActionRecd[[#This Row],[Quantity]]="1","packet","gram")</f>
        <v>packet</v>
      </c>
      <c r="H120" t="str">
        <f>IF(Master[[#This Row],[Inventory Type - Lookup Picker]]="","",Master[[#This Row],[Inventory Type - Lookup Picker]])</f>
        <v>SD</v>
      </c>
      <c r="I120" t="str">
        <f>IF(Master[[#This Row],[Cooperator (Donor) 1 -full record]]="","",Master[[#This Row],[Cooperator (Donor) 1 -full record]])</f>
        <v>Bureau of Land Management, SOS project</v>
      </c>
      <c r="J120" s="141"/>
    </row>
    <row r="121" spans="2:10" x14ac:dyDescent="0.25">
      <c r="B121" s="45" t="str">
        <f>Master[[#This Row],[Inventory Prefix]]&amp;" "&amp;Master[[#This Row],[Inventory Number]]&amp;" "&amp;Master[[#This Row],[Inventory Suffix]]&amp;" "&amp;Master[[#This Row],[Inventory Type - Lookup Picker]]</f>
        <v>W6   SD</v>
      </c>
      <c r="C121" t="str">
        <f t="shared" si="8"/>
        <v>Received</v>
      </c>
      <c r="D121" t="str">
        <f t="shared" si="9"/>
        <v>mm/dd/yyyy</v>
      </c>
      <c r="E121" s="77">
        <f>Master[[#This Row],[Received Date -received by site]]</f>
        <v>44466</v>
      </c>
      <c r="F121" s="17" t="str">
        <f>IF(Master[[#This Row],[Total Weight -gram (if unknown, leave blank)]]="","1",Master[[#This Row],[Total Weight -gram (if unknown, leave blank)]])</f>
        <v>1</v>
      </c>
      <c r="G121" s="17" t="str">
        <f>IF(InvActionRecd[[#This Row],[Quantity]]="1","packet","gram")</f>
        <v>packet</v>
      </c>
      <c r="H121" t="str">
        <f>IF(Master[[#This Row],[Inventory Type - Lookup Picker]]="","",Master[[#This Row],[Inventory Type - Lookup Picker]])</f>
        <v>SD</v>
      </c>
      <c r="I121" t="str">
        <f>IF(Master[[#This Row],[Cooperator (Donor) 1 -full record]]="","",Master[[#This Row],[Cooperator (Donor) 1 -full record]])</f>
        <v>Bureau of Land Management, SOS project</v>
      </c>
      <c r="J121" s="141"/>
    </row>
    <row r="122" spans="2:10" x14ac:dyDescent="0.25">
      <c r="B122" s="45" t="str">
        <f>Master[[#This Row],[Inventory Prefix]]&amp;" "&amp;Master[[#This Row],[Inventory Number]]&amp;" "&amp;Master[[#This Row],[Inventory Suffix]]&amp;" "&amp;Master[[#This Row],[Inventory Type - Lookup Picker]]</f>
        <v>W6   SD</v>
      </c>
      <c r="C122" t="str">
        <f t="shared" si="8"/>
        <v>Received</v>
      </c>
      <c r="D122" t="str">
        <f t="shared" si="9"/>
        <v>mm/dd/yyyy</v>
      </c>
      <c r="E122" s="77">
        <f>Master[[#This Row],[Received Date -received by site]]</f>
        <v>44466</v>
      </c>
      <c r="F122" s="17" t="str">
        <f>IF(Master[[#This Row],[Total Weight -gram (if unknown, leave blank)]]="","1",Master[[#This Row],[Total Weight -gram (if unknown, leave blank)]])</f>
        <v>1</v>
      </c>
      <c r="G122" s="17" t="str">
        <f>IF(InvActionRecd[[#This Row],[Quantity]]="1","packet","gram")</f>
        <v>packet</v>
      </c>
      <c r="H122" t="str">
        <f>IF(Master[[#This Row],[Inventory Type - Lookup Picker]]="","",Master[[#This Row],[Inventory Type - Lookup Picker]])</f>
        <v>SD</v>
      </c>
      <c r="I122" t="str">
        <f>IF(Master[[#This Row],[Cooperator (Donor) 1 -full record]]="","",Master[[#This Row],[Cooperator (Donor) 1 -full record]])</f>
        <v>Bureau of Land Management, SOS project</v>
      </c>
      <c r="J122" s="141"/>
    </row>
    <row r="123" spans="2:10" x14ac:dyDescent="0.25">
      <c r="B123" s="45" t="str">
        <f>Master[[#This Row],[Inventory Prefix]]&amp;" "&amp;Master[[#This Row],[Inventory Number]]&amp;" "&amp;Master[[#This Row],[Inventory Suffix]]&amp;" "&amp;Master[[#This Row],[Inventory Type - Lookup Picker]]</f>
        <v>W6   SD</v>
      </c>
      <c r="C123" t="str">
        <f t="shared" si="8"/>
        <v>Received</v>
      </c>
      <c r="D123" t="str">
        <f t="shared" si="9"/>
        <v>mm/dd/yyyy</v>
      </c>
      <c r="E123" s="77">
        <f>Master[[#This Row],[Received Date -received by site]]</f>
        <v>44466</v>
      </c>
      <c r="F123" s="17" t="str">
        <f>IF(Master[[#This Row],[Total Weight -gram (if unknown, leave blank)]]="","1",Master[[#This Row],[Total Weight -gram (if unknown, leave blank)]])</f>
        <v>1</v>
      </c>
      <c r="G123" s="17" t="str">
        <f>IF(InvActionRecd[[#This Row],[Quantity]]="1","packet","gram")</f>
        <v>packet</v>
      </c>
      <c r="H123" t="str">
        <f>IF(Master[[#This Row],[Inventory Type - Lookup Picker]]="","",Master[[#This Row],[Inventory Type - Lookup Picker]])</f>
        <v>SD</v>
      </c>
      <c r="I123" t="str">
        <f>IF(Master[[#This Row],[Cooperator (Donor) 1 -full record]]="","",Master[[#This Row],[Cooperator (Donor) 1 -full record]])</f>
        <v>Bureau of Land Management, SOS project</v>
      </c>
      <c r="J123" s="141"/>
    </row>
    <row r="124" spans="2:10" x14ac:dyDescent="0.25">
      <c r="B124" s="45" t="str">
        <f>Master[[#This Row],[Inventory Prefix]]&amp;" "&amp;Master[[#This Row],[Inventory Number]]&amp;" "&amp;Master[[#This Row],[Inventory Suffix]]&amp;" "&amp;Master[[#This Row],[Inventory Type - Lookup Picker]]</f>
        <v>W6   SD</v>
      </c>
      <c r="C124" t="str">
        <f t="shared" si="8"/>
        <v>Received</v>
      </c>
      <c r="D124" t="str">
        <f t="shared" si="9"/>
        <v>mm/dd/yyyy</v>
      </c>
      <c r="E124" s="77">
        <f>Master[[#This Row],[Received Date -received by site]]</f>
        <v>44466</v>
      </c>
      <c r="F124" s="17" t="str">
        <f>IF(Master[[#This Row],[Total Weight -gram (if unknown, leave blank)]]="","1",Master[[#This Row],[Total Weight -gram (if unknown, leave blank)]])</f>
        <v>1</v>
      </c>
      <c r="G124" s="17" t="str">
        <f>IF(InvActionRecd[[#This Row],[Quantity]]="1","packet","gram")</f>
        <v>packet</v>
      </c>
      <c r="H124" t="str">
        <f>IF(Master[[#This Row],[Inventory Type - Lookup Picker]]="","",Master[[#This Row],[Inventory Type - Lookup Picker]])</f>
        <v>SD</v>
      </c>
      <c r="I124" t="str">
        <f>IF(Master[[#This Row],[Cooperator (Donor) 1 -full record]]="","",Master[[#This Row],[Cooperator (Donor) 1 -full record]])</f>
        <v>Bureau of Land Management, SOS project</v>
      </c>
      <c r="J124" s="141"/>
    </row>
    <row r="125" spans="2:10" x14ac:dyDescent="0.25">
      <c r="B125" s="45" t="str">
        <f>Master[[#This Row],[Inventory Prefix]]&amp;" "&amp;Master[[#This Row],[Inventory Number]]&amp;" "&amp;Master[[#This Row],[Inventory Suffix]]&amp;" "&amp;Master[[#This Row],[Inventory Type - Lookup Picker]]</f>
        <v>W6   SD</v>
      </c>
      <c r="C125" t="str">
        <f t="shared" si="8"/>
        <v>Received</v>
      </c>
      <c r="D125" t="str">
        <f t="shared" si="9"/>
        <v>mm/dd/yyyy</v>
      </c>
      <c r="E125" s="77">
        <f>Master[[#This Row],[Received Date -received by site]]</f>
        <v>44466</v>
      </c>
      <c r="F125" s="17" t="str">
        <f>IF(Master[[#This Row],[Total Weight -gram (if unknown, leave blank)]]="","1",Master[[#This Row],[Total Weight -gram (if unknown, leave blank)]])</f>
        <v>1</v>
      </c>
      <c r="G125" s="17" t="str">
        <f>IF(InvActionRecd[[#This Row],[Quantity]]="1","packet","gram")</f>
        <v>packet</v>
      </c>
      <c r="H125" t="str">
        <f>IF(Master[[#This Row],[Inventory Type - Lookup Picker]]="","",Master[[#This Row],[Inventory Type - Lookup Picker]])</f>
        <v>SD</v>
      </c>
      <c r="I125" t="str">
        <f>IF(Master[[#This Row],[Cooperator (Donor) 1 -full record]]="","",Master[[#This Row],[Cooperator (Donor) 1 -full record]])</f>
        <v>Bureau of Land Management, SOS project</v>
      </c>
      <c r="J125" s="141"/>
    </row>
    <row r="126" spans="2:10" x14ac:dyDescent="0.25">
      <c r="B126" s="45" t="str">
        <f>Master[[#This Row],[Inventory Prefix]]&amp;" "&amp;Master[[#This Row],[Inventory Number]]&amp;" "&amp;Master[[#This Row],[Inventory Suffix]]&amp;" "&amp;Master[[#This Row],[Inventory Type - Lookup Picker]]</f>
        <v>W6   SD</v>
      </c>
      <c r="C126" t="str">
        <f t="shared" si="8"/>
        <v>Received</v>
      </c>
      <c r="D126" t="str">
        <f t="shared" si="9"/>
        <v>mm/dd/yyyy</v>
      </c>
      <c r="E126" s="77">
        <f>Master[[#This Row],[Received Date -received by site]]</f>
        <v>44466</v>
      </c>
      <c r="F126" s="17" t="str">
        <f>IF(Master[[#This Row],[Total Weight -gram (if unknown, leave blank)]]="","1",Master[[#This Row],[Total Weight -gram (if unknown, leave blank)]])</f>
        <v>1</v>
      </c>
      <c r="G126" s="17" t="str">
        <f>IF(InvActionRecd[[#This Row],[Quantity]]="1","packet","gram")</f>
        <v>packet</v>
      </c>
      <c r="H126" t="str">
        <f>IF(Master[[#This Row],[Inventory Type - Lookup Picker]]="","",Master[[#This Row],[Inventory Type - Lookup Picker]])</f>
        <v>SD</v>
      </c>
      <c r="I126" t="str">
        <f>IF(Master[[#This Row],[Cooperator (Donor) 1 -full record]]="","",Master[[#This Row],[Cooperator (Donor) 1 -full record]])</f>
        <v>Bureau of Land Management, SOS project</v>
      </c>
      <c r="J126" s="141"/>
    </row>
    <row r="127" spans="2:10" x14ac:dyDescent="0.25">
      <c r="B127" s="45" t="str">
        <f>Master[[#This Row],[Inventory Prefix]]&amp;" "&amp;Master[[#This Row],[Inventory Number]]&amp;" "&amp;Master[[#This Row],[Inventory Suffix]]&amp;" "&amp;Master[[#This Row],[Inventory Type - Lookup Picker]]</f>
        <v>W6   SD</v>
      </c>
      <c r="C127" t="str">
        <f t="shared" si="8"/>
        <v>Received</v>
      </c>
      <c r="D127" t="str">
        <f t="shared" si="9"/>
        <v>mm/dd/yyyy</v>
      </c>
      <c r="E127" s="77">
        <f>Master[[#This Row],[Received Date -received by site]]</f>
        <v>44466</v>
      </c>
      <c r="F127" s="17" t="str">
        <f>IF(Master[[#This Row],[Total Weight -gram (if unknown, leave blank)]]="","1",Master[[#This Row],[Total Weight -gram (if unknown, leave blank)]])</f>
        <v>1</v>
      </c>
      <c r="G127" s="17" t="str">
        <f>IF(InvActionRecd[[#This Row],[Quantity]]="1","packet","gram")</f>
        <v>packet</v>
      </c>
      <c r="H127" t="str">
        <f>IF(Master[[#This Row],[Inventory Type - Lookup Picker]]="","",Master[[#This Row],[Inventory Type - Lookup Picker]])</f>
        <v>SD</v>
      </c>
      <c r="I127" t="str">
        <f>IF(Master[[#This Row],[Cooperator (Donor) 1 -full record]]="","",Master[[#This Row],[Cooperator (Donor) 1 -full record]])</f>
        <v>Bureau of Land Management, SOS project</v>
      </c>
      <c r="J127" s="141"/>
    </row>
    <row r="128" spans="2:10" x14ac:dyDescent="0.25">
      <c r="B128" s="45" t="str">
        <f>Master[[#This Row],[Inventory Prefix]]&amp;" "&amp;Master[[#This Row],[Inventory Number]]&amp;" "&amp;Master[[#This Row],[Inventory Suffix]]&amp;" "&amp;Master[[#This Row],[Inventory Type - Lookup Picker]]</f>
        <v>W6   SD</v>
      </c>
      <c r="C128" t="str">
        <f t="shared" si="8"/>
        <v>Received</v>
      </c>
      <c r="D128" t="str">
        <f t="shared" si="9"/>
        <v>mm/dd/yyyy</v>
      </c>
      <c r="E128" s="77">
        <f>Master[[#This Row],[Received Date -received by site]]</f>
        <v>44466</v>
      </c>
      <c r="F128" s="17" t="str">
        <f>IF(Master[[#This Row],[Total Weight -gram (if unknown, leave blank)]]="","1",Master[[#This Row],[Total Weight -gram (if unknown, leave blank)]])</f>
        <v>1</v>
      </c>
      <c r="G128" s="17" t="str">
        <f>IF(InvActionRecd[[#This Row],[Quantity]]="1","packet","gram")</f>
        <v>packet</v>
      </c>
      <c r="H128" t="str">
        <f>IF(Master[[#This Row],[Inventory Type - Lookup Picker]]="","",Master[[#This Row],[Inventory Type - Lookup Picker]])</f>
        <v>SD</v>
      </c>
      <c r="I128" t="str">
        <f>IF(Master[[#This Row],[Cooperator (Donor) 1 -full record]]="","",Master[[#This Row],[Cooperator (Donor) 1 -full record]])</f>
        <v>Bureau of Land Management, SOS project</v>
      </c>
      <c r="J128" s="141"/>
    </row>
    <row r="129" spans="2:10" x14ac:dyDescent="0.25">
      <c r="B129" s="45" t="str">
        <f>Master[[#This Row],[Inventory Prefix]]&amp;" "&amp;Master[[#This Row],[Inventory Number]]&amp;" "&amp;Master[[#This Row],[Inventory Suffix]]&amp;" "&amp;Master[[#This Row],[Inventory Type - Lookup Picker]]</f>
        <v>W6   SD</v>
      </c>
      <c r="C129" t="str">
        <f t="shared" si="8"/>
        <v>Received</v>
      </c>
      <c r="D129" t="str">
        <f t="shared" si="9"/>
        <v>mm/dd/yyyy</v>
      </c>
      <c r="E129" s="77">
        <f>Master[[#This Row],[Received Date -received by site]]</f>
        <v>44466</v>
      </c>
      <c r="F129" s="17" t="str">
        <f>IF(Master[[#This Row],[Total Weight -gram (if unknown, leave blank)]]="","1",Master[[#This Row],[Total Weight -gram (if unknown, leave blank)]])</f>
        <v>1</v>
      </c>
      <c r="G129" s="17" t="str">
        <f>IF(InvActionRecd[[#This Row],[Quantity]]="1","packet","gram")</f>
        <v>packet</v>
      </c>
      <c r="H129" t="str">
        <f>IF(Master[[#This Row],[Inventory Type - Lookup Picker]]="","",Master[[#This Row],[Inventory Type - Lookup Picker]])</f>
        <v>SD</v>
      </c>
      <c r="I129" t="str">
        <f>IF(Master[[#This Row],[Cooperator (Donor) 1 -full record]]="","",Master[[#This Row],[Cooperator (Donor) 1 -full record]])</f>
        <v>Bureau of Land Management, SOS project</v>
      </c>
      <c r="J129" s="141"/>
    </row>
    <row r="130" spans="2:10" x14ac:dyDescent="0.25">
      <c r="B130" s="45" t="str">
        <f>Master[[#This Row],[Inventory Prefix]]&amp;" "&amp;Master[[#This Row],[Inventory Number]]&amp;" "&amp;Master[[#This Row],[Inventory Suffix]]&amp;" "&amp;Master[[#This Row],[Inventory Type - Lookup Picker]]</f>
        <v>W6   SD</v>
      </c>
      <c r="C130" t="str">
        <f t="shared" si="8"/>
        <v>Received</v>
      </c>
      <c r="D130" t="str">
        <f t="shared" si="9"/>
        <v>mm/dd/yyyy</v>
      </c>
      <c r="E130" s="77">
        <f>Master[[#This Row],[Received Date -received by site]]</f>
        <v>44466</v>
      </c>
      <c r="F130" s="17" t="str">
        <f>IF(Master[[#This Row],[Total Weight -gram (if unknown, leave blank)]]="","1",Master[[#This Row],[Total Weight -gram (if unknown, leave blank)]])</f>
        <v>1</v>
      </c>
      <c r="G130" s="17" t="str">
        <f>IF(InvActionRecd[[#This Row],[Quantity]]="1","packet","gram")</f>
        <v>packet</v>
      </c>
      <c r="H130" t="str">
        <f>IF(Master[[#This Row],[Inventory Type - Lookup Picker]]="","",Master[[#This Row],[Inventory Type - Lookup Picker]])</f>
        <v>SD</v>
      </c>
      <c r="I130" t="str">
        <f>IF(Master[[#This Row],[Cooperator (Donor) 1 -full record]]="","",Master[[#This Row],[Cooperator (Donor) 1 -full record]])</f>
        <v>Bureau of Land Management, SOS project</v>
      </c>
      <c r="J130" s="141"/>
    </row>
    <row r="131" spans="2:10" x14ac:dyDescent="0.25">
      <c r="B131" s="45" t="str">
        <f>Master[[#This Row],[Inventory Prefix]]&amp;" "&amp;Master[[#This Row],[Inventory Number]]&amp;" "&amp;Master[[#This Row],[Inventory Suffix]]&amp;" "&amp;Master[[#This Row],[Inventory Type - Lookup Picker]]</f>
        <v>W6   SD</v>
      </c>
      <c r="C131" t="str">
        <f t="shared" si="8"/>
        <v>Received</v>
      </c>
      <c r="D131" t="str">
        <f t="shared" si="9"/>
        <v>mm/dd/yyyy</v>
      </c>
      <c r="E131" s="77">
        <f>Master[[#This Row],[Received Date -received by site]]</f>
        <v>44466</v>
      </c>
      <c r="F131" s="17" t="str">
        <f>IF(Master[[#This Row],[Total Weight -gram (if unknown, leave blank)]]="","1",Master[[#This Row],[Total Weight -gram (if unknown, leave blank)]])</f>
        <v>1</v>
      </c>
      <c r="G131" s="17" t="str">
        <f>IF(InvActionRecd[[#This Row],[Quantity]]="1","packet","gram")</f>
        <v>packet</v>
      </c>
      <c r="H131" t="str">
        <f>IF(Master[[#This Row],[Inventory Type - Lookup Picker]]="","",Master[[#This Row],[Inventory Type - Lookup Picker]])</f>
        <v>SD</v>
      </c>
      <c r="I131" t="str">
        <f>IF(Master[[#This Row],[Cooperator (Donor) 1 -full record]]="","",Master[[#This Row],[Cooperator (Donor) 1 -full record]])</f>
        <v>Bureau of Land Management, SOS project</v>
      </c>
      <c r="J131" s="141"/>
    </row>
    <row r="132" spans="2:10" x14ac:dyDescent="0.25">
      <c r="B132" s="45" t="str">
        <f>Master[[#This Row],[Inventory Prefix]]&amp;" "&amp;Master[[#This Row],[Inventory Number]]&amp;" "&amp;Master[[#This Row],[Inventory Suffix]]&amp;" "&amp;Master[[#This Row],[Inventory Type - Lookup Picker]]</f>
        <v>W6   SD</v>
      </c>
      <c r="C132" t="str">
        <f t="shared" si="8"/>
        <v>Received</v>
      </c>
      <c r="D132" t="str">
        <f t="shared" si="9"/>
        <v>mm/dd/yyyy</v>
      </c>
      <c r="E132" s="77">
        <f>Master[[#This Row],[Received Date -received by site]]</f>
        <v>44466</v>
      </c>
      <c r="F132" s="17" t="str">
        <f>IF(Master[[#This Row],[Total Weight -gram (if unknown, leave blank)]]="","1",Master[[#This Row],[Total Weight -gram (if unknown, leave blank)]])</f>
        <v>1</v>
      </c>
      <c r="G132" s="17" t="str">
        <f>IF(InvActionRecd[[#This Row],[Quantity]]="1","packet","gram")</f>
        <v>packet</v>
      </c>
      <c r="H132" t="str">
        <f>IF(Master[[#This Row],[Inventory Type - Lookup Picker]]="","",Master[[#This Row],[Inventory Type - Lookup Picker]])</f>
        <v>SD</v>
      </c>
      <c r="I132" t="str">
        <f>IF(Master[[#This Row],[Cooperator (Donor) 1 -full record]]="","",Master[[#This Row],[Cooperator (Donor) 1 -full record]])</f>
        <v>Bureau of Land Management, SOS project</v>
      </c>
      <c r="J132" s="141"/>
    </row>
    <row r="133" spans="2:10" x14ac:dyDescent="0.25">
      <c r="B133" s="45" t="str">
        <f>Master[[#This Row],[Inventory Prefix]]&amp;" "&amp;Master[[#This Row],[Inventory Number]]&amp;" "&amp;Master[[#This Row],[Inventory Suffix]]&amp;" "&amp;Master[[#This Row],[Inventory Type - Lookup Picker]]</f>
        <v>W6   SD</v>
      </c>
      <c r="C133" t="str">
        <f t="shared" si="8"/>
        <v>Received</v>
      </c>
      <c r="D133" t="str">
        <f t="shared" si="9"/>
        <v>mm/dd/yyyy</v>
      </c>
      <c r="E133" s="77">
        <f>Master[[#This Row],[Received Date -received by site]]</f>
        <v>44466</v>
      </c>
      <c r="F133" s="17" t="str">
        <f>IF(Master[[#This Row],[Total Weight -gram (if unknown, leave blank)]]="","1",Master[[#This Row],[Total Weight -gram (if unknown, leave blank)]])</f>
        <v>1</v>
      </c>
      <c r="G133" s="17" t="str">
        <f>IF(InvActionRecd[[#This Row],[Quantity]]="1","packet","gram")</f>
        <v>packet</v>
      </c>
      <c r="H133" t="str">
        <f>IF(Master[[#This Row],[Inventory Type - Lookup Picker]]="","",Master[[#This Row],[Inventory Type - Lookup Picker]])</f>
        <v>SD</v>
      </c>
      <c r="I133" t="str">
        <f>IF(Master[[#This Row],[Cooperator (Donor) 1 -full record]]="","",Master[[#This Row],[Cooperator (Donor) 1 -full record]])</f>
        <v>Bureau of Land Management, SOS project</v>
      </c>
      <c r="J133" s="141"/>
    </row>
    <row r="134" spans="2:10" x14ac:dyDescent="0.25">
      <c r="B134" s="45" t="str">
        <f>Master[[#This Row],[Inventory Prefix]]&amp;" "&amp;Master[[#This Row],[Inventory Number]]&amp;" "&amp;Master[[#This Row],[Inventory Suffix]]&amp;" "&amp;Master[[#This Row],[Inventory Type - Lookup Picker]]</f>
        <v>W6   SD</v>
      </c>
      <c r="C134" t="str">
        <f t="shared" si="8"/>
        <v>Received</v>
      </c>
      <c r="D134" t="str">
        <f t="shared" si="9"/>
        <v>mm/dd/yyyy</v>
      </c>
      <c r="E134" s="77">
        <f>Master[[#This Row],[Received Date -received by site]]</f>
        <v>44466</v>
      </c>
      <c r="F134" s="17" t="str">
        <f>IF(Master[[#This Row],[Total Weight -gram (if unknown, leave blank)]]="","1",Master[[#This Row],[Total Weight -gram (if unknown, leave blank)]])</f>
        <v>1</v>
      </c>
      <c r="G134" s="17" t="str">
        <f>IF(InvActionRecd[[#This Row],[Quantity]]="1","packet","gram")</f>
        <v>packet</v>
      </c>
      <c r="H134" t="str">
        <f>IF(Master[[#This Row],[Inventory Type - Lookup Picker]]="","",Master[[#This Row],[Inventory Type - Lookup Picker]])</f>
        <v>SD</v>
      </c>
      <c r="I134" t="str">
        <f>IF(Master[[#This Row],[Cooperator (Donor) 1 -full record]]="","",Master[[#This Row],[Cooperator (Donor) 1 -full record]])</f>
        <v>Bureau of Land Management, SOS project</v>
      </c>
      <c r="J134" s="141"/>
    </row>
    <row r="135" spans="2:10" x14ac:dyDescent="0.25">
      <c r="B135" s="45" t="str">
        <f>Master[[#This Row],[Inventory Prefix]]&amp;" "&amp;Master[[#This Row],[Inventory Number]]&amp;" "&amp;Master[[#This Row],[Inventory Suffix]]&amp;" "&amp;Master[[#This Row],[Inventory Type - Lookup Picker]]</f>
        <v>W6   SD</v>
      </c>
      <c r="C135" t="str">
        <f t="shared" si="8"/>
        <v>Received</v>
      </c>
      <c r="D135" t="str">
        <f t="shared" si="9"/>
        <v>mm/dd/yyyy</v>
      </c>
      <c r="E135" s="77">
        <f>Master[[#This Row],[Received Date -received by site]]</f>
        <v>44466</v>
      </c>
      <c r="F135" s="17" t="str">
        <f>IF(Master[[#This Row],[Total Weight -gram (if unknown, leave blank)]]="","1",Master[[#This Row],[Total Weight -gram (if unknown, leave blank)]])</f>
        <v>1</v>
      </c>
      <c r="G135" s="17" t="str">
        <f>IF(InvActionRecd[[#This Row],[Quantity]]="1","packet","gram")</f>
        <v>packet</v>
      </c>
      <c r="H135" t="str">
        <f>IF(Master[[#This Row],[Inventory Type - Lookup Picker]]="","",Master[[#This Row],[Inventory Type - Lookup Picker]])</f>
        <v>SD</v>
      </c>
      <c r="I135" t="str">
        <f>IF(Master[[#This Row],[Cooperator (Donor) 1 -full record]]="","",Master[[#This Row],[Cooperator (Donor) 1 -full record]])</f>
        <v>Bureau of Land Management, SOS project</v>
      </c>
    </row>
    <row r="136" spans="2:10" x14ac:dyDescent="0.25">
      <c r="B136" s="45" t="str">
        <f>Master[[#This Row],[Inventory Prefix]]&amp;" "&amp;Master[[#This Row],[Inventory Number]]&amp;" "&amp;Master[[#This Row],[Inventory Suffix]]&amp;" "&amp;Master[[#This Row],[Inventory Type - Lookup Picker]]</f>
        <v>W6   SD</v>
      </c>
      <c r="C136" t="str">
        <f t="shared" si="8"/>
        <v>Received</v>
      </c>
      <c r="D136" t="str">
        <f t="shared" si="9"/>
        <v>mm/dd/yyyy</v>
      </c>
      <c r="E136" s="77">
        <f>Master[[#This Row],[Received Date -received by site]]</f>
        <v>44466</v>
      </c>
      <c r="F136" s="17" t="str">
        <f>IF(Master[[#This Row],[Total Weight -gram (if unknown, leave blank)]]="","1",Master[[#This Row],[Total Weight -gram (if unknown, leave blank)]])</f>
        <v>1</v>
      </c>
      <c r="G136" s="17" t="str">
        <f>IF(InvActionRecd[[#This Row],[Quantity]]="1","packet","gram")</f>
        <v>packet</v>
      </c>
      <c r="H136" t="str">
        <f>IF(Master[[#This Row],[Inventory Type - Lookup Picker]]="","",Master[[#This Row],[Inventory Type - Lookup Picker]])</f>
        <v>SD</v>
      </c>
      <c r="I136" t="str">
        <f>IF(Master[[#This Row],[Cooperator (Donor) 1 -full record]]="","",Master[[#This Row],[Cooperator (Donor) 1 -full record]])</f>
        <v>Bureau of Land Management, SOS project</v>
      </c>
    </row>
    <row r="137" spans="2:10" x14ac:dyDescent="0.25">
      <c r="B137" s="45" t="str">
        <f>Master[[#This Row],[Inventory Prefix]]&amp;" "&amp;Master[[#This Row],[Inventory Number]]&amp;" "&amp;Master[[#This Row],[Inventory Suffix]]&amp;" "&amp;Master[[#This Row],[Inventory Type - Lookup Picker]]</f>
        <v>W6   SD</v>
      </c>
      <c r="C137" t="str">
        <f t="shared" si="8"/>
        <v>Received</v>
      </c>
      <c r="D137" t="str">
        <f t="shared" si="9"/>
        <v>mm/dd/yyyy</v>
      </c>
      <c r="E137" s="77">
        <f>Master[[#This Row],[Received Date -received by site]]</f>
        <v>44466</v>
      </c>
      <c r="F137" s="17" t="str">
        <f>IF(Master[[#This Row],[Total Weight -gram (if unknown, leave blank)]]="","1",Master[[#This Row],[Total Weight -gram (if unknown, leave blank)]])</f>
        <v>1</v>
      </c>
      <c r="G137" s="17" t="str">
        <f>IF(InvActionRecd[[#This Row],[Quantity]]="1","packet","gram")</f>
        <v>packet</v>
      </c>
      <c r="H137" t="str">
        <f>IF(Master[[#This Row],[Inventory Type - Lookup Picker]]="","",Master[[#This Row],[Inventory Type - Lookup Picker]])</f>
        <v>SD</v>
      </c>
      <c r="I137" t="str">
        <f>IF(Master[[#This Row],[Cooperator (Donor) 1 -full record]]="","",Master[[#This Row],[Cooperator (Donor) 1 -full record]])</f>
        <v>Bureau of Land Management, SOS project</v>
      </c>
    </row>
    <row r="138" spans="2:10" x14ac:dyDescent="0.25">
      <c r="B138" s="45" t="str">
        <f>Master[[#This Row],[Inventory Prefix]]&amp;" "&amp;Master[[#This Row],[Inventory Number]]&amp;" "&amp;Master[[#This Row],[Inventory Suffix]]&amp;" "&amp;Master[[#This Row],[Inventory Type - Lookup Picker]]</f>
        <v>W6   SD</v>
      </c>
      <c r="C138" t="str">
        <f t="shared" si="8"/>
        <v>Received</v>
      </c>
      <c r="D138" t="str">
        <f t="shared" si="9"/>
        <v>mm/dd/yyyy</v>
      </c>
      <c r="E138" s="77">
        <f>Master[[#This Row],[Received Date -received by site]]</f>
        <v>44466</v>
      </c>
      <c r="F138" s="17" t="str">
        <f>IF(Master[[#This Row],[Total Weight -gram (if unknown, leave blank)]]="","1",Master[[#This Row],[Total Weight -gram (if unknown, leave blank)]])</f>
        <v>1</v>
      </c>
      <c r="G138" s="17" t="str">
        <f>IF(InvActionRecd[[#This Row],[Quantity]]="1","packet","gram")</f>
        <v>packet</v>
      </c>
      <c r="H138" t="str">
        <f>IF(Master[[#This Row],[Inventory Type - Lookup Picker]]="","",Master[[#This Row],[Inventory Type - Lookup Picker]])</f>
        <v>SD</v>
      </c>
      <c r="I138" t="str">
        <f>IF(Master[[#This Row],[Cooperator (Donor) 1 -full record]]="","",Master[[#This Row],[Cooperator (Donor) 1 -full record]])</f>
        <v>Bureau of Land Management, SOS project</v>
      </c>
    </row>
    <row r="139" spans="2:10" x14ac:dyDescent="0.25">
      <c r="B139" s="45" t="str">
        <f>Master[[#This Row],[Inventory Prefix]]&amp;" "&amp;Master[[#This Row],[Inventory Number]]&amp;" "&amp;Master[[#This Row],[Inventory Suffix]]&amp;" "&amp;Master[[#This Row],[Inventory Type - Lookup Picker]]</f>
        <v>W6   SD</v>
      </c>
      <c r="C139" t="str">
        <f t="shared" si="8"/>
        <v>Received</v>
      </c>
      <c r="D139" t="str">
        <f t="shared" si="9"/>
        <v>mm/dd/yyyy</v>
      </c>
      <c r="E139" s="77">
        <f>Master[[#This Row],[Received Date -received by site]]</f>
        <v>44466</v>
      </c>
      <c r="F139" s="17" t="str">
        <f>IF(Master[[#This Row],[Total Weight -gram (if unknown, leave blank)]]="","1",Master[[#This Row],[Total Weight -gram (if unknown, leave blank)]])</f>
        <v>1</v>
      </c>
      <c r="G139" s="17" t="str">
        <f>IF(InvActionRecd[[#This Row],[Quantity]]="1","packet","gram")</f>
        <v>packet</v>
      </c>
      <c r="H139" t="str">
        <f>IF(Master[[#This Row],[Inventory Type - Lookup Picker]]="","",Master[[#This Row],[Inventory Type - Lookup Picker]])</f>
        <v>SD</v>
      </c>
      <c r="I139" t="str">
        <f>IF(Master[[#This Row],[Cooperator (Donor) 1 -full record]]="","",Master[[#This Row],[Cooperator (Donor) 1 -full record]])</f>
        <v>Bureau of Land Management, SOS project</v>
      </c>
    </row>
    <row r="140" spans="2:10" x14ac:dyDescent="0.25">
      <c r="B140" s="45" t="str">
        <f>Master[[#This Row],[Inventory Prefix]]&amp;" "&amp;Master[[#This Row],[Inventory Number]]&amp;" "&amp;Master[[#This Row],[Inventory Suffix]]&amp;" "&amp;Master[[#This Row],[Inventory Type - Lookup Picker]]</f>
        <v>W6   SD</v>
      </c>
      <c r="C140" t="str">
        <f t="shared" si="8"/>
        <v>Received</v>
      </c>
      <c r="D140" t="str">
        <f t="shared" si="9"/>
        <v>mm/dd/yyyy</v>
      </c>
      <c r="E140" s="77">
        <f>Master[[#This Row],[Received Date -received by site]]</f>
        <v>44466</v>
      </c>
      <c r="F140" s="17" t="str">
        <f>IF(Master[[#This Row],[Total Weight -gram (if unknown, leave blank)]]="","1",Master[[#This Row],[Total Weight -gram (if unknown, leave blank)]])</f>
        <v>1</v>
      </c>
      <c r="G140" s="17" t="str">
        <f>IF(InvActionRecd[[#This Row],[Quantity]]="1","packet","gram")</f>
        <v>packet</v>
      </c>
      <c r="H140" t="str">
        <f>IF(Master[[#This Row],[Inventory Type - Lookup Picker]]="","",Master[[#This Row],[Inventory Type - Lookup Picker]])</f>
        <v>SD</v>
      </c>
      <c r="I140" t="str">
        <f>IF(Master[[#This Row],[Cooperator (Donor) 1 -full record]]="","",Master[[#This Row],[Cooperator (Donor) 1 -full record]])</f>
        <v>Bureau of Land Management, SOS project</v>
      </c>
    </row>
    <row r="141" spans="2:10" x14ac:dyDescent="0.25">
      <c r="B141" s="45" t="str">
        <f>Master[[#This Row],[Inventory Prefix]]&amp;" "&amp;Master[[#This Row],[Inventory Number]]&amp;" "&amp;Master[[#This Row],[Inventory Suffix]]&amp;" "&amp;Master[[#This Row],[Inventory Type - Lookup Picker]]</f>
        <v>W6   SD</v>
      </c>
      <c r="C141" t="str">
        <f t="shared" si="8"/>
        <v>Received</v>
      </c>
      <c r="D141" t="str">
        <f t="shared" si="9"/>
        <v>mm/dd/yyyy</v>
      </c>
      <c r="E141" s="77">
        <f>Master[[#This Row],[Received Date -received by site]]</f>
        <v>44466</v>
      </c>
      <c r="F141" s="17" t="str">
        <f>IF(Master[[#This Row],[Total Weight -gram (if unknown, leave blank)]]="","1",Master[[#This Row],[Total Weight -gram (if unknown, leave blank)]])</f>
        <v>1</v>
      </c>
      <c r="G141" s="17" t="str">
        <f>IF(InvActionRecd[[#This Row],[Quantity]]="1","packet","gram")</f>
        <v>packet</v>
      </c>
      <c r="H141" t="str">
        <f>IF(Master[[#This Row],[Inventory Type - Lookup Picker]]="","",Master[[#This Row],[Inventory Type - Lookup Picker]])</f>
        <v>SD</v>
      </c>
      <c r="I141" t="str">
        <f>IF(Master[[#This Row],[Cooperator (Donor) 1 -full record]]="","",Master[[#This Row],[Cooperator (Donor) 1 -full record]])</f>
        <v>Bureau of Land Management, SOS project</v>
      </c>
    </row>
    <row r="142" spans="2:10" x14ac:dyDescent="0.25">
      <c r="B142" s="45" t="str">
        <f>Master[[#This Row],[Inventory Prefix]]&amp;" "&amp;Master[[#This Row],[Inventory Number]]&amp;" "&amp;Master[[#This Row],[Inventory Suffix]]&amp;" "&amp;Master[[#This Row],[Inventory Type - Lookup Picker]]</f>
        <v>W6   SD</v>
      </c>
      <c r="C142" t="str">
        <f t="shared" si="8"/>
        <v>Received</v>
      </c>
      <c r="D142" t="str">
        <f t="shared" si="9"/>
        <v>mm/dd/yyyy</v>
      </c>
      <c r="E142" s="77">
        <f>Master[[#This Row],[Received Date -received by site]]</f>
        <v>44466</v>
      </c>
      <c r="F142" s="17" t="str">
        <f>IF(Master[[#This Row],[Total Weight -gram (if unknown, leave blank)]]="","1",Master[[#This Row],[Total Weight -gram (if unknown, leave blank)]])</f>
        <v>1</v>
      </c>
      <c r="G142" s="17" t="str">
        <f>IF(InvActionRecd[[#This Row],[Quantity]]="1","packet","gram")</f>
        <v>packet</v>
      </c>
      <c r="H142" t="str">
        <f>IF(Master[[#This Row],[Inventory Type - Lookup Picker]]="","",Master[[#This Row],[Inventory Type - Lookup Picker]])</f>
        <v>SD</v>
      </c>
      <c r="I142" t="str">
        <f>IF(Master[[#This Row],[Cooperator (Donor) 1 -full record]]="","",Master[[#This Row],[Cooperator (Donor) 1 -full record]])</f>
        <v>Bureau of Land Management, SOS project</v>
      </c>
    </row>
    <row r="143" spans="2:10" x14ac:dyDescent="0.25">
      <c r="B143" s="45" t="str">
        <f>Master[[#This Row],[Inventory Prefix]]&amp;" "&amp;Master[[#This Row],[Inventory Number]]&amp;" "&amp;Master[[#This Row],[Inventory Suffix]]&amp;" "&amp;Master[[#This Row],[Inventory Type - Lookup Picker]]</f>
        <v>W6   SD</v>
      </c>
      <c r="C143" t="str">
        <f t="shared" si="8"/>
        <v>Received</v>
      </c>
      <c r="D143" t="str">
        <f t="shared" si="9"/>
        <v>mm/dd/yyyy</v>
      </c>
      <c r="E143" s="77">
        <f>Master[[#This Row],[Received Date -received by site]]</f>
        <v>44466</v>
      </c>
      <c r="F143" s="17" t="str">
        <f>IF(Master[[#This Row],[Total Weight -gram (if unknown, leave blank)]]="","1",Master[[#This Row],[Total Weight -gram (if unknown, leave blank)]])</f>
        <v>1</v>
      </c>
      <c r="G143" s="17" t="str">
        <f>IF(InvActionRecd[[#This Row],[Quantity]]="1","packet","gram")</f>
        <v>packet</v>
      </c>
      <c r="H143" t="str">
        <f>IF(Master[[#This Row],[Inventory Type - Lookup Picker]]="","",Master[[#This Row],[Inventory Type - Lookup Picker]])</f>
        <v>SD</v>
      </c>
      <c r="I143" t="str">
        <f>IF(Master[[#This Row],[Cooperator (Donor) 1 -full record]]="","",Master[[#This Row],[Cooperator (Donor) 1 -full record]])</f>
        <v>Bureau of Land Management, SOS project</v>
      </c>
    </row>
    <row r="144" spans="2:10" x14ac:dyDescent="0.25">
      <c r="B144" s="45" t="str">
        <f>Master[[#This Row],[Inventory Prefix]]&amp;" "&amp;Master[[#This Row],[Inventory Number]]&amp;" "&amp;Master[[#This Row],[Inventory Suffix]]&amp;" "&amp;Master[[#This Row],[Inventory Type - Lookup Picker]]</f>
        <v>W6   SD</v>
      </c>
      <c r="C144" t="str">
        <f t="shared" si="8"/>
        <v>Received</v>
      </c>
      <c r="D144" t="str">
        <f t="shared" si="9"/>
        <v>mm/dd/yyyy</v>
      </c>
      <c r="E144" s="77">
        <f>Master[[#This Row],[Received Date -received by site]]</f>
        <v>44466</v>
      </c>
      <c r="F144" s="17" t="str">
        <f>IF(Master[[#This Row],[Total Weight -gram (if unknown, leave blank)]]="","1",Master[[#This Row],[Total Weight -gram (if unknown, leave blank)]])</f>
        <v>1</v>
      </c>
      <c r="G144" s="17" t="str">
        <f>IF(InvActionRecd[[#This Row],[Quantity]]="1","packet","gram")</f>
        <v>packet</v>
      </c>
      <c r="H144" t="str">
        <f>IF(Master[[#This Row],[Inventory Type - Lookup Picker]]="","",Master[[#This Row],[Inventory Type - Lookup Picker]])</f>
        <v>SD</v>
      </c>
      <c r="I144" t="str">
        <f>IF(Master[[#This Row],[Cooperator (Donor) 1 -full record]]="","",Master[[#This Row],[Cooperator (Donor) 1 -full record]])</f>
        <v>Bureau of Land Management, SOS project</v>
      </c>
    </row>
    <row r="145" spans="2:9" x14ac:dyDescent="0.25">
      <c r="B145" s="45" t="str">
        <f>Master[[#This Row],[Inventory Prefix]]&amp;" "&amp;Master[[#This Row],[Inventory Number]]&amp;" "&amp;Master[[#This Row],[Inventory Suffix]]&amp;" "&amp;Master[[#This Row],[Inventory Type - Lookup Picker]]</f>
        <v>W6   SD</v>
      </c>
      <c r="C145" t="str">
        <f t="shared" si="8"/>
        <v>Received</v>
      </c>
      <c r="D145" t="str">
        <f t="shared" si="9"/>
        <v>mm/dd/yyyy</v>
      </c>
      <c r="E145" s="77">
        <f>Master[[#This Row],[Received Date -received by site]]</f>
        <v>44466</v>
      </c>
      <c r="F145" s="17" t="str">
        <f>IF(Master[[#This Row],[Total Weight -gram (if unknown, leave blank)]]="","1",Master[[#This Row],[Total Weight -gram (if unknown, leave blank)]])</f>
        <v>1</v>
      </c>
      <c r="G145" s="17" t="str">
        <f>IF(InvActionRecd[[#This Row],[Quantity]]="1","packet","gram")</f>
        <v>packet</v>
      </c>
      <c r="H145" t="str">
        <f>IF(Master[[#This Row],[Inventory Type - Lookup Picker]]="","",Master[[#This Row],[Inventory Type - Lookup Picker]])</f>
        <v>SD</v>
      </c>
      <c r="I145" t="str">
        <f>IF(Master[[#This Row],[Cooperator (Donor) 1 -full record]]="","",Master[[#This Row],[Cooperator (Donor) 1 -full record]])</f>
        <v>Bureau of Land Management, SOS project</v>
      </c>
    </row>
    <row r="146" spans="2:9" x14ac:dyDescent="0.25">
      <c r="B146" s="45" t="str">
        <f>Master[[#This Row],[Inventory Prefix]]&amp;" "&amp;Master[[#This Row],[Inventory Number]]&amp;" "&amp;Master[[#This Row],[Inventory Suffix]]&amp;" "&amp;Master[[#This Row],[Inventory Type - Lookup Picker]]</f>
        <v>W6   SD</v>
      </c>
      <c r="C146" t="str">
        <f t="shared" si="8"/>
        <v>Received</v>
      </c>
      <c r="D146" t="str">
        <f t="shared" si="9"/>
        <v>mm/dd/yyyy</v>
      </c>
      <c r="E146" s="77">
        <f>Master[[#This Row],[Received Date -received by site]]</f>
        <v>44466</v>
      </c>
      <c r="F146" s="17" t="str">
        <f>IF(Master[[#This Row],[Total Weight -gram (if unknown, leave blank)]]="","1",Master[[#This Row],[Total Weight -gram (if unknown, leave blank)]])</f>
        <v>1</v>
      </c>
      <c r="G146" s="17" t="str">
        <f>IF(InvActionRecd[[#This Row],[Quantity]]="1","packet","gram")</f>
        <v>packet</v>
      </c>
      <c r="H146" t="str">
        <f>IF(Master[[#This Row],[Inventory Type - Lookup Picker]]="","",Master[[#This Row],[Inventory Type - Lookup Picker]])</f>
        <v>SD</v>
      </c>
      <c r="I146" t="str">
        <f>IF(Master[[#This Row],[Cooperator (Donor) 1 -full record]]="","",Master[[#This Row],[Cooperator (Donor) 1 -full record]])</f>
        <v>Bureau of Land Management, SOS project</v>
      </c>
    </row>
    <row r="147" spans="2:9" x14ac:dyDescent="0.25">
      <c r="B147" s="45" t="str">
        <f>Master[[#This Row],[Inventory Prefix]]&amp;" "&amp;Master[[#This Row],[Inventory Number]]&amp;" "&amp;Master[[#This Row],[Inventory Suffix]]&amp;" "&amp;Master[[#This Row],[Inventory Type - Lookup Picker]]</f>
        <v>W6   SD</v>
      </c>
      <c r="C147" t="str">
        <f t="shared" si="8"/>
        <v>Received</v>
      </c>
      <c r="D147" t="str">
        <f t="shared" si="9"/>
        <v>mm/dd/yyyy</v>
      </c>
      <c r="E147" s="77">
        <f>Master[[#This Row],[Received Date -received by site]]</f>
        <v>44466</v>
      </c>
      <c r="F147" s="17" t="str">
        <f>IF(Master[[#This Row],[Total Weight -gram (if unknown, leave blank)]]="","1",Master[[#This Row],[Total Weight -gram (if unknown, leave blank)]])</f>
        <v>1</v>
      </c>
      <c r="G147" s="17" t="str">
        <f>IF(InvActionRecd[[#This Row],[Quantity]]="1","packet","gram")</f>
        <v>packet</v>
      </c>
      <c r="H147" t="str">
        <f>IF(Master[[#This Row],[Inventory Type - Lookup Picker]]="","",Master[[#This Row],[Inventory Type - Lookup Picker]])</f>
        <v>SD</v>
      </c>
      <c r="I147" t="str">
        <f>IF(Master[[#This Row],[Cooperator (Donor) 1 -full record]]="","",Master[[#This Row],[Cooperator (Donor) 1 -full record]])</f>
        <v>Bureau of Land Management, SOS project</v>
      </c>
    </row>
    <row r="148" spans="2:9" x14ac:dyDescent="0.25">
      <c r="B148" s="45" t="str">
        <f>Master[[#This Row],[Inventory Prefix]]&amp;" "&amp;Master[[#This Row],[Inventory Number]]&amp;" "&amp;Master[[#This Row],[Inventory Suffix]]&amp;" "&amp;Master[[#This Row],[Inventory Type - Lookup Picker]]</f>
        <v>W6   SD</v>
      </c>
      <c r="C148" t="str">
        <f t="shared" si="8"/>
        <v>Received</v>
      </c>
      <c r="D148" t="str">
        <f t="shared" si="9"/>
        <v>mm/dd/yyyy</v>
      </c>
      <c r="E148" s="77">
        <f>Master[[#This Row],[Received Date -received by site]]</f>
        <v>44466</v>
      </c>
      <c r="F148" s="17" t="str">
        <f>IF(Master[[#This Row],[Total Weight -gram (if unknown, leave blank)]]="","1",Master[[#This Row],[Total Weight -gram (if unknown, leave blank)]])</f>
        <v>1</v>
      </c>
      <c r="G148" s="17" t="str">
        <f>IF(InvActionRecd[[#This Row],[Quantity]]="1","packet","gram")</f>
        <v>packet</v>
      </c>
      <c r="H148" t="str">
        <f>IF(Master[[#This Row],[Inventory Type - Lookup Picker]]="","",Master[[#This Row],[Inventory Type - Lookup Picker]])</f>
        <v>SD</v>
      </c>
      <c r="I148" t="str">
        <f>IF(Master[[#This Row],[Cooperator (Donor) 1 -full record]]="","",Master[[#This Row],[Cooperator (Donor) 1 -full record]])</f>
        <v>Bureau of Land Management, SOS project</v>
      </c>
    </row>
    <row r="149" spans="2:9" x14ac:dyDescent="0.25">
      <c r="B149" s="45" t="str">
        <f>Master[[#This Row],[Inventory Prefix]]&amp;" "&amp;Master[[#This Row],[Inventory Number]]&amp;" "&amp;Master[[#This Row],[Inventory Suffix]]&amp;" "&amp;Master[[#This Row],[Inventory Type - Lookup Picker]]</f>
        <v>W6   SD</v>
      </c>
      <c r="C149" t="str">
        <f t="shared" si="8"/>
        <v>Received</v>
      </c>
      <c r="D149" t="str">
        <f t="shared" si="9"/>
        <v>mm/dd/yyyy</v>
      </c>
      <c r="E149" s="77">
        <f>Master[[#This Row],[Received Date -received by site]]</f>
        <v>44466</v>
      </c>
      <c r="F149" s="17" t="str">
        <f>IF(Master[[#This Row],[Total Weight -gram (if unknown, leave blank)]]="","1",Master[[#This Row],[Total Weight -gram (if unknown, leave blank)]])</f>
        <v>1</v>
      </c>
      <c r="G149" s="17" t="str">
        <f>IF(InvActionRecd[[#This Row],[Quantity]]="1","packet","gram")</f>
        <v>packet</v>
      </c>
      <c r="H149" t="str">
        <f>IF(Master[[#This Row],[Inventory Type - Lookup Picker]]="","",Master[[#This Row],[Inventory Type - Lookup Picker]])</f>
        <v>SD</v>
      </c>
      <c r="I149" t="str">
        <f>IF(Master[[#This Row],[Cooperator (Donor) 1 -full record]]="","",Master[[#This Row],[Cooperator (Donor) 1 -full record]])</f>
        <v>Bureau of Land Management, SOS project</v>
      </c>
    </row>
    <row r="150" spans="2:9" x14ac:dyDescent="0.25">
      <c r="B150" s="45" t="str">
        <f>Master[[#This Row],[Inventory Prefix]]&amp;" "&amp;Master[[#This Row],[Inventory Number]]&amp;" "&amp;Master[[#This Row],[Inventory Suffix]]&amp;" "&amp;Master[[#This Row],[Inventory Type - Lookup Picker]]</f>
        <v>W6   SD</v>
      </c>
      <c r="C150" t="str">
        <f t="shared" ref="C150:C181" si="10">"Received"</f>
        <v>Received</v>
      </c>
      <c r="D150" t="str">
        <f t="shared" ref="D150:D181" si="11">"mm/dd/yyyy"</f>
        <v>mm/dd/yyyy</v>
      </c>
      <c r="E150" s="77">
        <f>Master[[#This Row],[Received Date -received by site]]</f>
        <v>44466</v>
      </c>
      <c r="F150" s="17" t="str">
        <f>IF(Master[[#This Row],[Total Weight -gram (if unknown, leave blank)]]="","1",Master[[#This Row],[Total Weight -gram (if unknown, leave blank)]])</f>
        <v>1</v>
      </c>
      <c r="G150" s="17" t="str">
        <f>IF(InvActionRecd[[#This Row],[Quantity]]="1","packet","gram")</f>
        <v>packet</v>
      </c>
      <c r="H150" t="str">
        <f>IF(Master[[#This Row],[Inventory Type - Lookup Picker]]="","",Master[[#This Row],[Inventory Type - Lookup Picker]])</f>
        <v>SD</v>
      </c>
      <c r="I150" t="str">
        <f>IF(Master[[#This Row],[Cooperator (Donor) 1 -full record]]="","",Master[[#This Row],[Cooperator (Donor) 1 -full record]])</f>
        <v>Bureau of Land Management, SOS project</v>
      </c>
    </row>
    <row r="151" spans="2:9" x14ac:dyDescent="0.25">
      <c r="B151" s="45" t="str">
        <f>Master[[#This Row],[Inventory Prefix]]&amp;" "&amp;Master[[#This Row],[Inventory Number]]&amp;" "&amp;Master[[#This Row],[Inventory Suffix]]&amp;" "&amp;Master[[#This Row],[Inventory Type - Lookup Picker]]</f>
        <v>W6   SD</v>
      </c>
      <c r="C151" t="str">
        <f t="shared" si="10"/>
        <v>Received</v>
      </c>
      <c r="D151" t="str">
        <f t="shared" si="11"/>
        <v>mm/dd/yyyy</v>
      </c>
      <c r="E151" s="77">
        <f>Master[[#This Row],[Received Date -received by site]]</f>
        <v>44466</v>
      </c>
      <c r="F151" s="17" t="str">
        <f>IF(Master[[#This Row],[Total Weight -gram (if unknown, leave blank)]]="","1",Master[[#This Row],[Total Weight -gram (if unknown, leave blank)]])</f>
        <v>1</v>
      </c>
      <c r="G151" s="17" t="str">
        <f>IF(InvActionRecd[[#This Row],[Quantity]]="1","packet","gram")</f>
        <v>packet</v>
      </c>
      <c r="H151" t="str">
        <f>IF(Master[[#This Row],[Inventory Type - Lookup Picker]]="","",Master[[#This Row],[Inventory Type - Lookup Picker]])</f>
        <v>SD</v>
      </c>
      <c r="I151" t="str">
        <f>IF(Master[[#This Row],[Cooperator (Donor) 1 -full record]]="","",Master[[#This Row],[Cooperator (Donor) 1 -full record]])</f>
        <v>Bureau of Land Management, SOS project</v>
      </c>
    </row>
    <row r="152" spans="2:9" x14ac:dyDescent="0.25">
      <c r="B152" s="45" t="str">
        <f>Master[[#This Row],[Inventory Prefix]]&amp;" "&amp;Master[[#This Row],[Inventory Number]]&amp;" "&amp;Master[[#This Row],[Inventory Suffix]]&amp;" "&amp;Master[[#This Row],[Inventory Type - Lookup Picker]]</f>
        <v xml:space="preserve">   </v>
      </c>
      <c r="C152" t="str">
        <f t="shared" si="10"/>
        <v>Received</v>
      </c>
      <c r="D152" t="str">
        <f t="shared" si="11"/>
        <v>mm/dd/yyyy</v>
      </c>
      <c r="E152" s="77">
        <f>Master[[#This Row],[Received Date -received by site]]</f>
        <v>0</v>
      </c>
      <c r="F152" s="17" t="str">
        <f>IF(Master[[#This Row],[Total Weight -gram (if unknown, leave blank)]]="","1",Master[[#This Row],[Total Weight -gram (if unknown, leave blank)]])</f>
        <v>1</v>
      </c>
      <c r="G152" s="17" t="str">
        <f>IF(InvActionRecd[[#This Row],[Quantity]]="1","packet","gram")</f>
        <v>packet</v>
      </c>
      <c r="H152" t="str">
        <f>IF(Master[[#This Row],[Inventory Type - Lookup Picker]]="","",Master[[#This Row],[Inventory Type - Lookup Picker]])</f>
        <v/>
      </c>
      <c r="I152" t="str">
        <f>IF(Master[[#This Row],[Cooperator (Donor) 1 -full record]]="","",Master[[#This Row],[Cooperator (Donor) 1 -full record]])</f>
        <v/>
      </c>
    </row>
    <row r="153" spans="2:9" x14ac:dyDescent="0.25">
      <c r="B153" s="45" t="str">
        <f>Master[[#This Row],[Inventory Prefix]]&amp;" "&amp;Master[[#This Row],[Inventory Number]]&amp;" "&amp;Master[[#This Row],[Inventory Suffix]]&amp;" "&amp;Master[[#This Row],[Inventory Type - Lookup Picker]]</f>
        <v xml:space="preserve">   </v>
      </c>
      <c r="C153" t="str">
        <f t="shared" si="10"/>
        <v>Received</v>
      </c>
      <c r="D153" t="str">
        <f t="shared" si="11"/>
        <v>mm/dd/yyyy</v>
      </c>
      <c r="E153" s="77">
        <f>Master[[#This Row],[Received Date -received by site]]</f>
        <v>0</v>
      </c>
      <c r="F153" s="17" t="str">
        <f>IF(Master[[#This Row],[Total Weight -gram (if unknown, leave blank)]]="","1",Master[[#This Row],[Total Weight -gram (if unknown, leave blank)]])</f>
        <v>1</v>
      </c>
      <c r="G153" s="17" t="str">
        <f>IF(InvActionRecd[[#This Row],[Quantity]]="1","packet","gram")</f>
        <v>packet</v>
      </c>
      <c r="H153" t="str">
        <f>IF(Master[[#This Row],[Inventory Type - Lookup Picker]]="","",Master[[#This Row],[Inventory Type - Lookup Picker]])</f>
        <v/>
      </c>
      <c r="I153" t="str">
        <f>IF(Master[[#This Row],[Cooperator (Donor) 1 -full record]]="","",Master[[#This Row],[Cooperator (Donor) 1 -full record]])</f>
        <v/>
      </c>
    </row>
    <row r="154" spans="2:9" x14ac:dyDescent="0.25">
      <c r="B154" s="45" t="str">
        <f>Master[[#This Row],[Inventory Prefix]]&amp;" "&amp;Master[[#This Row],[Inventory Number]]&amp;" "&amp;Master[[#This Row],[Inventory Suffix]]&amp;" "&amp;Master[[#This Row],[Inventory Type - Lookup Picker]]</f>
        <v xml:space="preserve">   </v>
      </c>
      <c r="C154" t="str">
        <f t="shared" si="10"/>
        <v>Received</v>
      </c>
      <c r="D154" t="str">
        <f t="shared" si="11"/>
        <v>mm/dd/yyyy</v>
      </c>
      <c r="E154" s="77">
        <f>Master[[#This Row],[Received Date -received by site]]</f>
        <v>0</v>
      </c>
      <c r="F154" s="17" t="str">
        <f>IF(Master[[#This Row],[Total Weight -gram (if unknown, leave blank)]]="","1",Master[[#This Row],[Total Weight -gram (if unknown, leave blank)]])</f>
        <v>1</v>
      </c>
      <c r="G154" s="17" t="str">
        <f>IF(InvActionRecd[[#This Row],[Quantity]]="1","packet","gram")</f>
        <v>packet</v>
      </c>
      <c r="H154" t="str">
        <f>IF(Master[[#This Row],[Inventory Type - Lookup Picker]]="","",Master[[#This Row],[Inventory Type - Lookup Picker]])</f>
        <v/>
      </c>
      <c r="I154" t="str">
        <f>IF(Master[[#This Row],[Cooperator (Donor) 1 -full record]]="","",Master[[#This Row],[Cooperator (Donor) 1 -full record]])</f>
        <v/>
      </c>
    </row>
    <row r="155" spans="2:9" x14ac:dyDescent="0.25">
      <c r="B155" s="45" t="str">
        <f>Master[[#This Row],[Inventory Prefix]]&amp;" "&amp;Master[[#This Row],[Inventory Number]]&amp;" "&amp;Master[[#This Row],[Inventory Suffix]]&amp;" "&amp;Master[[#This Row],[Inventory Type - Lookup Picker]]</f>
        <v xml:space="preserve">   </v>
      </c>
      <c r="C155" t="str">
        <f t="shared" si="10"/>
        <v>Received</v>
      </c>
      <c r="D155" t="str">
        <f t="shared" si="11"/>
        <v>mm/dd/yyyy</v>
      </c>
      <c r="E155" s="77">
        <f>Master[[#This Row],[Received Date -received by site]]</f>
        <v>0</v>
      </c>
      <c r="F155" s="17" t="str">
        <f>IF(Master[[#This Row],[Total Weight -gram (if unknown, leave blank)]]="","1",Master[[#This Row],[Total Weight -gram (if unknown, leave blank)]])</f>
        <v>1</v>
      </c>
      <c r="G155" s="17" t="str">
        <f>IF(InvActionRecd[[#This Row],[Quantity]]="1","packet","gram")</f>
        <v>packet</v>
      </c>
      <c r="H155" t="str">
        <f>IF(Master[[#This Row],[Inventory Type - Lookup Picker]]="","",Master[[#This Row],[Inventory Type - Lookup Picker]])</f>
        <v/>
      </c>
      <c r="I155" t="str">
        <f>IF(Master[[#This Row],[Cooperator (Donor) 1 -full record]]="","",Master[[#This Row],[Cooperator (Donor) 1 -full record]])</f>
        <v/>
      </c>
    </row>
    <row r="156" spans="2:9" x14ac:dyDescent="0.25">
      <c r="B156" s="45" t="str">
        <f>Master[[#This Row],[Inventory Prefix]]&amp;" "&amp;Master[[#This Row],[Inventory Number]]&amp;" "&amp;Master[[#This Row],[Inventory Suffix]]&amp;" "&amp;Master[[#This Row],[Inventory Type - Lookup Picker]]</f>
        <v xml:space="preserve">   </v>
      </c>
      <c r="C156" t="str">
        <f t="shared" si="10"/>
        <v>Received</v>
      </c>
      <c r="D156" t="str">
        <f t="shared" si="11"/>
        <v>mm/dd/yyyy</v>
      </c>
      <c r="E156" s="77">
        <f>Master[[#This Row],[Received Date -received by site]]</f>
        <v>0</v>
      </c>
      <c r="F156" s="17" t="str">
        <f>IF(Master[[#This Row],[Total Weight -gram (if unknown, leave blank)]]="","1",Master[[#This Row],[Total Weight -gram (if unknown, leave blank)]])</f>
        <v>1</v>
      </c>
      <c r="G156" s="17" t="str">
        <f>IF(InvActionRecd[[#This Row],[Quantity]]="1","packet","gram")</f>
        <v>packet</v>
      </c>
      <c r="H156" t="str">
        <f>IF(Master[[#This Row],[Inventory Type - Lookup Picker]]="","",Master[[#This Row],[Inventory Type - Lookup Picker]])</f>
        <v/>
      </c>
      <c r="I156" t="str">
        <f>IF(Master[[#This Row],[Cooperator (Donor) 1 -full record]]="","",Master[[#This Row],[Cooperator (Donor) 1 -full record]])</f>
        <v/>
      </c>
    </row>
    <row r="157" spans="2:9" x14ac:dyDescent="0.25">
      <c r="B157" s="45" t="str">
        <f>Master[[#This Row],[Inventory Prefix]]&amp;" "&amp;Master[[#This Row],[Inventory Number]]&amp;" "&amp;Master[[#This Row],[Inventory Suffix]]&amp;" "&amp;Master[[#This Row],[Inventory Type - Lookup Picker]]</f>
        <v xml:space="preserve">   </v>
      </c>
      <c r="C157" t="str">
        <f t="shared" si="10"/>
        <v>Received</v>
      </c>
      <c r="D157" t="str">
        <f t="shared" si="11"/>
        <v>mm/dd/yyyy</v>
      </c>
      <c r="E157" s="77">
        <f>Master[[#This Row],[Received Date -received by site]]</f>
        <v>0</v>
      </c>
      <c r="F157" s="17" t="str">
        <f>IF(Master[[#This Row],[Total Weight -gram (if unknown, leave blank)]]="","1",Master[[#This Row],[Total Weight -gram (if unknown, leave blank)]])</f>
        <v>1</v>
      </c>
      <c r="G157" s="17" t="str">
        <f>IF(InvActionRecd[[#This Row],[Quantity]]="1","packet","gram")</f>
        <v>packet</v>
      </c>
      <c r="H157" t="str">
        <f>IF(Master[[#This Row],[Inventory Type - Lookup Picker]]="","",Master[[#This Row],[Inventory Type - Lookup Picker]])</f>
        <v/>
      </c>
      <c r="I157" t="str">
        <f>IF(Master[[#This Row],[Cooperator (Donor) 1 -full record]]="","",Master[[#This Row],[Cooperator (Donor) 1 -full record]])</f>
        <v/>
      </c>
    </row>
    <row r="158" spans="2:9" x14ac:dyDescent="0.25">
      <c r="B158" s="45" t="str">
        <f>Master[[#This Row],[Inventory Prefix]]&amp;" "&amp;Master[[#This Row],[Inventory Number]]&amp;" "&amp;Master[[#This Row],[Inventory Suffix]]&amp;" "&amp;Master[[#This Row],[Inventory Type - Lookup Picker]]</f>
        <v xml:space="preserve">   </v>
      </c>
      <c r="C158" t="str">
        <f t="shared" si="10"/>
        <v>Received</v>
      </c>
      <c r="D158" t="str">
        <f t="shared" si="11"/>
        <v>mm/dd/yyyy</v>
      </c>
      <c r="E158" s="77">
        <f>Master[[#This Row],[Received Date -received by site]]</f>
        <v>0</v>
      </c>
      <c r="F158" s="17" t="str">
        <f>IF(Master[[#This Row],[Total Weight -gram (if unknown, leave blank)]]="","1",Master[[#This Row],[Total Weight -gram (if unknown, leave blank)]])</f>
        <v>1</v>
      </c>
      <c r="G158" s="17" t="str">
        <f>IF(InvActionRecd[[#This Row],[Quantity]]="1","packet","gram")</f>
        <v>packet</v>
      </c>
      <c r="H158" t="str">
        <f>IF(Master[[#This Row],[Inventory Type - Lookup Picker]]="","",Master[[#This Row],[Inventory Type - Lookup Picker]])</f>
        <v/>
      </c>
      <c r="I158" t="str">
        <f>IF(Master[[#This Row],[Cooperator (Donor) 1 -full record]]="","",Master[[#This Row],[Cooperator (Donor) 1 -full record]])</f>
        <v/>
      </c>
    </row>
    <row r="159" spans="2:9" x14ac:dyDescent="0.25">
      <c r="B159" s="45" t="str">
        <f>Master[[#This Row],[Inventory Prefix]]&amp;" "&amp;Master[[#This Row],[Inventory Number]]&amp;" "&amp;Master[[#This Row],[Inventory Suffix]]&amp;" "&amp;Master[[#This Row],[Inventory Type - Lookup Picker]]</f>
        <v xml:space="preserve">   </v>
      </c>
      <c r="C159" t="str">
        <f t="shared" si="10"/>
        <v>Received</v>
      </c>
      <c r="D159" t="str">
        <f t="shared" si="11"/>
        <v>mm/dd/yyyy</v>
      </c>
      <c r="E159" s="77">
        <f>Master[[#This Row],[Received Date -received by site]]</f>
        <v>0</v>
      </c>
      <c r="F159" s="17" t="str">
        <f>IF(Master[[#This Row],[Total Weight -gram (if unknown, leave blank)]]="","1",Master[[#This Row],[Total Weight -gram (if unknown, leave blank)]])</f>
        <v>1</v>
      </c>
      <c r="G159" s="17" t="str">
        <f>IF(InvActionRecd[[#This Row],[Quantity]]="1","packet","gram")</f>
        <v>packet</v>
      </c>
      <c r="H159" t="str">
        <f>IF(Master[[#This Row],[Inventory Type - Lookup Picker]]="","",Master[[#This Row],[Inventory Type - Lookup Picker]])</f>
        <v/>
      </c>
      <c r="I159" t="str">
        <f>IF(Master[[#This Row],[Cooperator (Donor) 1 -full record]]="","",Master[[#This Row],[Cooperator (Donor) 1 -full record]])</f>
        <v/>
      </c>
    </row>
    <row r="160" spans="2:9" x14ac:dyDescent="0.25">
      <c r="B160" s="45" t="str">
        <f>Master[[#This Row],[Inventory Prefix]]&amp;" "&amp;Master[[#This Row],[Inventory Number]]&amp;" "&amp;Master[[#This Row],[Inventory Suffix]]&amp;" "&amp;Master[[#This Row],[Inventory Type - Lookup Picker]]</f>
        <v xml:space="preserve">   </v>
      </c>
      <c r="C160" t="str">
        <f t="shared" si="10"/>
        <v>Received</v>
      </c>
      <c r="D160" t="str">
        <f t="shared" si="11"/>
        <v>mm/dd/yyyy</v>
      </c>
      <c r="E160" s="77">
        <f>Master[[#This Row],[Received Date -received by site]]</f>
        <v>0</v>
      </c>
      <c r="F160" s="17" t="str">
        <f>IF(Master[[#This Row],[Total Weight -gram (if unknown, leave blank)]]="","1",Master[[#This Row],[Total Weight -gram (if unknown, leave blank)]])</f>
        <v>1</v>
      </c>
      <c r="G160" s="17" t="str">
        <f>IF(InvActionRecd[[#This Row],[Quantity]]="1","packet","gram")</f>
        <v>packet</v>
      </c>
      <c r="H160" t="str">
        <f>IF(Master[[#This Row],[Inventory Type - Lookup Picker]]="","",Master[[#This Row],[Inventory Type - Lookup Picker]])</f>
        <v/>
      </c>
      <c r="I160" t="str">
        <f>IF(Master[[#This Row],[Cooperator (Donor) 1 -full record]]="","",Master[[#This Row],[Cooperator (Donor) 1 -full record]])</f>
        <v/>
      </c>
    </row>
    <row r="161" spans="2:9" x14ac:dyDescent="0.25">
      <c r="B161" s="45" t="str">
        <f>Master[[#This Row],[Inventory Prefix]]&amp;" "&amp;Master[[#This Row],[Inventory Number]]&amp;" "&amp;Master[[#This Row],[Inventory Suffix]]&amp;" "&amp;Master[[#This Row],[Inventory Type - Lookup Picker]]</f>
        <v xml:space="preserve">   </v>
      </c>
      <c r="C161" t="str">
        <f t="shared" si="10"/>
        <v>Received</v>
      </c>
      <c r="D161" t="str">
        <f t="shared" si="11"/>
        <v>mm/dd/yyyy</v>
      </c>
      <c r="E161" s="77">
        <f>Master[[#This Row],[Received Date -received by site]]</f>
        <v>0</v>
      </c>
      <c r="F161" s="17" t="str">
        <f>IF(Master[[#This Row],[Total Weight -gram (if unknown, leave blank)]]="","1",Master[[#This Row],[Total Weight -gram (if unknown, leave blank)]])</f>
        <v>1</v>
      </c>
      <c r="G161" s="17" t="str">
        <f>IF(InvActionRecd[[#This Row],[Quantity]]="1","packet","gram")</f>
        <v>packet</v>
      </c>
      <c r="H161" t="str">
        <f>IF(Master[[#This Row],[Inventory Type - Lookup Picker]]="","",Master[[#This Row],[Inventory Type - Lookup Picker]])</f>
        <v/>
      </c>
      <c r="I161" t="str">
        <f>IF(Master[[#This Row],[Cooperator (Donor) 1 -full record]]="","",Master[[#This Row],[Cooperator (Donor) 1 -full record]])</f>
        <v/>
      </c>
    </row>
    <row r="162" spans="2:9" x14ac:dyDescent="0.25">
      <c r="B162" s="45" t="str">
        <f>Master[[#This Row],[Inventory Prefix]]&amp;" "&amp;Master[[#This Row],[Inventory Number]]&amp;" "&amp;Master[[#This Row],[Inventory Suffix]]&amp;" "&amp;Master[[#This Row],[Inventory Type - Lookup Picker]]</f>
        <v xml:space="preserve">   </v>
      </c>
      <c r="C162" t="str">
        <f t="shared" si="10"/>
        <v>Received</v>
      </c>
      <c r="D162" t="str">
        <f t="shared" si="11"/>
        <v>mm/dd/yyyy</v>
      </c>
      <c r="E162" s="77">
        <f>Master[[#This Row],[Received Date -received by site]]</f>
        <v>0</v>
      </c>
      <c r="F162" s="17" t="str">
        <f>IF(Master[[#This Row],[Total Weight -gram (if unknown, leave blank)]]="","1",Master[[#This Row],[Total Weight -gram (if unknown, leave blank)]])</f>
        <v>1</v>
      </c>
      <c r="G162" s="17" t="str">
        <f>IF(InvActionRecd[[#This Row],[Quantity]]="1","packet","gram")</f>
        <v>packet</v>
      </c>
      <c r="H162" t="str">
        <f>IF(Master[[#This Row],[Inventory Type - Lookup Picker]]="","",Master[[#This Row],[Inventory Type - Lookup Picker]])</f>
        <v/>
      </c>
      <c r="I162" t="str">
        <f>IF(Master[[#This Row],[Cooperator (Donor) 1 -full record]]="","",Master[[#This Row],[Cooperator (Donor) 1 -full record]])</f>
        <v/>
      </c>
    </row>
    <row r="163" spans="2:9" x14ac:dyDescent="0.25">
      <c r="B163" s="45" t="str">
        <f>Master[[#This Row],[Inventory Prefix]]&amp;" "&amp;Master[[#This Row],[Inventory Number]]&amp;" "&amp;Master[[#This Row],[Inventory Suffix]]&amp;" "&amp;Master[[#This Row],[Inventory Type - Lookup Picker]]</f>
        <v xml:space="preserve">   </v>
      </c>
      <c r="C163" t="str">
        <f t="shared" si="10"/>
        <v>Received</v>
      </c>
      <c r="D163" t="str">
        <f t="shared" si="11"/>
        <v>mm/dd/yyyy</v>
      </c>
      <c r="E163" s="77">
        <f>Master[[#This Row],[Received Date -received by site]]</f>
        <v>0</v>
      </c>
      <c r="F163" s="17" t="str">
        <f>IF(Master[[#This Row],[Total Weight -gram (if unknown, leave blank)]]="","1",Master[[#This Row],[Total Weight -gram (if unknown, leave blank)]])</f>
        <v>1</v>
      </c>
      <c r="G163" s="17" t="str">
        <f>IF(InvActionRecd[[#This Row],[Quantity]]="1","packet","gram")</f>
        <v>packet</v>
      </c>
      <c r="H163" t="str">
        <f>IF(Master[[#This Row],[Inventory Type - Lookup Picker]]="","",Master[[#This Row],[Inventory Type - Lookup Picker]])</f>
        <v/>
      </c>
      <c r="I163" t="str">
        <f>IF(Master[[#This Row],[Cooperator (Donor) 1 -full record]]="","",Master[[#This Row],[Cooperator (Donor) 1 -full record]])</f>
        <v/>
      </c>
    </row>
    <row r="164" spans="2:9" x14ac:dyDescent="0.25">
      <c r="B164" s="45" t="str">
        <f>Master[[#This Row],[Inventory Prefix]]&amp;" "&amp;Master[[#This Row],[Inventory Number]]&amp;" "&amp;Master[[#This Row],[Inventory Suffix]]&amp;" "&amp;Master[[#This Row],[Inventory Type - Lookup Picker]]</f>
        <v xml:space="preserve">   </v>
      </c>
      <c r="C164" t="str">
        <f t="shared" si="10"/>
        <v>Received</v>
      </c>
      <c r="D164" t="str">
        <f t="shared" si="11"/>
        <v>mm/dd/yyyy</v>
      </c>
      <c r="E164" s="77">
        <f>Master[[#This Row],[Received Date -received by site]]</f>
        <v>0</v>
      </c>
      <c r="F164" s="17" t="str">
        <f>IF(Master[[#This Row],[Total Weight -gram (if unknown, leave blank)]]="","1",Master[[#This Row],[Total Weight -gram (if unknown, leave blank)]])</f>
        <v>1</v>
      </c>
      <c r="G164" s="17" t="str">
        <f>IF(InvActionRecd[[#This Row],[Quantity]]="1","packet","gram")</f>
        <v>packet</v>
      </c>
      <c r="H164" t="str">
        <f>IF(Master[[#This Row],[Inventory Type - Lookup Picker]]="","",Master[[#This Row],[Inventory Type - Lookup Picker]])</f>
        <v/>
      </c>
      <c r="I164" t="str">
        <f>IF(Master[[#This Row],[Cooperator (Donor) 1 -full record]]="","",Master[[#This Row],[Cooperator (Donor) 1 -full record]])</f>
        <v/>
      </c>
    </row>
    <row r="165" spans="2:9" x14ac:dyDescent="0.25">
      <c r="B165" s="45" t="str">
        <f>Master[[#This Row],[Inventory Prefix]]&amp;" "&amp;Master[[#This Row],[Inventory Number]]&amp;" "&amp;Master[[#This Row],[Inventory Suffix]]&amp;" "&amp;Master[[#This Row],[Inventory Type - Lookup Picker]]</f>
        <v xml:space="preserve">   </v>
      </c>
      <c r="C165" t="str">
        <f t="shared" si="10"/>
        <v>Received</v>
      </c>
      <c r="D165" t="str">
        <f t="shared" si="11"/>
        <v>mm/dd/yyyy</v>
      </c>
      <c r="E165" s="77">
        <f>Master[[#This Row],[Received Date -received by site]]</f>
        <v>0</v>
      </c>
      <c r="F165" s="17" t="str">
        <f>IF(Master[[#This Row],[Total Weight -gram (if unknown, leave blank)]]="","1",Master[[#This Row],[Total Weight -gram (if unknown, leave blank)]])</f>
        <v>1</v>
      </c>
      <c r="G165" s="17" t="str">
        <f>IF(InvActionRecd[[#This Row],[Quantity]]="1","packet","gram")</f>
        <v>packet</v>
      </c>
      <c r="H165" t="str">
        <f>IF(Master[[#This Row],[Inventory Type - Lookup Picker]]="","",Master[[#This Row],[Inventory Type - Lookup Picker]])</f>
        <v/>
      </c>
      <c r="I165" t="str">
        <f>IF(Master[[#This Row],[Cooperator (Donor) 1 -full record]]="","",Master[[#This Row],[Cooperator (Donor) 1 -full record]])</f>
        <v/>
      </c>
    </row>
    <row r="166" spans="2:9" x14ac:dyDescent="0.25">
      <c r="B166" s="45" t="str">
        <f>Master[[#This Row],[Inventory Prefix]]&amp;" "&amp;Master[[#This Row],[Inventory Number]]&amp;" "&amp;Master[[#This Row],[Inventory Suffix]]&amp;" "&amp;Master[[#This Row],[Inventory Type - Lookup Picker]]</f>
        <v xml:space="preserve">   </v>
      </c>
      <c r="C166" t="str">
        <f t="shared" si="10"/>
        <v>Received</v>
      </c>
      <c r="D166" t="str">
        <f t="shared" si="11"/>
        <v>mm/dd/yyyy</v>
      </c>
      <c r="E166" s="77">
        <f>Master[[#This Row],[Received Date -received by site]]</f>
        <v>0</v>
      </c>
      <c r="F166" s="17" t="str">
        <f>IF(Master[[#This Row],[Total Weight -gram (if unknown, leave blank)]]="","1",Master[[#This Row],[Total Weight -gram (if unknown, leave blank)]])</f>
        <v>1</v>
      </c>
      <c r="G166" s="17" t="str">
        <f>IF(InvActionRecd[[#This Row],[Quantity]]="1","packet","gram")</f>
        <v>packet</v>
      </c>
      <c r="H166" t="str">
        <f>IF(Master[[#This Row],[Inventory Type - Lookup Picker]]="","",Master[[#This Row],[Inventory Type - Lookup Picker]])</f>
        <v/>
      </c>
      <c r="I166" t="str">
        <f>IF(Master[[#This Row],[Cooperator (Donor) 1 -full record]]="","",Master[[#This Row],[Cooperator (Donor) 1 -full record]])</f>
        <v/>
      </c>
    </row>
    <row r="167" spans="2:9" x14ac:dyDescent="0.25">
      <c r="B167" s="45" t="str">
        <f>Master[[#This Row],[Inventory Prefix]]&amp;" "&amp;Master[[#This Row],[Inventory Number]]&amp;" "&amp;Master[[#This Row],[Inventory Suffix]]&amp;" "&amp;Master[[#This Row],[Inventory Type - Lookup Picker]]</f>
        <v xml:space="preserve">   </v>
      </c>
      <c r="C167" t="str">
        <f t="shared" si="10"/>
        <v>Received</v>
      </c>
      <c r="D167" t="str">
        <f t="shared" si="11"/>
        <v>mm/dd/yyyy</v>
      </c>
      <c r="E167" s="77">
        <f>Master[[#This Row],[Received Date -received by site]]</f>
        <v>0</v>
      </c>
      <c r="F167" s="17" t="str">
        <f>IF(Master[[#This Row],[Total Weight -gram (if unknown, leave blank)]]="","1",Master[[#This Row],[Total Weight -gram (if unknown, leave blank)]])</f>
        <v>1</v>
      </c>
      <c r="G167" s="17" t="str">
        <f>IF(InvActionRecd[[#This Row],[Quantity]]="1","packet","gram")</f>
        <v>packet</v>
      </c>
      <c r="H167" t="str">
        <f>IF(Master[[#This Row],[Inventory Type - Lookup Picker]]="","",Master[[#This Row],[Inventory Type - Lookup Picker]])</f>
        <v/>
      </c>
      <c r="I167" t="str">
        <f>IF(Master[[#This Row],[Cooperator (Donor) 1 -full record]]="","",Master[[#This Row],[Cooperator (Donor) 1 -full record]])</f>
        <v/>
      </c>
    </row>
    <row r="168" spans="2:9" x14ac:dyDescent="0.25">
      <c r="B168" s="45" t="str">
        <f>Master[[#This Row],[Inventory Prefix]]&amp;" "&amp;Master[[#This Row],[Inventory Number]]&amp;" "&amp;Master[[#This Row],[Inventory Suffix]]&amp;" "&amp;Master[[#This Row],[Inventory Type - Lookup Picker]]</f>
        <v xml:space="preserve">   </v>
      </c>
      <c r="C168" t="str">
        <f t="shared" si="10"/>
        <v>Received</v>
      </c>
      <c r="D168" t="str">
        <f t="shared" si="11"/>
        <v>mm/dd/yyyy</v>
      </c>
      <c r="E168" s="77">
        <f>Master[[#This Row],[Received Date -received by site]]</f>
        <v>0</v>
      </c>
      <c r="F168" s="17" t="str">
        <f>IF(Master[[#This Row],[Total Weight -gram (if unknown, leave blank)]]="","1",Master[[#This Row],[Total Weight -gram (if unknown, leave blank)]])</f>
        <v>1</v>
      </c>
      <c r="G168" s="17" t="str">
        <f>IF(InvActionRecd[[#This Row],[Quantity]]="1","packet","gram")</f>
        <v>packet</v>
      </c>
      <c r="H168" t="str">
        <f>IF(Master[[#This Row],[Inventory Type - Lookup Picker]]="","",Master[[#This Row],[Inventory Type - Lookup Picker]])</f>
        <v/>
      </c>
      <c r="I168" t="str">
        <f>IF(Master[[#This Row],[Cooperator (Donor) 1 -full record]]="","",Master[[#This Row],[Cooperator (Donor) 1 -full record]])</f>
        <v/>
      </c>
    </row>
    <row r="169" spans="2:9" x14ac:dyDescent="0.25">
      <c r="B169" s="45" t="str">
        <f>Master[[#This Row],[Inventory Prefix]]&amp;" "&amp;Master[[#This Row],[Inventory Number]]&amp;" "&amp;Master[[#This Row],[Inventory Suffix]]&amp;" "&amp;Master[[#This Row],[Inventory Type - Lookup Picker]]</f>
        <v xml:space="preserve">   </v>
      </c>
      <c r="C169" t="str">
        <f t="shared" si="10"/>
        <v>Received</v>
      </c>
      <c r="D169" t="str">
        <f t="shared" si="11"/>
        <v>mm/dd/yyyy</v>
      </c>
      <c r="E169" s="77">
        <f>Master[[#This Row],[Received Date -received by site]]</f>
        <v>0</v>
      </c>
      <c r="F169" s="17" t="str">
        <f>IF(Master[[#This Row],[Total Weight -gram (if unknown, leave blank)]]="","1",Master[[#This Row],[Total Weight -gram (if unknown, leave blank)]])</f>
        <v>1</v>
      </c>
      <c r="G169" s="17" t="str">
        <f>IF(InvActionRecd[[#This Row],[Quantity]]="1","packet","gram")</f>
        <v>packet</v>
      </c>
      <c r="H169" t="str">
        <f>IF(Master[[#This Row],[Inventory Type - Lookup Picker]]="","",Master[[#This Row],[Inventory Type - Lookup Picker]])</f>
        <v/>
      </c>
      <c r="I169" t="str">
        <f>IF(Master[[#This Row],[Cooperator (Donor) 1 -full record]]="","",Master[[#This Row],[Cooperator (Donor) 1 -full record]])</f>
        <v/>
      </c>
    </row>
    <row r="170" spans="2:9" x14ac:dyDescent="0.25">
      <c r="B170" s="45" t="str">
        <f>Master[[#This Row],[Inventory Prefix]]&amp;" "&amp;Master[[#This Row],[Inventory Number]]&amp;" "&amp;Master[[#This Row],[Inventory Suffix]]&amp;" "&amp;Master[[#This Row],[Inventory Type - Lookup Picker]]</f>
        <v xml:space="preserve">   </v>
      </c>
      <c r="C170" t="str">
        <f t="shared" si="10"/>
        <v>Received</v>
      </c>
      <c r="D170" t="str">
        <f t="shared" si="11"/>
        <v>mm/dd/yyyy</v>
      </c>
      <c r="E170" s="77">
        <f>Master[[#This Row],[Received Date -received by site]]</f>
        <v>0</v>
      </c>
      <c r="F170" s="17" t="str">
        <f>IF(Master[[#This Row],[Total Weight -gram (if unknown, leave blank)]]="","1",Master[[#This Row],[Total Weight -gram (if unknown, leave blank)]])</f>
        <v>1</v>
      </c>
      <c r="G170" s="17" t="str">
        <f>IF(InvActionRecd[[#This Row],[Quantity]]="1","packet","gram")</f>
        <v>packet</v>
      </c>
      <c r="H170" t="str">
        <f>IF(Master[[#This Row],[Inventory Type - Lookup Picker]]="","",Master[[#This Row],[Inventory Type - Lookup Picker]])</f>
        <v/>
      </c>
      <c r="I170" t="str">
        <f>IF(Master[[#This Row],[Cooperator (Donor) 1 -full record]]="","",Master[[#This Row],[Cooperator (Donor) 1 -full record]])</f>
        <v/>
      </c>
    </row>
    <row r="171" spans="2:9" x14ac:dyDescent="0.25">
      <c r="B171" s="45" t="str">
        <f>Master[[#This Row],[Inventory Prefix]]&amp;" "&amp;Master[[#This Row],[Inventory Number]]&amp;" "&amp;Master[[#This Row],[Inventory Suffix]]&amp;" "&amp;Master[[#This Row],[Inventory Type - Lookup Picker]]</f>
        <v xml:space="preserve">   </v>
      </c>
      <c r="C171" t="str">
        <f t="shared" si="10"/>
        <v>Received</v>
      </c>
      <c r="D171" t="str">
        <f t="shared" si="11"/>
        <v>mm/dd/yyyy</v>
      </c>
      <c r="E171" s="77">
        <f>Master[[#This Row],[Received Date -received by site]]</f>
        <v>0</v>
      </c>
      <c r="F171" s="17" t="str">
        <f>IF(Master[[#This Row],[Total Weight -gram (if unknown, leave blank)]]="","1",Master[[#This Row],[Total Weight -gram (if unknown, leave blank)]])</f>
        <v>1</v>
      </c>
      <c r="G171" s="17" t="str">
        <f>IF(InvActionRecd[[#This Row],[Quantity]]="1","packet","gram")</f>
        <v>packet</v>
      </c>
      <c r="H171" t="str">
        <f>IF(Master[[#This Row],[Inventory Type - Lookup Picker]]="","",Master[[#This Row],[Inventory Type - Lookup Picker]])</f>
        <v/>
      </c>
      <c r="I171" t="str">
        <f>IF(Master[[#This Row],[Cooperator (Donor) 1 -full record]]="","",Master[[#This Row],[Cooperator (Donor) 1 -full record]])</f>
        <v/>
      </c>
    </row>
    <row r="172" spans="2:9" x14ac:dyDescent="0.25">
      <c r="B172" s="45" t="str">
        <f>Master[[#This Row],[Inventory Prefix]]&amp;" "&amp;Master[[#This Row],[Inventory Number]]&amp;" "&amp;Master[[#This Row],[Inventory Suffix]]&amp;" "&amp;Master[[#This Row],[Inventory Type - Lookup Picker]]</f>
        <v xml:space="preserve">   </v>
      </c>
      <c r="C172" t="str">
        <f t="shared" si="10"/>
        <v>Received</v>
      </c>
      <c r="D172" t="str">
        <f t="shared" si="11"/>
        <v>mm/dd/yyyy</v>
      </c>
      <c r="E172" s="77">
        <f>Master[[#This Row],[Received Date -received by site]]</f>
        <v>0</v>
      </c>
      <c r="F172" s="17" t="str">
        <f>IF(Master[[#This Row],[Total Weight -gram (if unknown, leave blank)]]="","1",Master[[#This Row],[Total Weight -gram (if unknown, leave blank)]])</f>
        <v>1</v>
      </c>
      <c r="G172" s="17" t="str">
        <f>IF(InvActionRecd[[#This Row],[Quantity]]="1","packet","gram")</f>
        <v>packet</v>
      </c>
      <c r="H172" t="str">
        <f>IF(Master[[#This Row],[Inventory Type - Lookup Picker]]="","",Master[[#This Row],[Inventory Type - Lookup Picker]])</f>
        <v/>
      </c>
      <c r="I172" t="str">
        <f>IF(Master[[#This Row],[Cooperator (Donor) 1 -full record]]="","",Master[[#This Row],[Cooperator (Donor) 1 -full record]])</f>
        <v/>
      </c>
    </row>
    <row r="173" spans="2:9" x14ac:dyDescent="0.25">
      <c r="B173" s="45" t="str">
        <f>Master[[#This Row],[Inventory Prefix]]&amp;" "&amp;Master[[#This Row],[Inventory Number]]&amp;" "&amp;Master[[#This Row],[Inventory Suffix]]&amp;" "&amp;Master[[#This Row],[Inventory Type - Lookup Picker]]</f>
        <v xml:space="preserve">   </v>
      </c>
      <c r="C173" t="str">
        <f t="shared" si="10"/>
        <v>Received</v>
      </c>
      <c r="D173" t="str">
        <f t="shared" si="11"/>
        <v>mm/dd/yyyy</v>
      </c>
      <c r="E173" s="77">
        <f>Master[[#This Row],[Received Date -received by site]]</f>
        <v>0</v>
      </c>
      <c r="F173" s="17" t="str">
        <f>IF(Master[[#This Row],[Total Weight -gram (if unknown, leave blank)]]="","1",Master[[#This Row],[Total Weight -gram (if unknown, leave blank)]])</f>
        <v>1</v>
      </c>
      <c r="G173" s="17" t="str">
        <f>IF(InvActionRecd[[#This Row],[Quantity]]="1","packet","gram")</f>
        <v>packet</v>
      </c>
      <c r="H173" t="str">
        <f>IF(Master[[#This Row],[Inventory Type - Lookup Picker]]="","",Master[[#This Row],[Inventory Type - Lookup Picker]])</f>
        <v/>
      </c>
      <c r="I173" t="str">
        <f>IF(Master[[#This Row],[Cooperator (Donor) 1 -full record]]="","",Master[[#This Row],[Cooperator (Donor) 1 -full record]])</f>
        <v/>
      </c>
    </row>
    <row r="174" spans="2:9" x14ac:dyDescent="0.25">
      <c r="B174" s="45" t="str">
        <f>Master[[#This Row],[Inventory Prefix]]&amp;" "&amp;Master[[#This Row],[Inventory Number]]&amp;" "&amp;Master[[#This Row],[Inventory Suffix]]&amp;" "&amp;Master[[#This Row],[Inventory Type - Lookup Picker]]</f>
        <v xml:space="preserve">   </v>
      </c>
      <c r="C174" t="str">
        <f t="shared" si="10"/>
        <v>Received</v>
      </c>
      <c r="D174" t="str">
        <f t="shared" si="11"/>
        <v>mm/dd/yyyy</v>
      </c>
      <c r="E174" s="77">
        <f>Master[[#This Row],[Received Date -received by site]]</f>
        <v>0</v>
      </c>
      <c r="F174" s="17" t="str">
        <f>IF(Master[[#This Row],[Total Weight -gram (if unknown, leave blank)]]="","1",Master[[#This Row],[Total Weight -gram (if unknown, leave blank)]])</f>
        <v>1</v>
      </c>
      <c r="G174" s="17" t="str">
        <f>IF(InvActionRecd[[#This Row],[Quantity]]="1","packet","gram")</f>
        <v>packet</v>
      </c>
      <c r="H174" t="str">
        <f>IF(Master[[#This Row],[Inventory Type - Lookup Picker]]="","",Master[[#This Row],[Inventory Type - Lookup Picker]])</f>
        <v/>
      </c>
      <c r="I174" t="str">
        <f>IF(Master[[#This Row],[Cooperator (Donor) 1 -full record]]="","",Master[[#This Row],[Cooperator (Donor) 1 -full record]])</f>
        <v/>
      </c>
    </row>
    <row r="175" spans="2:9" x14ac:dyDescent="0.25">
      <c r="B175" s="45" t="str">
        <f>Master[[#This Row],[Inventory Prefix]]&amp;" "&amp;Master[[#This Row],[Inventory Number]]&amp;" "&amp;Master[[#This Row],[Inventory Suffix]]&amp;" "&amp;Master[[#This Row],[Inventory Type - Lookup Picker]]</f>
        <v xml:space="preserve">   </v>
      </c>
      <c r="C175" t="str">
        <f t="shared" si="10"/>
        <v>Received</v>
      </c>
      <c r="D175" t="str">
        <f t="shared" si="11"/>
        <v>mm/dd/yyyy</v>
      </c>
      <c r="E175" s="77">
        <f>Master[[#This Row],[Received Date -received by site]]</f>
        <v>0</v>
      </c>
      <c r="F175" s="17" t="str">
        <f>IF(Master[[#This Row],[Total Weight -gram (if unknown, leave blank)]]="","1",Master[[#This Row],[Total Weight -gram (if unknown, leave blank)]])</f>
        <v>1</v>
      </c>
      <c r="G175" s="17" t="str">
        <f>IF(InvActionRecd[[#This Row],[Quantity]]="1","packet","gram")</f>
        <v>packet</v>
      </c>
      <c r="H175" t="str">
        <f>IF(Master[[#This Row],[Inventory Type - Lookup Picker]]="","",Master[[#This Row],[Inventory Type - Lookup Picker]])</f>
        <v/>
      </c>
      <c r="I175" t="str">
        <f>IF(Master[[#This Row],[Cooperator (Donor) 1 -full record]]="","",Master[[#This Row],[Cooperator (Donor) 1 -full record]])</f>
        <v/>
      </c>
    </row>
    <row r="176" spans="2:9" x14ac:dyDescent="0.25">
      <c r="B176" s="45" t="str">
        <f>Master[[#This Row],[Inventory Prefix]]&amp;" "&amp;Master[[#This Row],[Inventory Number]]&amp;" "&amp;Master[[#This Row],[Inventory Suffix]]&amp;" "&amp;Master[[#This Row],[Inventory Type - Lookup Picker]]</f>
        <v xml:space="preserve">   </v>
      </c>
      <c r="C176" t="str">
        <f t="shared" si="10"/>
        <v>Received</v>
      </c>
      <c r="D176" t="str">
        <f t="shared" si="11"/>
        <v>mm/dd/yyyy</v>
      </c>
      <c r="E176" s="77">
        <f>Master[[#This Row],[Received Date -received by site]]</f>
        <v>0</v>
      </c>
      <c r="F176" s="17" t="str">
        <f>IF(Master[[#This Row],[Total Weight -gram (if unknown, leave blank)]]="","1",Master[[#This Row],[Total Weight -gram (if unknown, leave blank)]])</f>
        <v>1</v>
      </c>
      <c r="G176" s="17" t="str">
        <f>IF(InvActionRecd[[#This Row],[Quantity]]="1","packet","gram")</f>
        <v>packet</v>
      </c>
      <c r="H176" t="str">
        <f>IF(Master[[#This Row],[Inventory Type - Lookup Picker]]="","",Master[[#This Row],[Inventory Type - Lookup Picker]])</f>
        <v/>
      </c>
      <c r="I176" t="str">
        <f>IF(Master[[#This Row],[Cooperator (Donor) 1 -full record]]="","",Master[[#This Row],[Cooperator (Donor) 1 -full record]])</f>
        <v/>
      </c>
    </row>
    <row r="177" spans="2:9" x14ac:dyDescent="0.25">
      <c r="B177" s="45" t="str">
        <f>Master[[#This Row],[Inventory Prefix]]&amp;" "&amp;Master[[#This Row],[Inventory Number]]&amp;" "&amp;Master[[#This Row],[Inventory Suffix]]&amp;" "&amp;Master[[#This Row],[Inventory Type - Lookup Picker]]</f>
        <v xml:space="preserve">   </v>
      </c>
      <c r="C177" t="str">
        <f t="shared" si="10"/>
        <v>Received</v>
      </c>
      <c r="D177" t="str">
        <f t="shared" si="11"/>
        <v>mm/dd/yyyy</v>
      </c>
      <c r="E177" s="77">
        <f>Master[[#This Row],[Received Date -received by site]]</f>
        <v>0</v>
      </c>
      <c r="F177" s="17" t="str">
        <f>IF(Master[[#This Row],[Total Weight -gram (if unknown, leave blank)]]="","1",Master[[#This Row],[Total Weight -gram (if unknown, leave blank)]])</f>
        <v>1</v>
      </c>
      <c r="G177" s="17" t="str">
        <f>IF(InvActionRecd[[#This Row],[Quantity]]="1","packet","gram")</f>
        <v>packet</v>
      </c>
      <c r="H177" t="str">
        <f>IF(Master[[#This Row],[Inventory Type - Lookup Picker]]="","",Master[[#This Row],[Inventory Type - Lookup Picker]])</f>
        <v/>
      </c>
      <c r="I177" t="str">
        <f>IF(Master[[#This Row],[Cooperator (Donor) 1 -full record]]="","",Master[[#This Row],[Cooperator (Donor) 1 -full record]])</f>
        <v/>
      </c>
    </row>
    <row r="178" spans="2:9" x14ac:dyDescent="0.25">
      <c r="B178" s="45" t="str">
        <f>Master[[#This Row],[Inventory Prefix]]&amp;" "&amp;Master[[#This Row],[Inventory Number]]&amp;" "&amp;Master[[#This Row],[Inventory Suffix]]&amp;" "&amp;Master[[#This Row],[Inventory Type - Lookup Picker]]</f>
        <v xml:space="preserve">   </v>
      </c>
      <c r="C178" t="str">
        <f t="shared" si="10"/>
        <v>Received</v>
      </c>
      <c r="D178" t="str">
        <f t="shared" si="11"/>
        <v>mm/dd/yyyy</v>
      </c>
      <c r="E178" s="77">
        <f>Master[[#This Row],[Received Date -received by site]]</f>
        <v>0</v>
      </c>
      <c r="F178" s="17" t="str">
        <f>IF(Master[[#This Row],[Total Weight -gram (if unknown, leave blank)]]="","1",Master[[#This Row],[Total Weight -gram (if unknown, leave blank)]])</f>
        <v>1</v>
      </c>
      <c r="G178" s="17" t="str">
        <f>IF(InvActionRecd[[#This Row],[Quantity]]="1","packet","gram")</f>
        <v>packet</v>
      </c>
      <c r="H178" t="str">
        <f>IF(Master[[#This Row],[Inventory Type - Lookup Picker]]="","",Master[[#This Row],[Inventory Type - Lookup Picker]])</f>
        <v/>
      </c>
      <c r="I178" t="str">
        <f>IF(Master[[#This Row],[Cooperator (Donor) 1 -full record]]="","",Master[[#This Row],[Cooperator (Donor) 1 -full record]])</f>
        <v/>
      </c>
    </row>
    <row r="179" spans="2:9" x14ac:dyDescent="0.25">
      <c r="B179" s="45" t="str">
        <f>Master[[#This Row],[Inventory Prefix]]&amp;" "&amp;Master[[#This Row],[Inventory Number]]&amp;" "&amp;Master[[#This Row],[Inventory Suffix]]&amp;" "&amp;Master[[#This Row],[Inventory Type - Lookup Picker]]</f>
        <v xml:space="preserve">   </v>
      </c>
      <c r="C179" t="str">
        <f t="shared" si="10"/>
        <v>Received</v>
      </c>
      <c r="D179" t="str">
        <f t="shared" si="11"/>
        <v>mm/dd/yyyy</v>
      </c>
      <c r="E179" s="77">
        <f>Master[[#This Row],[Received Date -received by site]]</f>
        <v>0</v>
      </c>
      <c r="F179" s="17" t="str">
        <f>IF(Master[[#This Row],[Total Weight -gram (if unknown, leave blank)]]="","1",Master[[#This Row],[Total Weight -gram (if unknown, leave blank)]])</f>
        <v>1</v>
      </c>
      <c r="G179" s="17" t="str">
        <f>IF(InvActionRecd[[#This Row],[Quantity]]="1","packet","gram")</f>
        <v>packet</v>
      </c>
      <c r="H179" t="str">
        <f>IF(Master[[#This Row],[Inventory Type - Lookup Picker]]="","",Master[[#This Row],[Inventory Type - Lookup Picker]])</f>
        <v/>
      </c>
      <c r="I179" t="str">
        <f>IF(Master[[#This Row],[Cooperator (Donor) 1 -full record]]="","",Master[[#This Row],[Cooperator (Donor) 1 -full record]])</f>
        <v/>
      </c>
    </row>
    <row r="180" spans="2:9" x14ac:dyDescent="0.25">
      <c r="B180" s="45" t="str">
        <f>Master[[#This Row],[Inventory Prefix]]&amp;" "&amp;Master[[#This Row],[Inventory Number]]&amp;" "&amp;Master[[#This Row],[Inventory Suffix]]&amp;" "&amp;Master[[#This Row],[Inventory Type - Lookup Picker]]</f>
        <v xml:space="preserve">   </v>
      </c>
      <c r="C180" t="str">
        <f t="shared" si="10"/>
        <v>Received</v>
      </c>
      <c r="D180" t="str">
        <f t="shared" si="11"/>
        <v>mm/dd/yyyy</v>
      </c>
      <c r="E180" s="77">
        <f>Master[[#This Row],[Received Date -received by site]]</f>
        <v>0</v>
      </c>
      <c r="F180" s="17" t="str">
        <f>IF(Master[[#This Row],[Total Weight -gram (if unknown, leave blank)]]="","1",Master[[#This Row],[Total Weight -gram (if unknown, leave blank)]])</f>
        <v>1</v>
      </c>
      <c r="G180" s="17" t="str">
        <f>IF(InvActionRecd[[#This Row],[Quantity]]="1","packet","gram")</f>
        <v>packet</v>
      </c>
      <c r="H180" t="str">
        <f>IF(Master[[#This Row],[Inventory Type - Lookup Picker]]="","",Master[[#This Row],[Inventory Type - Lookup Picker]])</f>
        <v/>
      </c>
      <c r="I180" t="str">
        <f>IF(Master[[#This Row],[Cooperator (Donor) 1 -full record]]="","",Master[[#This Row],[Cooperator (Donor) 1 -full record]])</f>
        <v/>
      </c>
    </row>
    <row r="181" spans="2:9" x14ac:dyDescent="0.25">
      <c r="B181" s="45" t="str">
        <f>Master[[#This Row],[Inventory Prefix]]&amp;" "&amp;Master[[#This Row],[Inventory Number]]&amp;" "&amp;Master[[#This Row],[Inventory Suffix]]&amp;" "&amp;Master[[#This Row],[Inventory Type - Lookup Picker]]</f>
        <v xml:space="preserve">   </v>
      </c>
      <c r="C181" t="str">
        <f t="shared" si="10"/>
        <v>Received</v>
      </c>
      <c r="D181" t="str">
        <f t="shared" si="11"/>
        <v>mm/dd/yyyy</v>
      </c>
      <c r="E181" s="77">
        <f>Master[[#This Row],[Received Date -received by site]]</f>
        <v>0</v>
      </c>
      <c r="F181" s="17" t="str">
        <f>IF(Master[[#This Row],[Total Weight -gram (if unknown, leave blank)]]="","1",Master[[#This Row],[Total Weight -gram (if unknown, leave blank)]])</f>
        <v>1</v>
      </c>
      <c r="G181" s="17" t="str">
        <f>IF(InvActionRecd[[#This Row],[Quantity]]="1","packet","gram")</f>
        <v>packet</v>
      </c>
      <c r="H181" t="str">
        <f>IF(Master[[#This Row],[Inventory Type - Lookup Picker]]="","",Master[[#This Row],[Inventory Type - Lookup Picker]])</f>
        <v/>
      </c>
      <c r="I181" t="str">
        <f>IF(Master[[#This Row],[Cooperator (Donor) 1 -full record]]="","",Master[[#This Row],[Cooperator (Donor) 1 -full record]])</f>
        <v/>
      </c>
    </row>
    <row r="182" spans="2:9" x14ac:dyDescent="0.25">
      <c r="B182" s="45" t="str">
        <f>Master[[#This Row],[Inventory Prefix]]&amp;" "&amp;Master[[#This Row],[Inventory Number]]&amp;" "&amp;Master[[#This Row],[Inventory Suffix]]&amp;" "&amp;Master[[#This Row],[Inventory Type - Lookup Picker]]</f>
        <v xml:space="preserve">   </v>
      </c>
      <c r="C182" t="str">
        <f t="shared" ref="C182:C201" si="12">"Received"</f>
        <v>Received</v>
      </c>
      <c r="D182" t="str">
        <f t="shared" ref="D182:D201" si="13">"mm/dd/yyyy"</f>
        <v>mm/dd/yyyy</v>
      </c>
      <c r="E182" s="77">
        <f>Master[[#This Row],[Received Date -received by site]]</f>
        <v>0</v>
      </c>
      <c r="F182" s="17" t="str">
        <f>IF(Master[[#This Row],[Total Weight -gram (if unknown, leave blank)]]="","1",Master[[#This Row],[Total Weight -gram (if unknown, leave blank)]])</f>
        <v>1</v>
      </c>
      <c r="G182" s="17" t="str">
        <f>IF(InvActionRecd[[#This Row],[Quantity]]="1","packet","gram")</f>
        <v>packet</v>
      </c>
      <c r="H182" t="str">
        <f>IF(Master[[#This Row],[Inventory Type - Lookup Picker]]="","",Master[[#This Row],[Inventory Type - Lookup Picker]])</f>
        <v/>
      </c>
      <c r="I182" t="str">
        <f>IF(Master[[#This Row],[Cooperator (Donor) 1 -full record]]="","",Master[[#This Row],[Cooperator (Donor) 1 -full record]])</f>
        <v/>
      </c>
    </row>
    <row r="183" spans="2:9" x14ac:dyDescent="0.25">
      <c r="B183" s="45" t="str">
        <f>Master[[#This Row],[Inventory Prefix]]&amp;" "&amp;Master[[#This Row],[Inventory Number]]&amp;" "&amp;Master[[#This Row],[Inventory Suffix]]&amp;" "&amp;Master[[#This Row],[Inventory Type - Lookup Picker]]</f>
        <v xml:space="preserve">   </v>
      </c>
      <c r="C183" t="str">
        <f t="shared" si="12"/>
        <v>Received</v>
      </c>
      <c r="D183" t="str">
        <f t="shared" si="13"/>
        <v>mm/dd/yyyy</v>
      </c>
      <c r="E183" s="77">
        <f>Master[[#This Row],[Received Date -received by site]]</f>
        <v>0</v>
      </c>
      <c r="F183" s="17" t="str">
        <f>IF(Master[[#This Row],[Total Weight -gram (if unknown, leave blank)]]="","1",Master[[#This Row],[Total Weight -gram (if unknown, leave blank)]])</f>
        <v>1</v>
      </c>
      <c r="G183" s="17" t="str">
        <f>IF(InvActionRecd[[#This Row],[Quantity]]="1","packet","gram")</f>
        <v>packet</v>
      </c>
      <c r="H183" t="str">
        <f>IF(Master[[#This Row],[Inventory Type - Lookup Picker]]="","",Master[[#This Row],[Inventory Type - Lookup Picker]])</f>
        <v/>
      </c>
      <c r="I183" t="str">
        <f>IF(Master[[#This Row],[Cooperator (Donor) 1 -full record]]="","",Master[[#This Row],[Cooperator (Donor) 1 -full record]])</f>
        <v/>
      </c>
    </row>
    <row r="184" spans="2:9" x14ac:dyDescent="0.25">
      <c r="B184" s="45" t="str">
        <f>Master[[#This Row],[Inventory Prefix]]&amp;" "&amp;Master[[#This Row],[Inventory Number]]&amp;" "&amp;Master[[#This Row],[Inventory Suffix]]&amp;" "&amp;Master[[#This Row],[Inventory Type - Lookup Picker]]</f>
        <v xml:space="preserve">   </v>
      </c>
      <c r="C184" t="str">
        <f t="shared" si="12"/>
        <v>Received</v>
      </c>
      <c r="D184" t="str">
        <f t="shared" si="13"/>
        <v>mm/dd/yyyy</v>
      </c>
      <c r="E184" s="77">
        <f>Master[[#This Row],[Received Date -received by site]]</f>
        <v>0</v>
      </c>
      <c r="F184" s="17" t="str">
        <f>IF(Master[[#This Row],[Total Weight -gram (if unknown, leave blank)]]="","1",Master[[#This Row],[Total Weight -gram (if unknown, leave blank)]])</f>
        <v>1</v>
      </c>
      <c r="G184" s="17" t="str">
        <f>IF(InvActionRecd[[#This Row],[Quantity]]="1","packet","gram")</f>
        <v>packet</v>
      </c>
      <c r="H184" t="str">
        <f>IF(Master[[#This Row],[Inventory Type - Lookup Picker]]="","",Master[[#This Row],[Inventory Type - Lookup Picker]])</f>
        <v/>
      </c>
      <c r="I184" t="str">
        <f>IF(Master[[#This Row],[Cooperator (Donor) 1 -full record]]="","",Master[[#This Row],[Cooperator (Donor) 1 -full record]])</f>
        <v/>
      </c>
    </row>
    <row r="185" spans="2:9" x14ac:dyDescent="0.25">
      <c r="B185" s="45" t="str">
        <f>Master[[#This Row],[Inventory Prefix]]&amp;" "&amp;Master[[#This Row],[Inventory Number]]&amp;" "&amp;Master[[#This Row],[Inventory Suffix]]&amp;" "&amp;Master[[#This Row],[Inventory Type - Lookup Picker]]</f>
        <v xml:space="preserve">   </v>
      </c>
      <c r="C185" t="str">
        <f t="shared" si="12"/>
        <v>Received</v>
      </c>
      <c r="D185" t="str">
        <f t="shared" si="13"/>
        <v>mm/dd/yyyy</v>
      </c>
      <c r="E185" s="77">
        <f>Master[[#This Row],[Received Date -received by site]]</f>
        <v>0</v>
      </c>
      <c r="F185" s="17" t="str">
        <f>IF(Master[[#This Row],[Total Weight -gram (if unknown, leave blank)]]="","1",Master[[#This Row],[Total Weight -gram (if unknown, leave blank)]])</f>
        <v>1</v>
      </c>
      <c r="G185" s="17" t="str">
        <f>IF(InvActionRecd[[#This Row],[Quantity]]="1","packet","gram")</f>
        <v>packet</v>
      </c>
      <c r="H185" t="str">
        <f>IF(Master[[#This Row],[Inventory Type - Lookup Picker]]="","",Master[[#This Row],[Inventory Type - Lookup Picker]])</f>
        <v/>
      </c>
      <c r="I185" t="str">
        <f>IF(Master[[#This Row],[Cooperator (Donor) 1 -full record]]="","",Master[[#This Row],[Cooperator (Donor) 1 -full record]])</f>
        <v/>
      </c>
    </row>
    <row r="186" spans="2:9" x14ac:dyDescent="0.25">
      <c r="B186" s="45" t="str">
        <f>Master[[#This Row],[Inventory Prefix]]&amp;" "&amp;Master[[#This Row],[Inventory Number]]&amp;" "&amp;Master[[#This Row],[Inventory Suffix]]&amp;" "&amp;Master[[#This Row],[Inventory Type - Lookup Picker]]</f>
        <v xml:space="preserve">   </v>
      </c>
      <c r="C186" t="str">
        <f t="shared" si="12"/>
        <v>Received</v>
      </c>
      <c r="D186" t="str">
        <f t="shared" si="13"/>
        <v>mm/dd/yyyy</v>
      </c>
      <c r="E186" s="77">
        <f>Master[[#This Row],[Received Date -received by site]]</f>
        <v>0</v>
      </c>
      <c r="F186" s="17" t="str">
        <f>IF(Master[[#This Row],[Total Weight -gram (if unknown, leave blank)]]="","1",Master[[#This Row],[Total Weight -gram (if unknown, leave blank)]])</f>
        <v>1</v>
      </c>
      <c r="G186" s="17" t="str">
        <f>IF(InvActionRecd[[#This Row],[Quantity]]="1","packet","gram")</f>
        <v>packet</v>
      </c>
      <c r="H186" t="str">
        <f>IF(Master[[#This Row],[Inventory Type - Lookup Picker]]="","",Master[[#This Row],[Inventory Type - Lookup Picker]])</f>
        <v/>
      </c>
      <c r="I186" t="str">
        <f>IF(Master[[#This Row],[Cooperator (Donor) 1 -full record]]="","",Master[[#This Row],[Cooperator (Donor) 1 -full record]])</f>
        <v/>
      </c>
    </row>
    <row r="187" spans="2:9" x14ac:dyDescent="0.25">
      <c r="B187" s="45" t="str">
        <f>Master[[#This Row],[Inventory Prefix]]&amp;" "&amp;Master[[#This Row],[Inventory Number]]&amp;" "&amp;Master[[#This Row],[Inventory Suffix]]&amp;" "&amp;Master[[#This Row],[Inventory Type - Lookup Picker]]</f>
        <v xml:space="preserve">   </v>
      </c>
      <c r="C187" t="str">
        <f t="shared" si="12"/>
        <v>Received</v>
      </c>
      <c r="D187" t="str">
        <f t="shared" si="13"/>
        <v>mm/dd/yyyy</v>
      </c>
      <c r="E187" s="77">
        <f>Master[[#This Row],[Received Date -received by site]]</f>
        <v>0</v>
      </c>
      <c r="F187" s="17" t="str">
        <f>IF(Master[[#This Row],[Total Weight -gram (if unknown, leave blank)]]="","1",Master[[#This Row],[Total Weight -gram (if unknown, leave blank)]])</f>
        <v>1</v>
      </c>
      <c r="G187" s="17" t="str">
        <f>IF(InvActionRecd[[#This Row],[Quantity]]="1","packet","gram")</f>
        <v>packet</v>
      </c>
      <c r="H187" t="str">
        <f>IF(Master[[#This Row],[Inventory Type - Lookup Picker]]="","",Master[[#This Row],[Inventory Type - Lookup Picker]])</f>
        <v/>
      </c>
      <c r="I187" t="str">
        <f>IF(Master[[#This Row],[Cooperator (Donor) 1 -full record]]="","",Master[[#This Row],[Cooperator (Donor) 1 -full record]])</f>
        <v/>
      </c>
    </row>
    <row r="188" spans="2:9" x14ac:dyDescent="0.25">
      <c r="B188" s="45" t="str">
        <f>Master[[#This Row],[Inventory Prefix]]&amp;" "&amp;Master[[#This Row],[Inventory Number]]&amp;" "&amp;Master[[#This Row],[Inventory Suffix]]&amp;" "&amp;Master[[#This Row],[Inventory Type - Lookup Picker]]</f>
        <v xml:space="preserve">   </v>
      </c>
      <c r="C188" t="str">
        <f t="shared" si="12"/>
        <v>Received</v>
      </c>
      <c r="D188" t="str">
        <f t="shared" si="13"/>
        <v>mm/dd/yyyy</v>
      </c>
      <c r="E188" s="77">
        <f>Master[[#This Row],[Received Date -received by site]]</f>
        <v>0</v>
      </c>
      <c r="F188" s="17" t="str">
        <f>IF(Master[[#This Row],[Total Weight -gram (if unknown, leave blank)]]="","1",Master[[#This Row],[Total Weight -gram (if unknown, leave blank)]])</f>
        <v>1</v>
      </c>
      <c r="G188" s="17" t="str">
        <f>IF(InvActionRecd[[#This Row],[Quantity]]="1","packet","gram")</f>
        <v>packet</v>
      </c>
      <c r="H188" t="str">
        <f>IF(Master[[#This Row],[Inventory Type - Lookup Picker]]="","",Master[[#This Row],[Inventory Type - Lookup Picker]])</f>
        <v/>
      </c>
      <c r="I188" t="str">
        <f>IF(Master[[#This Row],[Cooperator (Donor) 1 -full record]]="","",Master[[#This Row],[Cooperator (Donor) 1 -full record]])</f>
        <v/>
      </c>
    </row>
    <row r="189" spans="2:9" x14ac:dyDescent="0.25">
      <c r="B189" s="45" t="str">
        <f>Master[[#This Row],[Inventory Prefix]]&amp;" "&amp;Master[[#This Row],[Inventory Number]]&amp;" "&amp;Master[[#This Row],[Inventory Suffix]]&amp;" "&amp;Master[[#This Row],[Inventory Type - Lookup Picker]]</f>
        <v xml:space="preserve">   </v>
      </c>
      <c r="C189" t="str">
        <f t="shared" si="12"/>
        <v>Received</v>
      </c>
      <c r="D189" t="str">
        <f t="shared" si="13"/>
        <v>mm/dd/yyyy</v>
      </c>
      <c r="E189" s="77">
        <f>Master[[#This Row],[Received Date -received by site]]</f>
        <v>0</v>
      </c>
      <c r="F189" s="17" t="str">
        <f>IF(Master[[#This Row],[Total Weight -gram (if unknown, leave blank)]]="","1",Master[[#This Row],[Total Weight -gram (if unknown, leave blank)]])</f>
        <v>1</v>
      </c>
      <c r="G189" s="17" t="str">
        <f>IF(InvActionRecd[[#This Row],[Quantity]]="1","packet","gram")</f>
        <v>packet</v>
      </c>
      <c r="H189" t="str">
        <f>IF(Master[[#This Row],[Inventory Type - Lookup Picker]]="","",Master[[#This Row],[Inventory Type - Lookup Picker]])</f>
        <v/>
      </c>
      <c r="I189" t="str">
        <f>IF(Master[[#This Row],[Cooperator (Donor) 1 -full record]]="","",Master[[#This Row],[Cooperator (Donor) 1 -full record]])</f>
        <v/>
      </c>
    </row>
    <row r="190" spans="2:9" x14ac:dyDescent="0.25">
      <c r="B190" s="45" t="str">
        <f>Master[[#This Row],[Inventory Prefix]]&amp;" "&amp;Master[[#This Row],[Inventory Number]]&amp;" "&amp;Master[[#This Row],[Inventory Suffix]]&amp;" "&amp;Master[[#This Row],[Inventory Type - Lookup Picker]]</f>
        <v xml:space="preserve">   </v>
      </c>
      <c r="C190" t="str">
        <f t="shared" si="12"/>
        <v>Received</v>
      </c>
      <c r="D190" t="str">
        <f t="shared" si="13"/>
        <v>mm/dd/yyyy</v>
      </c>
      <c r="E190" s="77">
        <f>Master[[#This Row],[Received Date -received by site]]</f>
        <v>0</v>
      </c>
      <c r="F190" s="17" t="str">
        <f>IF(Master[[#This Row],[Total Weight -gram (if unknown, leave blank)]]="","1",Master[[#This Row],[Total Weight -gram (if unknown, leave blank)]])</f>
        <v>1</v>
      </c>
      <c r="G190" s="17" t="str">
        <f>IF(InvActionRecd[[#This Row],[Quantity]]="1","packet","gram")</f>
        <v>packet</v>
      </c>
      <c r="H190" t="str">
        <f>IF(Master[[#This Row],[Inventory Type - Lookup Picker]]="","",Master[[#This Row],[Inventory Type - Lookup Picker]])</f>
        <v/>
      </c>
      <c r="I190" t="str">
        <f>IF(Master[[#This Row],[Cooperator (Donor) 1 -full record]]="","",Master[[#This Row],[Cooperator (Donor) 1 -full record]])</f>
        <v/>
      </c>
    </row>
    <row r="191" spans="2:9" x14ac:dyDescent="0.25">
      <c r="B191" s="45" t="str">
        <f>Master[[#This Row],[Inventory Prefix]]&amp;" "&amp;Master[[#This Row],[Inventory Number]]&amp;" "&amp;Master[[#This Row],[Inventory Suffix]]&amp;" "&amp;Master[[#This Row],[Inventory Type - Lookup Picker]]</f>
        <v xml:space="preserve">   </v>
      </c>
      <c r="C191" t="str">
        <f t="shared" si="12"/>
        <v>Received</v>
      </c>
      <c r="D191" t="str">
        <f t="shared" si="13"/>
        <v>mm/dd/yyyy</v>
      </c>
      <c r="E191" s="77">
        <f>Master[[#This Row],[Received Date -received by site]]</f>
        <v>0</v>
      </c>
      <c r="F191" s="17" t="str">
        <f>IF(Master[[#This Row],[Total Weight -gram (if unknown, leave blank)]]="","1",Master[[#This Row],[Total Weight -gram (if unknown, leave blank)]])</f>
        <v>1</v>
      </c>
      <c r="G191" s="17" t="str">
        <f>IF(InvActionRecd[[#This Row],[Quantity]]="1","packet","gram")</f>
        <v>packet</v>
      </c>
      <c r="H191" t="str">
        <f>IF(Master[[#This Row],[Inventory Type - Lookup Picker]]="","",Master[[#This Row],[Inventory Type - Lookup Picker]])</f>
        <v/>
      </c>
      <c r="I191" t="str">
        <f>IF(Master[[#This Row],[Cooperator (Donor) 1 -full record]]="","",Master[[#This Row],[Cooperator (Donor) 1 -full record]])</f>
        <v/>
      </c>
    </row>
    <row r="192" spans="2:9" x14ac:dyDescent="0.25">
      <c r="B192" s="45" t="str">
        <f>Master[[#This Row],[Inventory Prefix]]&amp;" "&amp;Master[[#This Row],[Inventory Number]]&amp;" "&amp;Master[[#This Row],[Inventory Suffix]]&amp;" "&amp;Master[[#This Row],[Inventory Type - Lookup Picker]]</f>
        <v xml:space="preserve">   </v>
      </c>
      <c r="C192" t="str">
        <f t="shared" si="12"/>
        <v>Received</v>
      </c>
      <c r="D192" t="str">
        <f t="shared" si="13"/>
        <v>mm/dd/yyyy</v>
      </c>
      <c r="E192" s="77">
        <f>Master[[#This Row],[Received Date -received by site]]</f>
        <v>0</v>
      </c>
      <c r="F192" s="17" t="str">
        <f>IF(Master[[#This Row],[Total Weight -gram (if unknown, leave blank)]]="","1",Master[[#This Row],[Total Weight -gram (if unknown, leave blank)]])</f>
        <v>1</v>
      </c>
      <c r="G192" s="17" t="str">
        <f>IF(InvActionRecd[[#This Row],[Quantity]]="1","packet","gram")</f>
        <v>packet</v>
      </c>
      <c r="H192" t="str">
        <f>IF(Master[[#This Row],[Inventory Type - Lookup Picker]]="","",Master[[#This Row],[Inventory Type - Lookup Picker]])</f>
        <v/>
      </c>
      <c r="I192" t="str">
        <f>IF(Master[[#This Row],[Cooperator (Donor) 1 -full record]]="","",Master[[#This Row],[Cooperator (Donor) 1 -full record]])</f>
        <v/>
      </c>
    </row>
    <row r="193" spans="2:9" x14ac:dyDescent="0.25">
      <c r="B193" s="45" t="str">
        <f>Master[[#This Row],[Inventory Prefix]]&amp;" "&amp;Master[[#This Row],[Inventory Number]]&amp;" "&amp;Master[[#This Row],[Inventory Suffix]]&amp;" "&amp;Master[[#This Row],[Inventory Type - Lookup Picker]]</f>
        <v xml:space="preserve">   </v>
      </c>
      <c r="C193" t="str">
        <f t="shared" si="12"/>
        <v>Received</v>
      </c>
      <c r="D193" t="str">
        <f t="shared" si="13"/>
        <v>mm/dd/yyyy</v>
      </c>
      <c r="E193" s="77">
        <f>Master[[#This Row],[Received Date -received by site]]</f>
        <v>0</v>
      </c>
      <c r="F193" s="17" t="str">
        <f>IF(Master[[#This Row],[Total Weight -gram (if unknown, leave blank)]]="","1",Master[[#This Row],[Total Weight -gram (if unknown, leave blank)]])</f>
        <v>1</v>
      </c>
      <c r="G193" s="17" t="str">
        <f>IF(InvActionRecd[[#This Row],[Quantity]]="1","packet","gram")</f>
        <v>packet</v>
      </c>
      <c r="H193" t="str">
        <f>IF(Master[[#This Row],[Inventory Type - Lookup Picker]]="","",Master[[#This Row],[Inventory Type - Lookup Picker]])</f>
        <v/>
      </c>
      <c r="I193" t="str">
        <f>IF(Master[[#This Row],[Cooperator (Donor) 1 -full record]]="","",Master[[#This Row],[Cooperator (Donor) 1 -full record]])</f>
        <v/>
      </c>
    </row>
    <row r="194" spans="2:9" x14ac:dyDescent="0.25">
      <c r="B194" s="45" t="str">
        <f>Master[[#This Row],[Inventory Prefix]]&amp;" "&amp;Master[[#This Row],[Inventory Number]]&amp;" "&amp;Master[[#This Row],[Inventory Suffix]]&amp;" "&amp;Master[[#This Row],[Inventory Type - Lookup Picker]]</f>
        <v xml:space="preserve">   </v>
      </c>
      <c r="C194" t="str">
        <f t="shared" si="12"/>
        <v>Received</v>
      </c>
      <c r="D194" t="str">
        <f t="shared" si="13"/>
        <v>mm/dd/yyyy</v>
      </c>
      <c r="E194" s="77">
        <f>Master[[#This Row],[Received Date -received by site]]</f>
        <v>0</v>
      </c>
      <c r="F194" s="17" t="str">
        <f>IF(Master[[#This Row],[Total Weight -gram (if unknown, leave blank)]]="","1",Master[[#This Row],[Total Weight -gram (if unknown, leave blank)]])</f>
        <v>1</v>
      </c>
      <c r="G194" s="17" t="str">
        <f>IF(InvActionRecd[[#This Row],[Quantity]]="1","packet","gram")</f>
        <v>packet</v>
      </c>
      <c r="H194" t="str">
        <f>IF(Master[[#This Row],[Inventory Type - Lookup Picker]]="","",Master[[#This Row],[Inventory Type - Lookup Picker]])</f>
        <v/>
      </c>
      <c r="I194" t="str">
        <f>IF(Master[[#This Row],[Cooperator (Donor) 1 -full record]]="","",Master[[#This Row],[Cooperator (Donor) 1 -full record]])</f>
        <v/>
      </c>
    </row>
    <row r="195" spans="2:9" x14ac:dyDescent="0.25">
      <c r="B195" s="45" t="str">
        <f>Master[[#This Row],[Inventory Prefix]]&amp;" "&amp;Master[[#This Row],[Inventory Number]]&amp;" "&amp;Master[[#This Row],[Inventory Suffix]]&amp;" "&amp;Master[[#This Row],[Inventory Type - Lookup Picker]]</f>
        <v xml:space="preserve">   </v>
      </c>
      <c r="C195" t="str">
        <f t="shared" si="12"/>
        <v>Received</v>
      </c>
      <c r="D195" t="str">
        <f t="shared" si="13"/>
        <v>mm/dd/yyyy</v>
      </c>
      <c r="E195" s="77">
        <f>Master[[#This Row],[Received Date -received by site]]</f>
        <v>0</v>
      </c>
      <c r="F195" s="17" t="str">
        <f>IF(Master[[#This Row],[Total Weight -gram (if unknown, leave blank)]]="","1",Master[[#This Row],[Total Weight -gram (if unknown, leave blank)]])</f>
        <v>1</v>
      </c>
      <c r="G195" s="17" t="str">
        <f>IF(InvActionRecd[[#This Row],[Quantity]]="1","packet","gram")</f>
        <v>packet</v>
      </c>
      <c r="H195" t="str">
        <f>IF(Master[[#This Row],[Inventory Type - Lookup Picker]]="","",Master[[#This Row],[Inventory Type - Lookup Picker]])</f>
        <v/>
      </c>
      <c r="I195" t="str">
        <f>IF(Master[[#This Row],[Cooperator (Donor) 1 -full record]]="","",Master[[#This Row],[Cooperator (Donor) 1 -full record]])</f>
        <v/>
      </c>
    </row>
    <row r="196" spans="2:9" x14ac:dyDescent="0.25">
      <c r="B196" s="45" t="str">
        <f>Master[[#This Row],[Inventory Prefix]]&amp;" "&amp;Master[[#This Row],[Inventory Number]]&amp;" "&amp;Master[[#This Row],[Inventory Suffix]]&amp;" "&amp;Master[[#This Row],[Inventory Type - Lookup Picker]]</f>
        <v xml:space="preserve">   </v>
      </c>
      <c r="C196" t="str">
        <f t="shared" si="12"/>
        <v>Received</v>
      </c>
      <c r="D196" t="str">
        <f t="shared" si="13"/>
        <v>mm/dd/yyyy</v>
      </c>
      <c r="E196" s="77">
        <f>Master[[#This Row],[Received Date -received by site]]</f>
        <v>0</v>
      </c>
      <c r="F196" s="17" t="str">
        <f>IF(Master[[#This Row],[Total Weight -gram (if unknown, leave blank)]]="","1",Master[[#This Row],[Total Weight -gram (if unknown, leave blank)]])</f>
        <v>1</v>
      </c>
      <c r="G196" s="17" t="str">
        <f>IF(InvActionRecd[[#This Row],[Quantity]]="1","packet","gram")</f>
        <v>packet</v>
      </c>
      <c r="H196" t="str">
        <f>IF(Master[[#This Row],[Inventory Type - Lookup Picker]]="","",Master[[#This Row],[Inventory Type - Lookup Picker]])</f>
        <v/>
      </c>
      <c r="I196" t="str">
        <f>IF(Master[[#This Row],[Cooperator (Donor) 1 -full record]]="","",Master[[#This Row],[Cooperator (Donor) 1 -full record]])</f>
        <v/>
      </c>
    </row>
    <row r="197" spans="2:9" x14ac:dyDescent="0.25">
      <c r="B197" s="45" t="str">
        <f>Master[[#This Row],[Inventory Prefix]]&amp;" "&amp;Master[[#This Row],[Inventory Number]]&amp;" "&amp;Master[[#This Row],[Inventory Suffix]]&amp;" "&amp;Master[[#This Row],[Inventory Type - Lookup Picker]]</f>
        <v xml:space="preserve">   </v>
      </c>
      <c r="C197" t="str">
        <f t="shared" si="12"/>
        <v>Received</v>
      </c>
      <c r="D197" t="str">
        <f t="shared" si="13"/>
        <v>mm/dd/yyyy</v>
      </c>
      <c r="E197" s="77">
        <f>Master[[#This Row],[Received Date -received by site]]</f>
        <v>0</v>
      </c>
      <c r="F197" s="17" t="str">
        <f>IF(Master[[#This Row],[Total Weight -gram (if unknown, leave blank)]]="","1",Master[[#This Row],[Total Weight -gram (if unknown, leave blank)]])</f>
        <v>1</v>
      </c>
      <c r="G197" s="17" t="str">
        <f>IF(InvActionRecd[[#This Row],[Quantity]]="1","packet","gram")</f>
        <v>packet</v>
      </c>
      <c r="H197" t="str">
        <f>IF(Master[[#This Row],[Inventory Type - Lookup Picker]]="","",Master[[#This Row],[Inventory Type - Lookup Picker]])</f>
        <v/>
      </c>
      <c r="I197" t="str">
        <f>IF(Master[[#This Row],[Cooperator (Donor) 1 -full record]]="","",Master[[#This Row],[Cooperator (Donor) 1 -full record]])</f>
        <v/>
      </c>
    </row>
    <row r="198" spans="2:9" x14ac:dyDescent="0.25">
      <c r="B198" s="45" t="str">
        <f>Master[[#This Row],[Inventory Prefix]]&amp;" "&amp;Master[[#This Row],[Inventory Number]]&amp;" "&amp;Master[[#This Row],[Inventory Suffix]]&amp;" "&amp;Master[[#This Row],[Inventory Type - Lookup Picker]]</f>
        <v xml:space="preserve">   </v>
      </c>
      <c r="C198" t="str">
        <f t="shared" si="12"/>
        <v>Received</v>
      </c>
      <c r="D198" t="str">
        <f t="shared" si="13"/>
        <v>mm/dd/yyyy</v>
      </c>
      <c r="E198" s="77">
        <f>Master[[#This Row],[Received Date -received by site]]</f>
        <v>0</v>
      </c>
      <c r="F198" s="17" t="str">
        <f>IF(Master[[#This Row],[Total Weight -gram (if unknown, leave blank)]]="","1",Master[[#This Row],[Total Weight -gram (if unknown, leave blank)]])</f>
        <v>1</v>
      </c>
      <c r="G198" s="17" t="str">
        <f>IF(InvActionRecd[[#This Row],[Quantity]]="1","packet","gram")</f>
        <v>packet</v>
      </c>
      <c r="H198" t="str">
        <f>IF(Master[[#This Row],[Inventory Type - Lookup Picker]]="","",Master[[#This Row],[Inventory Type - Lookup Picker]])</f>
        <v/>
      </c>
      <c r="I198" t="str">
        <f>IF(Master[[#This Row],[Cooperator (Donor) 1 -full record]]="","",Master[[#This Row],[Cooperator (Donor) 1 -full record]])</f>
        <v/>
      </c>
    </row>
    <row r="199" spans="2:9" x14ac:dyDescent="0.25">
      <c r="B199" s="45" t="str">
        <f>Master[[#This Row],[Inventory Prefix]]&amp;" "&amp;Master[[#This Row],[Inventory Number]]&amp;" "&amp;Master[[#This Row],[Inventory Suffix]]&amp;" "&amp;Master[[#This Row],[Inventory Type - Lookup Picker]]</f>
        <v xml:space="preserve">   </v>
      </c>
      <c r="C199" t="str">
        <f t="shared" si="12"/>
        <v>Received</v>
      </c>
      <c r="D199" t="str">
        <f t="shared" si="13"/>
        <v>mm/dd/yyyy</v>
      </c>
      <c r="E199" s="77">
        <f>Master[[#This Row],[Received Date -received by site]]</f>
        <v>0</v>
      </c>
      <c r="F199" s="17" t="str">
        <f>IF(Master[[#This Row],[Total Weight -gram (if unknown, leave blank)]]="","1",Master[[#This Row],[Total Weight -gram (if unknown, leave blank)]])</f>
        <v>1</v>
      </c>
      <c r="G199" s="17" t="str">
        <f>IF(InvActionRecd[[#This Row],[Quantity]]="1","packet","gram")</f>
        <v>packet</v>
      </c>
      <c r="H199" t="str">
        <f>IF(Master[[#This Row],[Inventory Type - Lookup Picker]]="","",Master[[#This Row],[Inventory Type - Lookup Picker]])</f>
        <v/>
      </c>
      <c r="I199" t="str">
        <f>IF(Master[[#This Row],[Cooperator (Donor) 1 -full record]]="","",Master[[#This Row],[Cooperator (Donor) 1 -full record]])</f>
        <v/>
      </c>
    </row>
    <row r="200" spans="2:9" x14ac:dyDescent="0.25">
      <c r="B200" s="45" t="str">
        <f>Master[[#This Row],[Inventory Prefix]]&amp;" "&amp;Master[[#This Row],[Inventory Number]]&amp;" "&amp;Master[[#This Row],[Inventory Suffix]]&amp;" "&amp;Master[[#This Row],[Inventory Type - Lookup Picker]]</f>
        <v xml:space="preserve">   </v>
      </c>
      <c r="C200" t="str">
        <f t="shared" si="12"/>
        <v>Received</v>
      </c>
      <c r="D200" t="str">
        <f t="shared" si="13"/>
        <v>mm/dd/yyyy</v>
      </c>
      <c r="E200" s="77">
        <f>Master[[#This Row],[Received Date -received by site]]</f>
        <v>0</v>
      </c>
      <c r="F200" s="17" t="str">
        <f>IF(Master[[#This Row],[Total Weight -gram (if unknown, leave blank)]]="","1",Master[[#This Row],[Total Weight -gram (if unknown, leave blank)]])</f>
        <v>1</v>
      </c>
      <c r="G200" s="17" t="str">
        <f>IF(InvActionRecd[[#This Row],[Quantity]]="1","packet","gram")</f>
        <v>packet</v>
      </c>
      <c r="H200" t="str">
        <f>IF(Master[[#This Row],[Inventory Type - Lookup Picker]]="","",Master[[#This Row],[Inventory Type - Lookup Picker]])</f>
        <v/>
      </c>
      <c r="I200" t="str">
        <f>IF(Master[[#This Row],[Cooperator (Donor) 1 -full record]]="","",Master[[#This Row],[Cooperator (Donor) 1 -full record]])</f>
        <v/>
      </c>
    </row>
    <row r="201" spans="2:9" x14ac:dyDescent="0.25">
      <c r="B201" s="45" t="str">
        <f>Master[[#This Row],[Inventory Prefix]]&amp;" "&amp;Master[[#This Row],[Inventory Number]]&amp;" "&amp;Master[[#This Row],[Inventory Suffix]]&amp;" "&amp;Master[[#This Row],[Inventory Type - Lookup Picker]]</f>
        <v xml:space="preserve">   </v>
      </c>
      <c r="C201" t="str">
        <f t="shared" si="12"/>
        <v>Received</v>
      </c>
      <c r="D201" t="str">
        <f t="shared" si="13"/>
        <v>mm/dd/yyyy</v>
      </c>
      <c r="E201" s="77">
        <f>Master[[#This Row],[Received Date -received by site]]</f>
        <v>0</v>
      </c>
      <c r="F201" s="17" t="str">
        <f>IF(Master[[#This Row],[Total Weight -gram (if unknown, leave blank)]]="","1",Master[[#This Row],[Total Weight -gram (if unknown, leave blank)]])</f>
        <v>1</v>
      </c>
      <c r="G201" s="17" t="str">
        <f>IF(InvActionRecd[[#This Row],[Quantity]]="1","packet","gram")</f>
        <v>packet</v>
      </c>
      <c r="H201" t="str">
        <f>IF(Master[[#This Row],[Inventory Type - Lookup Picker]]="","",Master[[#This Row],[Inventory Type - Lookup Picker]])</f>
        <v/>
      </c>
      <c r="I201" t="str">
        <f>IF(Master[[#This Row],[Cooperator (Donor) 1 -full record]]="","",Master[[#This Row],[Cooperator (Donor) 1 -full record]])</f>
        <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4" tint="0.59999389629810485"/>
  </sheetPr>
  <dimension ref="A1:J201"/>
  <sheetViews>
    <sheetView workbookViewId="0">
      <selection activeCell="A2" sqref="A2"/>
    </sheetView>
  </sheetViews>
  <sheetFormatPr defaultRowHeight="15" x14ac:dyDescent="0.25"/>
  <cols>
    <col min="1" max="1" width="9.7109375" customWidth="1"/>
    <col min="2" max="2" width="26.5703125" customWidth="1"/>
    <col min="3" max="3" width="12.5703125" customWidth="1"/>
    <col min="4" max="4" width="13.7109375" customWidth="1"/>
    <col min="5" max="5" width="11" customWidth="1"/>
    <col min="6" max="6" width="10.85546875" customWidth="1"/>
    <col min="7" max="8" width="7.7109375" customWidth="1"/>
    <col min="9" max="9" width="93.140625" bestFit="1" customWidth="1"/>
    <col min="10" max="10" width="7.7109375" bestFit="1" customWidth="1"/>
  </cols>
  <sheetData>
    <row r="1" spans="1:10" s="116" customFormat="1" ht="30" x14ac:dyDescent="0.25">
      <c r="A1" s="116" t="s">
        <v>57</v>
      </c>
      <c r="B1" s="118" t="s">
        <v>31</v>
      </c>
      <c r="C1" s="118" t="s">
        <v>49</v>
      </c>
      <c r="D1" s="116" t="s">
        <v>52</v>
      </c>
      <c r="E1" s="116" t="s">
        <v>53</v>
      </c>
      <c r="F1" s="116" t="s">
        <v>58</v>
      </c>
      <c r="G1" s="116" t="s">
        <v>59</v>
      </c>
      <c r="H1" s="116" t="s">
        <v>60</v>
      </c>
      <c r="I1" s="116" t="s">
        <v>55</v>
      </c>
      <c r="J1" s="116" t="s">
        <v>9</v>
      </c>
    </row>
    <row r="2" spans="1:10" ht="15.75" x14ac:dyDescent="0.25">
      <c r="A2" s="1"/>
      <c r="B2" s="7" t="str">
        <f>Master[[#This Row],[Inventory Prefix]]&amp;" "&amp;Master[[#This Row],[Inventory Number]]&amp;" "&amp;Master[[#This Row],[Inventory Suffix]]&amp;" "&amp;Master[[#This Row],[Inventory Type - Lookup Picker]]</f>
        <v>W6 57036 2019o SD</v>
      </c>
      <c r="C2" s="31" t="str">
        <f t="shared" ref="C2:C33" si="0">"Collected"</f>
        <v>Collected</v>
      </c>
      <c r="D2" s="7" t="str">
        <f>"mm/dd/yyyy"</f>
        <v>mm/dd/yyyy</v>
      </c>
      <c r="E2" s="77">
        <f>IF(Master[[#This Row],[Date Collected or Developed]]="","",Master[[#This Row],[Date Collected or Developed]])</f>
        <v>43290</v>
      </c>
      <c r="F2" s="17">
        <f>IF(Master[[#This Row],[Quantity On Hand]]="","",Master[[#This Row],[Quantity On Hand]])</f>
        <v>3742</v>
      </c>
      <c r="G2" s="17" t="str">
        <f>IF(Master[[#This Row],[Quantity On Hand Units -''count'' or ''packet'']]="count","count",IF(Master[[#This Row],[Quantity On Hand Units -''count'' or ''packet'']]="packet","packet",""))</f>
        <v>count</v>
      </c>
      <c r="H2" s="7" t="str">
        <f>IF(Master[[#This Row],[Inventory Type - Lookup Picker]]="","",Master[[#This Row],[Inventory Type - Lookup Picker]])</f>
        <v>SD</v>
      </c>
      <c r="I2" s="7" t="str">
        <f>IF(Master[[#This Row],[Cooperator (Collector) 1 -full record]]="","",Master[[#This Row],[Cooperator (Collector) 1 -full record]])</f>
        <v>Bureau of Land Management, SOS project</v>
      </c>
    </row>
    <row r="3" spans="1:10" x14ac:dyDescent="0.25">
      <c r="A3" s="7"/>
      <c r="B3" s="7" t="str">
        <f>Master[[#This Row],[Inventory Prefix]]&amp;" "&amp;Master[[#This Row],[Inventory Number]]&amp;" "&amp;Master[[#This Row],[Inventory Suffix]]&amp;" "&amp;Master[[#This Row],[Inventory Type - Lookup Picker]]</f>
        <v>W6   SD</v>
      </c>
      <c r="C3" s="7" t="str">
        <f t="shared" si="0"/>
        <v>Collected</v>
      </c>
      <c r="D3" s="7" t="str">
        <f t="shared" ref="D3:D21" si="1">"mm/dd/yyyy"</f>
        <v>mm/dd/yyyy</v>
      </c>
      <c r="E3" s="77" t="str">
        <f>IF(Master[[#This Row],[Date Collected or Developed]]="","",Master[[#This Row],[Date Collected or Developed]])</f>
        <v>COLL_DT</v>
      </c>
      <c r="F3" s="17" t="str">
        <f>IF(Master[[#This Row],[Quantity On Hand]]="","",Master[[#This Row],[Quantity On Hand]])</f>
        <v/>
      </c>
      <c r="G3" s="17" t="str">
        <f>IF(Master[[#This Row],[Quantity On Hand Units -''count'' or ''packet'']]="count","count",IF(Master[[#This Row],[Quantity On Hand Units -''count'' or ''packet'']]="packet","packet",""))</f>
        <v/>
      </c>
      <c r="H3" s="7" t="str">
        <f>IF(Master[[#This Row],[Inventory Type - Lookup Picker]]="","",Master[[#This Row],[Inventory Type - Lookup Picker]])</f>
        <v>SD</v>
      </c>
      <c r="I3" s="7" t="str">
        <f>IF(Master[[#This Row],[Cooperator (Collector) 1 -full record]]="","",Master[[#This Row],[Cooperator (Collector) 1 -full record]])</f>
        <v/>
      </c>
    </row>
    <row r="4" spans="1:10" x14ac:dyDescent="0.25">
      <c r="A4" s="7"/>
      <c r="B4" s="7" t="str">
        <f>Master[[#This Row],[Inventory Prefix]]&amp;" "&amp;Master[[#This Row],[Inventory Number]]&amp;" "&amp;Master[[#This Row],[Inventory Suffix]]&amp;" "&amp;Master[[#This Row],[Inventory Type - Lookup Picker]]</f>
        <v>W6   SD</v>
      </c>
      <c r="C4" s="7" t="str">
        <f t="shared" si="0"/>
        <v>Collected</v>
      </c>
      <c r="D4" s="7" t="str">
        <f t="shared" si="1"/>
        <v>mm/dd/yyyy</v>
      </c>
      <c r="E4" s="77">
        <f>IF(Master[[#This Row],[Date Collected or Developed]]="","",Master[[#This Row],[Date Collected or Developed]])</f>
        <v>44013</v>
      </c>
      <c r="F4" s="17" t="str">
        <f>IF(Master[[#This Row],[Quantity On Hand]]="","",Master[[#This Row],[Quantity On Hand]])</f>
        <v/>
      </c>
      <c r="G4" s="17" t="str">
        <f>IF(Master[[#This Row],[Quantity On Hand Units -''count'' or ''packet'']]="count","count",IF(Master[[#This Row],[Quantity On Hand Units -''count'' or ''packet'']]="packet","packet",""))</f>
        <v/>
      </c>
      <c r="H4" s="7" t="str">
        <f>IF(Master[[#This Row],[Inventory Type - Lookup Picker]]="","",Master[[#This Row],[Inventory Type - Lookup Picker]])</f>
        <v>SD</v>
      </c>
      <c r="I4" s="7" t="str">
        <f>IF(Master[[#This Row],[Cooperator (Collector) 1 -full record]]="","",Master[[#This Row],[Cooperator (Collector) 1 -full record]])</f>
        <v/>
      </c>
    </row>
    <row r="5" spans="1:10" x14ac:dyDescent="0.25">
      <c r="A5" s="7"/>
      <c r="B5" s="7" t="str">
        <f>Master[[#This Row],[Inventory Prefix]]&amp;" "&amp;Master[[#This Row],[Inventory Number]]&amp;" "&amp;Master[[#This Row],[Inventory Suffix]]&amp;" "&amp;Master[[#This Row],[Inventory Type - Lookup Picker]]</f>
        <v>W6   SD</v>
      </c>
      <c r="C5" s="7" t="str">
        <f t="shared" si="0"/>
        <v>Collected</v>
      </c>
      <c r="D5" s="7" t="str">
        <f t="shared" si="1"/>
        <v>mm/dd/yyyy</v>
      </c>
      <c r="E5" s="77">
        <f>IF(Master[[#This Row],[Date Collected or Developed]]="","",Master[[#This Row],[Date Collected or Developed]])</f>
        <v>44026</v>
      </c>
      <c r="F5" s="17" t="str">
        <f>IF(Master[[#This Row],[Quantity On Hand]]="","",Master[[#This Row],[Quantity On Hand]])</f>
        <v/>
      </c>
      <c r="G5" s="17" t="str">
        <f>IF(Master[[#This Row],[Quantity On Hand Units -''count'' or ''packet'']]="count","count",IF(Master[[#This Row],[Quantity On Hand Units -''count'' or ''packet'']]="packet","packet",""))</f>
        <v/>
      </c>
      <c r="H5" s="7" t="str">
        <f>IF(Master[[#This Row],[Inventory Type - Lookup Picker]]="","",Master[[#This Row],[Inventory Type - Lookup Picker]])</f>
        <v>SD</v>
      </c>
      <c r="I5" s="7" t="str">
        <f>IF(Master[[#This Row],[Cooperator (Collector) 1 -full record]]="","",Master[[#This Row],[Cooperator (Collector) 1 -full record]])</f>
        <v/>
      </c>
    </row>
    <row r="6" spans="1:10" x14ac:dyDescent="0.25">
      <c r="A6" s="7"/>
      <c r="B6" s="7" t="str">
        <f>Master[[#This Row],[Inventory Prefix]]&amp;" "&amp;Master[[#This Row],[Inventory Number]]&amp;" "&amp;Master[[#This Row],[Inventory Suffix]]&amp;" "&amp;Master[[#This Row],[Inventory Type - Lookup Picker]]</f>
        <v>W6   SD</v>
      </c>
      <c r="C6" s="7" t="str">
        <f t="shared" si="0"/>
        <v>Collected</v>
      </c>
      <c r="D6" s="7" t="str">
        <f t="shared" si="1"/>
        <v>mm/dd/yyyy</v>
      </c>
      <c r="E6" s="77">
        <f>IF(Master[[#This Row],[Date Collected or Developed]]="","",Master[[#This Row],[Date Collected or Developed]])</f>
        <v>44041</v>
      </c>
      <c r="F6" s="17" t="str">
        <f>IF(Master[[#This Row],[Quantity On Hand]]="","",Master[[#This Row],[Quantity On Hand]])</f>
        <v/>
      </c>
      <c r="G6" s="17" t="str">
        <f>IF(Master[[#This Row],[Quantity On Hand Units -''count'' or ''packet'']]="count","count",IF(Master[[#This Row],[Quantity On Hand Units -''count'' or ''packet'']]="packet","packet",""))</f>
        <v/>
      </c>
      <c r="H6" s="7" t="str">
        <f>IF(Master[[#This Row],[Inventory Type - Lookup Picker]]="","",Master[[#This Row],[Inventory Type - Lookup Picker]])</f>
        <v>SD</v>
      </c>
      <c r="I6" s="7" t="str">
        <f>IF(Master[[#This Row],[Cooperator (Collector) 1 -full record]]="","",Master[[#This Row],[Cooperator (Collector) 1 -full record]])</f>
        <v/>
      </c>
    </row>
    <row r="7" spans="1:10" x14ac:dyDescent="0.25">
      <c r="A7" s="7"/>
      <c r="B7" s="7" t="str">
        <f>Master[[#This Row],[Inventory Prefix]]&amp;" "&amp;Master[[#This Row],[Inventory Number]]&amp;" "&amp;Master[[#This Row],[Inventory Suffix]]&amp;" "&amp;Master[[#This Row],[Inventory Type - Lookup Picker]]</f>
        <v>W6   SD</v>
      </c>
      <c r="C7" s="7" t="str">
        <f t="shared" si="0"/>
        <v>Collected</v>
      </c>
      <c r="D7" s="7" t="str">
        <f t="shared" si="1"/>
        <v>mm/dd/yyyy</v>
      </c>
      <c r="E7" s="77">
        <f>IF(Master[[#This Row],[Date Collected or Developed]]="","",Master[[#This Row],[Date Collected or Developed]])</f>
        <v>44047</v>
      </c>
      <c r="F7" s="17" t="str">
        <f>IF(Master[[#This Row],[Quantity On Hand]]="","",Master[[#This Row],[Quantity On Hand]])</f>
        <v/>
      </c>
      <c r="G7" s="17" t="str">
        <f>IF(Master[[#This Row],[Quantity On Hand Units -''count'' or ''packet'']]="count","count",IF(Master[[#This Row],[Quantity On Hand Units -''count'' or ''packet'']]="packet","packet",""))</f>
        <v/>
      </c>
      <c r="H7" s="7" t="str">
        <f>IF(Master[[#This Row],[Inventory Type - Lookup Picker]]="","",Master[[#This Row],[Inventory Type - Lookup Picker]])</f>
        <v>SD</v>
      </c>
      <c r="I7" s="7" t="str">
        <f>IF(Master[[#This Row],[Cooperator (Collector) 1 -full record]]="","",Master[[#This Row],[Cooperator (Collector) 1 -full record]])</f>
        <v/>
      </c>
    </row>
    <row r="8" spans="1:10" x14ac:dyDescent="0.25">
      <c r="A8" s="7"/>
      <c r="B8" t="str">
        <f>Master[[#This Row],[Inventory Prefix]]&amp;" "&amp;Master[[#This Row],[Inventory Number]]&amp;" "&amp;Master[[#This Row],[Inventory Suffix]]&amp;" "&amp;Master[[#This Row],[Inventory Type - Lookup Picker]]</f>
        <v>W6   SD</v>
      </c>
      <c r="C8" t="str">
        <f t="shared" si="0"/>
        <v>Collected</v>
      </c>
      <c r="D8" t="str">
        <f t="shared" si="1"/>
        <v>mm/dd/yyyy</v>
      </c>
      <c r="E8" s="77">
        <f>IF(Master[[#This Row],[Date Collected or Developed]]="","",Master[[#This Row],[Date Collected or Developed]])</f>
        <v>44053</v>
      </c>
      <c r="F8" s="17" t="str">
        <f>IF(Master[[#This Row],[Quantity On Hand]]="","",Master[[#This Row],[Quantity On Hand]])</f>
        <v/>
      </c>
      <c r="G8" s="17" t="str">
        <f>IF(Master[[#This Row],[Quantity On Hand Units -''count'' or ''packet'']]="count","count",IF(Master[[#This Row],[Quantity On Hand Units -''count'' or ''packet'']]="packet","packet",""))</f>
        <v/>
      </c>
      <c r="H8" t="str">
        <f>IF(Master[[#This Row],[Inventory Type - Lookup Picker]]="","",Master[[#This Row],[Inventory Type - Lookup Picker]])</f>
        <v>SD</v>
      </c>
      <c r="I8" t="str">
        <f>IF(Master[[#This Row],[Cooperator (Collector) 1 -full record]]="","",Master[[#This Row],[Cooperator (Collector) 1 -full record]])</f>
        <v/>
      </c>
    </row>
    <row r="9" spans="1:10" x14ac:dyDescent="0.25">
      <c r="A9" s="7"/>
      <c r="B9" t="str">
        <f>Master[[#This Row],[Inventory Prefix]]&amp;" "&amp;Master[[#This Row],[Inventory Number]]&amp;" "&amp;Master[[#This Row],[Inventory Suffix]]&amp;" "&amp;Master[[#This Row],[Inventory Type - Lookup Picker]]</f>
        <v>W6   SD</v>
      </c>
      <c r="C9" t="str">
        <f t="shared" si="0"/>
        <v>Collected</v>
      </c>
      <c r="D9" t="str">
        <f t="shared" si="1"/>
        <v>mm/dd/yyyy</v>
      </c>
      <c r="E9" s="77">
        <f>IF(Master[[#This Row],[Date Collected or Developed]]="","",Master[[#This Row],[Date Collected or Developed]])</f>
        <v>44055</v>
      </c>
      <c r="F9" s="17" t="str">
        <f>IF(Master[[#This Row],[Quantity On Hand]]="","",Master[[#This Row],[Quantity On Hand]])</f>
        <v/>
      </c>
      <c r="G9" s="17" t="str">
        <f>IF(Master[[#This Row],[Quantity On Hand Units -''count'' or ''packet'']]="count","count",IF(Master[[#This Row],[Quantity On Hand Units -''count'' or ''packet'']]="packet","packet",""))</f>
        <v/>
      </c>
      <c r="H9" t="str">
        <f>IF(Master[[#This Row],[Inventory Type - Lookup Picker]]="","",Master[[#This Row],[Inventory Type - Lookup Picker]])</f>
        <v>SD</v>
      </c>
      <c r="I9" t="str">
        <f>IF(Master[[#This Row],[Cooperator (Collector) 1 -full record]]="","",Master[[#This Row],[Cooperator (Collector) 1 -full record]])</f>
        <v/>
      </c>
    </row>
    <row r="10" spans="1:10" x14ac:dyDescent="0.25">
      <c r="A10" s="7"/>
      <c r="B10" t="str">
        <f>Master[[#This Row],[Inventory Prefix]]&amp;" "&amp;Master[[#This Row],[Inventory Number]]&amp;" "&amp;Master[[#This Row],[Inventory Suffix]]&amp;" "&amp;Master[[#This Row],[Inventory Type - Lookup Picker]]</f>
        <v>W6   SD</v>
      </c>
      <c r="C10" t="str">
        <f t="shared" si="0"/>
        <v>Collected</v>
      </c>
      <c r="D10" t="str">
        <f t="shared" si="1"/>
        <v>mm/dd/yyyy</v>
      </c>
      <c r="E10" s="77">
        <f>IF(Master[[#This Row],[Date Collected or Developed]]="","",Master[[#This Row],[Date Collected or Developed]])</f>
        <v>44056</v>
      </c>
      <c r="F10" s="17" t="str">
        <f>IF(Master[[#This Row],[Quantity On Hand]]="","",Master[[#This Row],[Quantity On Hand]])</f>
        <v/>
      </c>
      <c r="G10" s="17" t="str">
        <f>IF(Master[[#This Row],[Quantity On Hand Units -''count'' or ''packet'']]="count","count",IF(Master[[#This Row],[Quantity On Hand Units -''count'' or ''packet'']]="packet","packet",""))</f>
        <v/>
      </c>
      <c r="H10" t="str">
        <f>IF(Master[[#This Row],[Inventory Type - Lookup Picker]]="","",Master[[#This Row],[Inventory Type - Lookup Picker]])</f>
        <v>SD</v>
      </c>
      <c r="I10" t="str">
        <f>IF(Master[[#This Row],[Cooperator (Collector) 1 -full record]]="","",Master[[#This Row],[Cooperator (Collector) 1 -full record]])</f>
        <v/>
      </c>
    </row>
    <row r="11" spans="1:10" x14ac:dyDescent="0.25">
      <c r="A11" s="7"/>
      <c r="B11" t="str">
        <f>Master[[#This Row],[Inventory Prefix]]&amp;" "&amp;Master[[#This Row],[Inventory Number]]&amp;" "&amp;Master[[#This Row],[Inventory Suffix]]&amp;" "&amp;Master[[#This Row],[Inventory Type - Lookup Picker]]</f>
        <v>W6   SD</v>
      </c>
      <c r="C11" t="str">
        <f t="shared" si="0"/>
        <v>Collected</v>
      </c>
      <c r="D11" t="str">
        <f t="shared" si="1"/>
        <v>mm/dd/yyyy</v>
      </c>
      <c r="E11" s="77">
        <f>IF(Master[[#This Row],[Date Collected or Developed]]="","",Master[[#This Row],[Date Collected or Developed]])</f>
        <v>44061</v>
      </c>
      <c r="F11" s="17" t="str">
        <f>IF(Master[[#This Row],[Quantity On Hand]]="","",Master[[#This Row],[Quantity On Hand]])</f>
        <v/>
      </c>
      <c r="G11" s="17" t="str">
        <f>IF(Master[[#This Row],[Quantity On Hand Units -''count'' or ''packet'']]="count","count",IF(Master[[#This Row],[Quantity On Hand Units -''count'' or ''packet'']]="packet","packet",""))</f>
        <v/>
      </c>
      <c r="H11" t="str">
        <f>IF(Master[[#This Row],[Inventory Type - Lookup Picker]]="","",Master[[#This Row],[Inventory Type - Lookup Picker]])</f>
        <v>SD</v>
      </c>
      <c r="I11" t="str">
        <f>IF(Master[[#This Row],[Cooperator (Collector) 1 -full record]]="","",Master[[#This Row],[Cooperator (Collector) 1 -full record]])</f>
        <v/>
      </c>
    </row>
    <row r="12" spans="1:10" x14ac:dyDescent="0.25">
      <c r="A12" s="7"/>
      <c r="B12" t="str">
        <f>Master[[#This Row],[Inventory Prefix]]&amp;" "&amp;Master[[#This Row],[Inventory Number]]&amp;" "&amp;Master[[#This Row],[Inventory Suffix]]&amp;" "&amp;Master[[#This Row],[Inventory Type - Lookup Picker]]</f>
        <v>W6   SD</v>
      </c>
      <c r="C12" t="str">
        <f t="shared" si="0"/>
        <v>Collected</v>
      </c>
      <c r="D12" t="str">
        <f t="shared" si="1"/>
        <v>mm/dd/yyyy</v>
      </c>
      <c r="E12" s="77">
        <f>IF(Master[[#This Row],[Date Collected or Developed]]="","",Master[[#This Row],[Date Collected or Developed]])</f>
        <v>44061</v>
      </c>
      <c r="F12" s="17" t="str">
        <f>IF(Master[[#This Row],[Quantity On Hand]]="","",Master[[#This Row],[Quantity On Hand]])</f>
        <v/>
      </c>
      <c r="G12" s="17" t="str">
        <f>IF(Master[[#This Row],[Quantity On Hand Units -''count'' or ''packet'']]="count","count",IF(Master[[#This Row],[Quantity On Hand Units -''count'' or ''packet'']]="packet","packet",""))</f>
        <v/>
      </c>
      <c r="H12" t="str">
        <f>IF(Master[[#This Row],[Inventory Type - Lookup Picker]]="","",Master[[#This Row],[Inventory Type - Lookup Picker]])</f>
        <v>SD</v>
      </c>
      <c r="I12" t="str">
        <f>IF(Master[[#This Row],[Cooperator (Collector) 1 -full record]]="","",Master[[#This Row],[Cooperator (Collector) 1 -full record]])</f>
        <v/>
      </c>
    </row>
    <row r="13" spans="1:10" x14ac:dyDescent="0.25">
      <c r="A13" s="7"/>
      <c r="B13" t="str">
        <f>Master[[#This Row],[Inventory Prefix]]&amp;" "&amp;Master[[#This Row],[Inventory Number]]&amp;" "&amp;Master[[#This Row],[Inventory Suffix]]&amp;" "&amp;Master[[#This Row],[Inventory Type - Lookup Picker]]</f>
        <v>W6   SD</v>
      </c>
      <c r="C13" t="str">
        <f t="shared" si="0"/>
        <v>Collected</v>
      </c>
      <c r="D13" t="str">
        <f t="shared" si="1"/>
        <v>mm/dd/yyyy</v>
      </c>
      <c r="E13" s="77">
        <f>IF(Master[[#This Row],[Date Collected or Developed]]="","",Master[[#This Row],[Date Collected or Developed]])</f>
        <v>44062</v>
      </c>
      <c r="F13" s="17" t="str">
        <f>IF(Master[[#This Row],[Quantity On Hand]]="","",Master[[#This Row],[Quantity On Hand]])</f>
        <v/>
      </c>
      <c r="G13" s="17" t="str">
        <f>IF(Master[[#This Row],[Quantity On Hand Units -''count'' or ''packet'']]="count","count",IF(Master[[#This Row],[Quantity On Hand Units -''count'' or ''packet'']]="packet","packet",""))</f>
        <v/>
      </c>
      <c r="H13" t="str">
        <f>IF(Master[[#This Row],[Inventory Type - Lookup Picker]]="","",Master[[#This Row],[Inventory Type - Lookup Picker]])</f>
        <v>SD</v>
      </c>
      <c r="I13" t="str">
        <f>IF(Master[[#This Row],[Cooperator (Collector) 1 -full record]]="","",Master[[#This Row],[Cooperator (Collector) 1 -full record]])</f>
        <v/>
      </c>
    </row>
    <row r="14" spans="1:10" x14ac:dyDescent="0.25">
      <c r="A14" s="7"/>
      <c r="B14" t="str">
        <f>Master[[#This Row],[Inventory Prefix]]&amp;" "&amp;Master[[#This Row],[Inventory Number]]&amp;" "&amp;Master[[#This Row],[Inventory Suffix]]&amp;" "&amp;Master[[#This Row],[Inventory Type - Lookup Picker]]</f>
        <v>W6   SD</v>
      </c>
      <c r="C14" t="str">
        <f t="shared" si="0"/>
        <v>Collected</v>
      </c>
      <c r="D14" t="str">
        <f t="shared" si="1"/>
        <v>mm/dd/yyyy</v>
      </c>
      <c r="E14" s="77">
        <f>IF(Master[[#This Row],[Date Collected or Developed]]="","",Master[[#This Row],[Date Collected or Developed]])</f>
        <v>44063</v>
      </c>
      <c r="F14" s="17" t="str">
        <f>IF(Master[[#This Row],[Quantity On Hand]]="","",Master[[#This Row],[Quantity On Hand]])</f>
        <v/>
      </c>
      <c r="G14" s="17" t="str">
        <f>IF(Master[[#This Row],[Quantity On Hand Units -''count'' or ''packet'']]="count","count",IF(Master[[#This Row],[Quantity On Hand Units -''count'' or ''packet'']]="packet","packet",""))</f>
        <v/>
      </c>
      <c r="H14" t="str">
        <f>IF(Master[[#This Row],[Inventory Type - Lookup Picker]]="","",Master[[#This Row],[Inventory Type - Lookup Picker]])</f>
        <v>SD</v>
      </c>
      <c r="I14" t="str">
        <f>IF(Master[[#This Row],[Cooperator (Collector) 1 -full record]]="","",Master[[#This Row],[Cooperator (Collector) 1 -full record]])</f>
        <v/>
      </c>
    </row>
    <row r="15" spans="1:10" x14ac:dyDescent="0.25">
      <c r="A15" s="7"/>
      <c r="B15" t="str">
        <f>Master[[#This Row],[Inventory Prefix]]&amp;" "&amp;Master[[#This Row],[Inventory Number]]&amp;" "&amp;Master[[#This Row],[Inventory Suffix]]&amp;" "&amp;Master[[#This Row],[Inventory Type - Lookup Picker]]</f>
        <v>W6   SD</v>
      </c>
      <c r="C15" t="str">
        <f t="shared" si="0"/>
        <v>Collected</v>
      </c>
      <c r="D15" t="str">
        <f t="shared" si="1"/>
        <v>mm/dd/yyyy</v>
      </c>
      <c r="E15" s="77">
        <f>IF(Master[[#This Row],[Date Collected or Developed]]="","",Master[[#This Row],[Date Collected or Developed]])</f>
        <v>44069</v>
      </c>
      <c r="F15" s="17" t="str">
        <f>IF(Master[[#This Row],[Quantity On Hand]]="","",Master[[#This Row],[Quantity On Hand]])</f>
        <v/>
      </c>
      <c r="G15" s="17" t="str">
        <f>IF(Master[[#This Row],[Quantity On Hand Units -''count'' or ''packet'']]="count","count",IF(Master[[#This Row],[Quantity On Hand Units -''count'' or ''packet'']]="packet","packet",""))</f>
        <v/>
      </c>
      <c r="H15" t="str">
        <f>IF(Master[[#This Row],[Inventory Type - Lookup Picker]]="","",Master[[#This Row],[Inventory Type - Lookup Picker]])</f>
        <v>SD</v>
      </c>
      <c r="I15" t="str">
        <f>IF(Master[[#This Row],[Cooperator (Collector) 1 -full record]]="","",Master[[#This Row],[Cooperator (Collector) 1 -full record]])</f>
        <v/>
      </c>
    </row>
    <row r="16" spans="1:10" x14ac:dyDescent="0.25">
      <c r="A16" s="7"/>
      <c r="B16" t="str">
        <f>Master[[#This Row],[Inventory Prefix]]&amp;" "&amp;Master[[#This Row],[Inventory Number]]&amp;" "&amp;Master[[#This Row],[Inventory Suffix]]&amp;" "&amp;Master[[#This Row],[Inventory Type - Lookup Picker]]</f>
        <v>W6   SD</v>
      </c>
      <c r="C16" t="str">
        <f t="shared" si="0"/>
        <v>Collected</v>
      </c>
      <c r="D16" t="str">
        <f t="shared" si="1"/>
        <v>mm/dd/yyyy</v>
      </c>
      <c r="E16" s="77">
        <f>IF(Master[[#This Row],[Date Collected or Developed]]="","",Master[[#This Row],[Date Collected or Developed]])</f>
        <v>44070</v>
      </c>
      <c r="F16" s="17" t="str">
        <f>IF(Master[[#This Row],[Quantity On Hand]]="","",Master[[#This Row],[Quantity On Hand]])</f>
        <v/>
      </c>
      <c r="G16" s="17" t="str">
        <f>IF(Master[[#This Row],[Quantity On Hand Units -''count'' or ''packet'']]="count","count",IF(Master[[#This Row],[Quantity On Hand Units -''count'' or ''packet'']]="packet","packet",""))</f>
        <v/>
      </c>
      <c r="H16" t="str">
        <f>IF(Master[[#This Row],[Inventory Type - Lookup Picker]]="","",Master[[#This Row],[Inventory Type - Lookup Picker]])</f>
        <v>SD</v>
      </c>
      <c r="I16" t="str">
        <f>IF(Master[[#This Row],[Cooperator (Collector) 1 -full record]]="","",Master[[#This Row],[Cooperator (Collector) 1 -full record]])</f>
        <v/>
      </c>
    </row>
    <row r="17" spans="1:9" x14ac:dyDescent="0.25">
      <c r="A17" s="7"/>
      <c r="B17" t="str">
        <f>Master[[#This Row],[Inventory Prefix]]&amp;" "&amp;Master[[#This Row],[Inventory Number]]&amp;" "&amp;Master[[#This Row],[Inventory Suffix]]&amp;" "&amp;Master[[#This Row],[Inventory Type - Lookup Picker]]</f>
        <v>W6   SD</v>
      </c>
      <c r="C17" t="str">
        <f t="shared" si="0"/>
        <v>Collected</v>
      </c>
      <c r="D17" t="str">
        <f t="shared" si="1"/>
        <v>mm/dd/yyyy</v>
      </c>
      <c r="E17" s="77">
        <f>IF(Master[[#This Row],[Date Collected or Developed]]="","",Master[[#This Row],[Date Collected or Developed]])</f>
        <v>44076</v>
      </c>
      <c r="F17" s="17" t="str">
        <f>IF(Master[[#This Row],[Quantity On Hand]]="","",Master[[#This Row],[Quantity On Hand]])</f>
        <v/>
      </c>
      <c r="G17" s="17" t="str">
        <f>IF(Master[[#This Row],[Quantity On Hand Units -''count'' or ''packet'']]="count","count",IF(Master[[#This Row],[Quantity On Hand Units -''count'' or ''packet'']]="packet","packet",""))</f>
        <v/>
      </c>
      <c r="H17" t="str">
        <f>IF(Master[[#This Row],[Inventory Type - Lookup Picker]]="","",Master[[#This Row],[Inventory Type - Lookup Picker]])</f>
        <v>SD</v>
      </c>
      <c r="I17" t="str">
        <f>IF(Master[[#This Row],[Cooperator (Collector) 1 -full record]]="","",Master[[#This Row],[Cooperator (Collector) 1 -full record]])</f>
        <v/>
      </c>
    </row>
    <row r="18" spans="1:9" x14ac:dyDescent="0.25">
      <c r="A18" s="7"/>
      <c r="B18" t="str">
        <f>Master[[#This Row],[Inventory Prefix]]&amp;" "&amp;Master[[#This Row],[Inventory Number]]&amp;" "&amp;Master[[#This Row],[Inventory Suffix]]&amp;" "&amp;Master[[#This Row],[Inventory Type - Lookup Picker]]</f>
        <v>W6   SD</v>
      </c>
      <c r="C18" t="str">
        <f t="shared" si="0"/>
        <v>Collected</v>
      </c>
      <c r="D18" t="str">
        <f t="shared" si="1"/>
        <v>mm/dd/yyyy</v>
      </c>
      <c r="E18" s="77">
        <f>IF(Master[[#This Row],[Date Collected or Developed]]="","",Master[[#This Row],[Date Collected or Developed]])</f>
        <v>44077</v>
      </c>
      <c r="F18" s="17" t="str">
        <f>IF(Master[[#This Row],[Quantity On Hand]]="","",Master[[#This Row],[Quantity On Hand]])</f>
        <v/>
      </c>
      <c r="G18" s="17" t="str">
        <f>IF(Master[[#This Row],[Quantity On Hand Units -''count'' or ''packet'']]="count","count",IF(Master[[#This Row],[Quantity On Hand Units -''count'' or ''packet'']]="packet","packet",""))</f>
        <v/>
      </c>
      <c r="H18" t="str">
        <f>IF(Master[[#This Row],[Inventory Type - Lookup Picker]]="","",Master[[#This Row],[Inventory Type - Lookup Picker]])</f>
        <v>SD</v>
      </c>
      <c r="I18" t="str">
        <f>IF(Master[[#This Row],[Cooperator (Collector) 1 -full record]]="","",Master[[#This Row],[Cooperator (Collector) 1 -full record]])</f>
        <v/>
      </c>
    </row>
    <row r="19" spans="1:9" x14ac:dyDescent="0.25">
      <c r="A19" s="7"/>
      <c r="B19" t="str">
        <f>Master[[#This Row],[Inventory Prefix]]&amp;" "&amp;Master[[#This Row],[Inventory Number]]&amp;" "&amp;Master[[#This Row],[Inventory Suffix]]&amp;" "&amp;Master[[#This Row],[Inventory Type - Lookup Picker]]</f>
        <v>W6   SD</v>
      </c>
      <c r="C19" t="str">
        <f t="shared" si="0"/>
        <v>Collected</v>
      </c>
      <c r="D19" t="str">
        <f t="shared" si="1"/>
        <v>mm/dd/yyyy</v>
      </c>
      <c r="E19" s="77">
        <f>IF(Master[[#This Row],[Date Collected or Developed]]="","",Master[[#This Row],[Date Collected or Developed]])</f>
        <v>44084</v>
      </c>
      <c r="F19" s="17" t="str">
        <f>IF(Master[[#This Row],[Quantity On Hand]]="","",Master[[#This Row],[Quantity On Hand]])</f>
        <v/>
      </c>
      <c r="G19" s="17" t="str">
        <f>IF(Master[[#This Row],[Quantity On Hand Units -''count'' or ''packet'']]="count","count",IF(Master[[#This Row],[Quantity On Hand Units -''count'' or ''packet'']]="packet","packet",""))</f>
        <v/>
      </c>
      <c r="H19" t="str">
        <f>IF(Master[[#This Row],[Inventory Type - Lookup Picker]]="","",Master[[#This Row],[Inventory Type - Lookup Picker]])</f>
        <v>SD</v>
      </c>
      <c r="I19" t="str">
        <f>IF(Master[[#This Row],[Cooperator (Collector) 1 -full record]]="","",Master[[#This Row],[Cooperator (Collector) 1 -full record]])</f>
        <v/>
      </c>
    </row>
    <row r="20" spans="1:9" x14ac:dyDescent="0.25">
      <c r="A20" s="7"/>
      <c r="B20" t="str">
        <f>Master[[#This Row],[Inventory Prefix]]&amp;" "&amp;Master[[#This Row],[Inventory Number]]&amp;" "&amp;Master[[#This Row],[Inventory Suffix]]&amp;" "&amp;Master[[#This Row],[Inventory Type - Lookup Picker]]</f>
        <v>W6   SD</v>
      </c>
      <c r="C20" t="str">
        <f t="shared" si="0"/>
        <v>Collected</v>
      </c>
      <c r="D20" t="str">
        <f t="shared" si="1"/>
        <v>mm/dd/yyyy</v>
      </c>
      <c r="E20" s="77">
        <f>IF(Master[[#This Row],[Date Collected or Developed]]="","",Master[[#This Row],[Date Collected or Developed]])</f>
        <v>44089</v>
      </c>
      <c r="F20" s="17" t="str">
        <f>IF(Master[[#This Row],[Quantity On Hand]]="","",Master[[#This Row],[Quantity On Hand]])</f>
        <v/>
      </c>
      <c r="G20" s="17" t="str">
        <f>IF(Master[[#This Row],[Quantity On Hand Units -''count'' or ''packet'']]="count","count",IF(Master[[#This Row],[Quantity On Hand Units -''count'' or ''packet'']]="packet","packet",""))</f>
        <v/>
      </c>
      <c r="H20" t="str">
        <f>IF(Master[[#This Row],[Inventory Type - Lookup Picker]]="","",Master[[#This Row],[Inventory Type - Lookup Picker]])</f>
        <v>SD</v>
      </c>
      <c r="I20" t="str">
        <f>IF(Master[[#This Row],[Cooperator (Collector) 1 -full record]]="","",Master[[#This Row],[Cooperator (Collector) 1 -full record]])</f>
        <v/>
      </c>
    </row>
    <row r="21" spans="1:9" x14ac:dyDescent="0.25">
      <c r="A21" s="7"/>
      <c r="B21" t="str">
        <f>Master[[#This Row],[Inventory Prefix]]&amp;" "&amp;Master[[#This Row],[Inventory Number]]&amp;" "&amp;Master[[#This Row],[Inventory Suffix]]&amp;" "&amp;Master[[#This Row],[Inventory Type - Lookup Picker]]</f>
        <v>W6   SD</v>
      </c>
      <c r="C21" t="str">
        <f t="shared" si="0"/>
        <v>Collected</v>
      </c>
      <c r="D21" t="str">
        <f t="shared" si="1"/>
        <v>mm/dd/yyyy</v>
      </c>
      <c r="E21" s="77">
        <f>IF(Master[[#This Row],[Date Collected or Developed]]="","",Master[[#This Row],[Date Collected or Developed]])</f>
        <v>44089</v>
      </c>
      <c r="F21" s="17" t="str">
        <f>IF(Master[[#This Row],[Quantity On Hand]]="","",Master[[#This Row],[Quantity On Hand]])</f>
        <v/>
      </c>
      <c r="G21" s="17" t="str">
        <f>IF(Master[[#This Row],[Quantity On Hand Units -''count'' or ''packet'']]="count","count",IF(Master[[#This Row],[Quantity On Hand Units -''count'' or ''packet'']]="packet","packet",""))</f>
        <v/>
      </c>
      <c r="H21" t="str">
        <f>IF(Master[[#This Row],[Inventory Type - Lookup Picker]]="","",Master[[#This Row],[Inventory Type - Lookup Picker]])</f>
        <v>SD</v>
      </c>
      <c r="I21" t="str">
        <f>IF(Master[[#This Row],[Cooperator (Collector) 1 -full record]]="","",Master[[#This Row],[Cooperator (Collector) 1 -full record]])</f>
        <v/>
      </c>
    </row>
    <row r="22" spans="1:9" x14ac:dyDescent="0.25">
      <c r="B22" s="45" t="str">
        <f>Master[[#This Row],[Inventory Prefix]]&amp;" "&amp;Master[[#This Row],[Inventory Number]]&amp;" "&amp;Master[[#This Row],[Inventory Suffix]]&amp;" "&amp;Master[[#This Row],[Inventory Type - Lookup Picker]]</f>
        <v>W6   SD</v>
      </c>
      <c r="C22" t="str">
        <f t="shared" si="0"/>
        <v>Collected</v>
      </c>
      <c r="D22" t="str">
        <f t="shared" ref="D22:D53" si="2">"mm/dd/yyyy"</f>
        <v>mm/dd/yyyy</v>
      </c>
      <c r="E22" s="77">
        <f>IF(Master[[#This Row],[Date Collected or Developed]]="","",Master[[#This Row],[Date Collected or Developed]])</f>
        <v>44090</v>
      </c>
      <c r="F22" s="17" t="str">
        <f>IF(Master[[#This Row],[Quantity On Hand]]="","",Master[[#This Row],[Quantity On Hand]])</f>
        <v/>
      </c>
      <c r="G22" s="17" t="str">
        <f>IF(Master[[#This Row],[Quantity On Hand Units -''count'' or ''packet'']]="count","count",IF(Master[[#This Row],[Quantity On Hand Units -''count'' or ''packet'']]="packet","packet",""))</f>
        <v/>
      </c>
      <c r="H22" s="45" t="str">
        <f>IF(Master[[#This Row],[Inventory Type - Lookup Picker]]="","",Master[[#This Row],[Inventory Type - Lookup Picker]])</f>
        <v>SD</v>
      </c>
      <c r="I22" t="str">
        <f>IF(Master[[#This Row],[Cooperator (Collector) 1 -full record]]="","",Master[[#This Row],[Cooperator (Collector) 1 -full record]])</f>
        <v/>
      </c>
    </row>
    <row r="23" spans="1:9" x14ac:dyDescent="0.25">
      <c r="B23" s="45" t="str">
        <f>Master[[#This Row],[Inventory Prefix]]&amp;" "&amp;Master[[#This Row],[Inventory Number]]&amp;" "&amp;Master[[#This Row],[Inventory Suffix]]&amp;" "&amp;Master[[#This Row],[Inventory Type - Lookup Picker]]</f>
        <v>W6   SD</v>
      </c>
      <c r="C23" t="str">
        <f t="shared" si="0"/>
        <v>Collected</v>
      </c>
      <c r="D23" t="str">
        <f t="shared" si="2"/>
        <v>mm/dd/yyyy</v>
      </c>
      <c r="E23" s="77">
        <f>IF(Master[[#This Row],[Date Collected or Developed]]="","",Master[[#This Row],[Date Collected or Developed]])</f>
        <v>44090</v>
      </c>
      <c r="F23" s="17" t="str">
        <f>IF(Master[[#This Row],[Quantity On Hand]]="","",Master[[#This Row],[Quantity On Hand]])</f>
        <v/>
      </c>
      <c r="G23" s="17" t="str">
        <f>IF(Master[[#This Row],[Quantity On Hand Units -''count'' or ''packet'']]="count","count",IF(Master[[#This Row],[Quantity On Hand Units -''count'' or ''packet'']]="packet","packet",""))</f>
        <v/>
      </c>
      <c r="H23" s="45" t="str">
        <f>IF(Master[[#This Row],[Inventory Type - Lookup Picker]]="","",Master[[#This Row],[Inventory Type - Lookup Picker]])</f>
        <v>SD</v>
      </c>
      <c r="I23" t="str">
        <f>IF(Master[[#This Row],[Cooperator (Collector) 1 -full record]]="","",Master[[#This Row],[Cooperator (Collector) 1 -full record]])</f>
        <v/>
      </c>
    </row>
    <row r="24" spans="1:9" x14ac:dyDescent="0.25">
      <c r="B24" s="45" t="str">
        <f>Master[[#This Row],[Inventory Prefix]]&amp;" "&amp;Master[[#This Row],[Inventory Number]]&amp;" "&amp;Master[[#This Row],[Inventory Suffix]]&amp;" "&amp;Master[[#This Row],[Inventory Type - Lookup Picker]]</f>
        <v>W6   SD</v>
      </c>
      <c r="C24" t="str">
        <f t="shared" si="0"/>
        <v>Collected</v>
      </c>
      <c r="D24" t="str">
        <f t="shared" si="2"/>
        <v>mm/dd/yyyy</v>
      </c>
      <c r="E24" s="77">
        <f>IF(Master[[#This Row],[Date Collected or Developed]]="","",Master[[#This Row],[Date Collected or Developed]])</f>
        <v>44091</v>
      </c>
      <c r="F24" s="17" t="str">
        <f>IF(Master[[#This Row],[Quantity On Hand]]="","",Master[[#This Row],[Quantity On Hand]])</f>
        <v/>
      </c>
      <c r="G24" s="17" t="str">
        <f>IF(Master[[#This Row],[Quantity On Hand Units -''count'' or ''packet'']]="count","count",IF(Master[[#This Row],[Quantity On Hand Units -''count'' or ''packet'']]="packet","packet",""))</f>
        <v/>
      </c>
      <c r="H24" s="45" t="str">
        <f>IF(Master[[#This Row],[Inventory Type - Lookup Picker]]="","",Master[[#This Row],[Inventory Type - Lookup Picker]])</f>
        <v>SD</v>
      </c>
      <c r="I24" t="str">
        <f>IF(Master[[#This Row],[Cooperator (Collector) 1 -full record]]="","",Master[[#This Row],[Cooperator (Collector) 1 -full record]])</f>
        <v/>
      </c>
    </row>
    <row r="25" spans="1:9" x14ac:dyDescent="0.25">
      <c r="B25" s="45" t="str">
        <f>Master[[#This Row],[Inventory Prefix]]&amp;" "&amp;Master[[#This Row],[Inventory Number]]&amp;" "&amp;Master[[#This Row],[Inventory Suffix]]&amp;" "&amp;Master[[#This Row],[Inventory Type - Lookup Picker]]</f>
        <v>W6   SD</v>
      </c>
      <c r="C25" t="str">
        <f t="shared" si="0"/>
        <v>Collected</v>
      </c>
      <c r="D25" t="str">
        <f t="shared" si="2"/>
        <v>mm/dd/yyyy</v>
      </c>
      <c r="E25" s="77">
        <f>IF(Master[[#This Row],[Date Collected or Developed]]="","",Master[[#This Row],[Date Collected or Developed]])</f>
        <v>44098</v>
      </c>
      <c r="F25" s="17" t="str">
        <f>IF(Master[[#This Row],[Quantity On Hand]]="","",Master[[#This Row],[Quantity On Hand]])</f>
        <v/>
      </c>
      <c r="G25" s="17" t="str">
        <f>IF(Master[[#This Row],[Quantity On Hand Units -''count'' or ''packet'']]="count","count",IF(Master[[#This Row],[Quantity On Hand Units -''count'' or ''packet'']]="packet","packet",""))</f>
        <v/>
      </c>
      <c r="H25" s="45" t="str">
        <f>IF(Master[[#This Row],[Inventory Type - Lookup Picker]]="","",Master[[#This Row],[Inventory Type - Lookup Picker]])</f>
        <v>SD</v>
      </c>
      <c r="I25" t="str">
        <f>IF(Master[[#This Row],[Cooperator (Collector) 1 -full record]]="","",Master[[#This Row],[Cooperator (Collector) 1 -full record]])</f>
        <v/>
      </c>
    </row>
    <row r="26" spans="1:9" x14ac:dyDescent="0.25">
      <c r="B26" s="45" t="str">
        <f>Master[[#This Row],[Inventory Prefix]]&amp;" "&amp;Master[[#This Row],[Inventory Number]]&amp;" "&amp;Master[[#This Row],[Inventory Suffix]]&amp;" "&amp;Master[[#This Row],[Inventory Type - Lookup Picker]]</f>
        <v>W6   SD</v>
      </c>
      <c r="C26" t="str">
        <f t="shared" si="0"/>
        <v>Collected</v>
      </c>
      <c r="D26" t="str">
        <f t="shared" si="2"/>
        <v>mm/dd/yyyy</v>
      </c>
      <c r="E26" s="77">
        <f>IF(Master[[#This Row],[Date Collected or Developed]]="","",Master[[#This Row],[Date Collected or Developed]])</f>
        <v>44098</v>
      </c>
      <c r="F26" s="17" t="str">
        <f>IF(Master[[#This Row],[Quantity On Hand]]="","",Master[[#This Row],[Quantity On Hand]])</f>
        <v/>
      </c>
      <c r="G26" s="17" t="str">
        <f>IF(Master[[#This Row],[Quantity On Hand Units -''count'' or ''packet'']]="count","count",IF(Master[[#This Row],[Quantity On Hand Units -''count'' or ''packet'']]="packet","packet",""))</f>
        <v/>
      </c>
      <c r="H26" s="45" t="str">
        <f>IF(Master[[#This Row],[Inventory Type - Lookup Picker]]="","",Master[[#This Row],[Inventory Type - Lookup Picker]])</f>
        <v>SD</v>
      </c>
      <c r="I26" t="str">
        <f>IF(Master[[#This Row],[Cooperator (Collector) 1 -full record]]="","",Master[[#This Row],[Cooperator (Collector) 1 -full record]])</f>
        <v/>
      </c>
    </row>
    <row r="27" spans="1:9" x14ac:dyDescent="0.25">
      <c r="B27" s="45" t="str">
        <f>Master[[#This Row],[Inventory Prefix]]&amp;" "&amp;Master[[#This Row],[Inventory Number]]&amp;" "&amp;Master[[#This Row],[Inventory Suffix]]&amp;" "&amp;Master[[#This Row],[Inventory Type - Lookup Picker]]</f>
        <v>W6   SD</v>
      </c>
      <c r="C27" t="str">
        <f t="shared" si="0"/>
        <v>Collected</v>
      </c>
      <c r="D27" t="str">
        <f t="shared" si="2"/>
        <v>mm/dd/yyyy</v>
      </c>
      <c r="E27" s="77">
        <f>IF(Master[[#This Row],[Date Collected or Developed]]="","",Master[[#This Row],[Date Collected or Developed]])</f>
        <v>44104</v>
      </c>
      <c r="F27" s="17" t="str">
        <f>IF(Master[[#This Row],[Quantity On Hand]]="","",Master[[#This Row],[Quantity On Hand]])</f>
        <v/>
      </c>
      <c r="G27" s="17" t="str">
        <f>IF(Master[[#This Row],[Quantity On Hand Units -''count'' or ''packet'']]="count","count",IF(Master[[#This Row],[Quantity On Hand Units -''count'' or ''packet'']]="packet","packet",""))</f>
        <v/>
      </c>
      <c r="H27" s="45" t="str">
        <f>IF(Master[[#This Row],[Inventory Type - Lookup Picker]]="","",Master[[#This Row],[Inventory Type - Lookup Picker]])</f>
        <v>SD</v>
      </c>
      <c r="I27" t="str">
        <f>IF(Master[[#This Row],[Cooperator (Collector) 1 -full record]]="","",Master[[#This Row],[Cooperator (Collector) 1 -full record]])</f>
        <v/>
      </c>
    </row>
    <row r="28" spans="1:9" x14ac:dyDescent="0.25">
      <c r="B28" s="45" t="str">
        <f>Master[[#This Row],[Inventory Prefix]]&amp;" "&amp;Master[[#This Row],[Inventory Number]]&amp;" "&amp;Master[[#This Row],[Inventory Suffix]]&amp;" "&amp;Master[[#This Row],[Inventory Type - Lookup Picker]]</f>
        <v>W6   SD</v>
      </c>
      <c r="C28" t="str">
        <f t="shared" si="0"/>
        <v>Collected</v>
      </c>
      <c r="D28" t="str">
        <f t="shared" si="2"/>
        <v>mm/dd/yyyy</v>
      </c>
      <c r="E28" s="77">
        <f>IF(Master[[#This Row],[Date Collected or Developed]]="","",Master[[#This Row],[Date Collected or Developed]])</f>
        <v>44104</v>
      </c>
      <c r="F28" s="17" t="str">
        <f>IF(Master[[#This Row],[Quantity On Hand]]="","",Master[[#This Row],[Quantity On Hand]])</f>
        <v/>
      </c>
      <c r="G28" s="17" t="str">
        <f>IF(Master[[#This Row],[Quantity On Hand Units -''count'' or ''packet'']]="count","count",IF(Master[[#This Row],[Quantity On Hand Units -''count'' or ''packet'']]="packet","packet",""))</f>
        <v/>
      </c>
      <c r="H28" s="45" t="str">
        <f>IF(Master[[#This Row],[Inventory Type - Lookup Picker]]="","",Master[[#This Row],[Inventory Type - Lookup Picker]])</f>
        <v>SD</v>
      </c>
      <c r="I28" t="str">
        <f>IF(Master[[#This Row],[Cooperator (Collector) 1 -full record]]="","",Master[[#This Row],[Cooperator (Collector) 1 -full record]])</f>
        <v/>
      </c>
    </row>
    <row r="29" spans="1:9" x14ac:dyDescent="0.25">
      <c r="B29" s="45" t="str">
        <f>Master[[#This Row],[Inventory Prefix]]&amp;" "&amp;Master[[#This Row],[Inventory Number]]&amp;" "&amp;Master[[#This Row],[Inventory Suffix]]&amp;" "&amp;Master[[#This Row],[Inventory Type - Lookup Picker]]</f>
        <v>W6   SD</v>
      </c>
      <c r="C29" t="str">
        <f t="shared" si="0"/>
        <v>Collected</v>
      </c>
      <c r="D29" t="str">
        <f t="shared" si="2"/>
        <v>mm/dd/yyyy</v>
      </c>
      <c r="E29" s="77">
        <f>IF(Master[[#This Row],[Date Collected or Developed]]="","",Master[[#This Row],[Date Collected or Developed]])</f>
        <v>44112</v>
      </c>
      <c r="F29" s="17" t="str">
        <f>IF(Master[[#This Row],[Quantity On Hand]]="","",Master[[#This Row],[Quantity On Hand]])</f>
        <v/>
      </c>
      <c r="G29" s="17" t="str">
        <f>IF(Master[[#This Row],[Quantity On Hand Units -''count'' or ''packet'']]="count","count",IF(Master[[#This Row],[Quantity On Hand Units -''count'' or ''packet'']]="packet","packet",""))</f>
        <v/>
      </c>
      <c r="H29" s="45" t="str">
        <f>IF(Master[[#This Row],[Inventory Type - Lookup Picker]]="","",Master[[#This Row],[Inventory Type - Lookup Picker]])</f>
        <v>SD</v>
      </c>
      <c r="I29" t="str">
        <f>IF(Master[[#This Row],[Cooperator (Collector) 1 -full record]]="","",Master[[#This Row],[Cooperator (Collector) 1 -full record]])</f>
        <v/>
      </c>
    </row>
    <row r="30" spans="1:9" x14ac:dyDescent="0.25">
      <c r="B30" s="45" t="str">
        <f>Master[[#This Row],[Inventory Prefix]]&amp;" "&amp;Master[[#This Row],[Inventory Number]]&amp;" "&amp;Master[[#This Row],[Inventory Suffix]]&amp;" "&amp;Master[[#This Row],[Inventory Type - Lookup Picker]]</f>
        <v>W6   SD</v>
      </c>
      <c r="C30" t="str">
        <f t="shared" si="0"/>
        <v>Collected</v>
      </c>
      <c r="D30" t="str">
        <f t="shared" si="2"/>
        <v>mm/dd/yyyy</v>
      </c>
      <c r="E30" s="77">
        <f>IF(Master[[#This Row],[Date Collected or Developed]]="","",Master[[#This Row],[Date Collected or Developed]])</f>
        <v>44126</v>
      </c>
      <c r="F30" s="17" t="str">
        <f>IF(Master[[#This Row],[Quantity On Hand]]="","",Master[[#This Row],[Quantity On Hand]])</f>
        <v/>
      </c>
      <c r="G30" s="17" t="str">
        <f>IF(Master[[#This Row],[Quantity On Hand Units -''count'' or ''packet'']]="count","count",IF(Master[[#This Row],[Quantity On Hand Units -''count'' or ''packet'']]="packet","packet",""))</f>
        <v/>
      </c>
      <c r="H30" s="45" t="str">
        <f>IF(Master[[#This Row],[Inventory Type - Lookup Picker]]="","",Master[[#This Row],[Inventory Type - Lookup Picker]])</f>
        <v>SD</v>
      </c>
      <c r="I30" t="str">
        <f>IF(Master[[#This Row],[Cooperator (Collector) 1 -full record]]="","",Master[[#This Row],[Cooperator (Collector) 1 -full record]])</f>
        <v/>
      </c>
    </row>
    <row r="31" spans="1:9" x14ac:dyDescent="0.25">
      <c r="B31" s="45" t="str">
        <f>Master[[#This Row],[Inventory Prefix]]&amp;" "&amp;Master[[#This Row],[Inventory Number]]&amp;" "&amp;Master[[#This Row],[Inventory Suffix]]&amp;" "&amp;Master[[#This Row],[Inventory Type - Lookup Picker]]</f>
        <v>W6   SD</v>
      </c>
      <c r="C31" t="str">
        <f t="shared" si="0"/>
        <v>Collected</v>
      </c>
      <c r="D31" t="str">
        <f t="shared" si="2"/>
        <v>mm/dd/yyyy</v>
      </c>
      <c r="E31" s="77">
        <f>IF(Master[[#This Row],[Date Collected or Developed]]="","",Master[[#This Row],[Date Collected or Developed]])</f>
        <v>44068</v>
      </c>
      <c r="F31" s="17" t="str">
        <f>IF(Master[[#This Row],[Quantity On Hand]]="","",Master[[#This Row],[Quantity On Hand]])</f>
        <v/>
      </c>
      <c r="G31" s="17" t="str">
        <f>IF(Master[[#This Row],[Quantity On Hand Units -''count'' or ''packet'']]="count","count",IF(Master[[#This Row],[Quantity On Hand Units -''count'' or ''packet'']]="packet","packet",""))</f>
        <v/>
      </c>
      <c r="H31" s="45" t="str">
        <f>IF(Master[[#This Row],[Inventory Type - Lookup Picker]]="","",Master[[#This Row],[Inventory Type - Lookup Picker]])</f>
        <v>SD</v>
      </c>
      <c r="I31" t="str">
        <f>IF(Master[[#This Row],[Cooperator (Collector) 1 -full record]]="","",Master[[#This Row],[Cooperator (Collector) 1 -full record]])</f>
        <v/>
      </c>
    </row>
    <row r="32" spans="1:9" x14ac:dyDescent="0.25">
      <c r="B32" s="45" t="str">
        <f>Master[[#This Row],[Inventory Prefix]]&amp;" "&amp;Master[[#This Row],[Inventory Number]]&amp;" "&amp;Master[[#This Row],[Inventory Suffix]]&amp;" "&amp;Master[[#This Row],[Inventory Type - Lookup Picker]]</f>
        <v>W6   SD</v>
      </c>
      <c r="C32" t="str">
        <f t="shared" si="0"/>
        <v>Collected</v>
      </c>
      <c r="D32" t="str">
        <f t="shared" si="2"/>
        <v>mm/dd/yyyy</v>
      </c>
      <c r="E32" s="77">
        <f>IF(Master[[#This Row],[Date Collected or Developed]]="","",Master[[#This Row],[Date Collected or Developed]])</f>
        <v>44076</v>
      </c>
      <c r="F32" s="17" t="str">
        <f>IF(Master[[#This Row],[Quantity On Hand]]="","",Master[[#This Row],[Quantity On Hand]])</f>
        <v/>
      </c>
      <c r="G32" s="17" t="str">
        <f>IF(Master[[#This Row],[Quantity On Hand Units -''count'' or ''packet'']]="count","count",IF(Master[[#This Row],[Quantity On Hand Units -''count'' or ''packet'']]="packet","packet",""))</f>
        <v/>
      </c>
      <c r="H32" s="45" t="str">
        <f>IF(Master[[#This Row],[Inventory Type - Lookup Picker]]="","",Master[[#This Row],[Inventory Type - Lookup Picker]])</f>
        <v>SD</v>
      </c>
      <c r="I32" t="str">
        <f>IF(Master[[#This Row],[Cooperator (Collector) 1 -full record]]="","",Master[[#This Row],[Cooperator (Collector) 1 -full record]])</f>
        <v/>
      </c>
    </row>
    <row r="33" spans="2:9" x14ac:dyDescent="0.25">
      <c r="B33" s="45" t="str">
        <f>Master[[#This Row],[Inventory Prefix]]&amp;" "&amp;Master[[#This Row],[Inventory Number]]&amp;" "&amp;Master[[#This Row],[Inventory Suffix]]&amp;" "&amp;Master[[#This Row],[Inventory Type - Lookup Picker]]</f>
        <v>W6   SD</v>
      </c>
      <c r="C33" t="str">
        <f t="shared" si="0"/>
        <v>Collected</v>
      </c>
      <c r="D33" t="str">
        <f t="shared" si="2"/>
        <v>mm/dd/yyyy</v>
      </c>
      <c r="E33" s="77">
        <f>IF(Master[[#This Row],[Date Collected or Developed]]="","",Master[[#This Row],[Date Collected or Developed]])</f>
        <v>44077</v>
      </c>
      <c r="F33" s="17" t="str">
        <f>IF(Master[[#This Row],[Quantity On Hand]]="","",Master[[#This Row],[Quantity On Hand]])</f>
        <v/>
      </c>
      <c r="G33" s="17" t="str">
        <f>IF(Master[[#This Row],[Quantity On Hand Units -''count'' or ''packet'']]="count","count",IF(Master[[#This Row],[Quantity On Hand Units -''count'' or ''packet'']]="packet","packet",""))</f>
        <v/>
      </c>
      <c r="H33" s="45" t="str">
        <f>IF(Master[[#This Row],[Inventory Type - Lookup Picker]]="","",Master[[#This Row],[Inventory Type - Lookup Picker]])</f>
        <v>SD</v>
      </c>
      <c r="I33" t="str">
        <f>IF(Master[[#This Row],[Cooperator (Collector) 1 -full record]]="","",Master[[#This Row],[Cooperator (Collector) 1 -full record]])</f>
        <v/>
      </c>
    </row>
    <row r="34" spans="2:9" x14ac:dyDescent="0.25">
      <c r="B34" s="45" t="str">
        <f>Master[[#This Row],[Inventory Prefix]]&amp;" "&amp;Master[[#This Row],[Inventory Number]]&amp;" "&amp;Master[[#This Row],[Inventory Suffix]]&amp;" "&amp;Master[[#This Row],[Inventory Type - Lookup Picker]]</f>
        <v>W6   SD</v>
      </c>
      <c r="C34" t="str">
        <f t="shared" ref="C34:C65" si="3">"Collected"</f>
        <v>Collected</v>
      </c>
      <c r="D34" t="str">
        <f t="shared" si="2"/>
        <v>mm/dd/yyyy</v>
      </c>
      <c r="E34" s="77">
        <f>IF(Master[[#This Row],[Date Collected or Developed]]="","",Master[[#This Row],[Date Collected or Developed]])</f>
        <v>44084</v>
      </c>
      <c r="F34" s="17" t="str">
        <f>IF(Master[[#This Row],[Quantity On Hand]]="","",Master[[#This Row],[Quantity On Hand]])</f>
        <v/>
      </c>
      <c r="G34" s="17" t="str">
        <f>IF(Master[[#This Row],[Quantity On Hand Units -''count'' or ''packet'']]="count","count",IF(Master[[#This Row],[Quantity On Hand Units -''count'' or ''packet'']]="packet","packet",""))</f>
        <v/>
      </c>
      <c r="H34" s="45" t="str">
        <f>IF(Master[[#This Row],[Inventory Type - Lookup Picker]]="","",Master[[#This Row],[Inventory Type - Lookup Picker]])</f>
        <v>SD</v>
      </c>
      <c r="I34" t="str">
        <f>IF(Master[[#This Row],[Cooperator (Collector) 1 -full record]]="","",Master[[#This Row],[Cooperator (Collector) 1 -full record]])</f>
        <v/>
      </c>
    </row>
    <row r="35" spans="2:9" x14ac:dyDescent="0.25">
      <c r="B35" s="45" t="str">
        <f>Master[[#This Row],[Inventory Prefix]]&amp;" "&amp;Master[[#This Row],[Inventory Number]]&amp;" "&amp;Master[[#This Row],[Inventory Suffix]]&amp;" "&amp;Master[[#This Row],[Inventory Type - Lookup Picker]]</f>
        <v>W6   SD</v>
      </c>
      <c r="C35" t="str">
        <f t="shared" si="3"/>
        <v>Collected</v>
      </c>
      <c r="D35" t="str">
        <f t="shared" si="2"/>
        <v>mm/dd/yyyy</v>
      </c>
      <c r="E35" s="77">
        <f>IF(Master[[#This Row],[Date Collected or Developed]]="","",Master[[#This Row],[Date Collected or Developed]])</f>
        <v>44096</v>
      </c>
      <c r="F35" s="17" t="str">
        <f>IF(Master[[#This Row],[Quantity On Hand]]="","",Master[[#This Row],[Quantity On Hand]])</f>
        <v/>
      </c>
      <c r="G35" s="17" t="str">
        <f>IF(Master[[#This Row],[Quantity On Hand Units -''count'' or ''packet'']]="count","count",IF(Master[[#This Row],[Quantity On Hand Units -''count'' or ''packet'']]="packet","packet",""))</f>
        <v/>
      </c>
      <c r="H35" s="45" t="str">
        <f>IF(Master[[#This Row],[Inventory Type - Lookup Picker]]="","",Master[[#This Row],[Inventory Type - Lookup Picker]])</f>
        <v>SD</v>
      </c>
      <c r="I35" t="str">
        <f>IF(Master[[#This Row],[Cooperator (Collector) 1 -full record]]="","",Master[[#This Row],[Cooperator (Collector) 1 -full record]])</f>
        <v/>
      </c>
    </row>
    <row r="36" spans="2:9" x14ac:dyDescent="0.25">
      <c r="B36" s="45" t="str">
        <f>Master[[#This Row],[Inventory Prefix]]&amp;" "&amp;Master[[#This Row],[Inventory Number]]&amp;" "&amp;Master[[#This Row],[Inventory Suffix]]&amp;" "&amp;Master[[#This Row],[Inventory Type - Lookup Picker]]</f>
        <v>W6   SD</v>
      </c>
      <c r="C36" t="str">
        <f t="shared" si="3"/>
        <v>Collected</v>
      </c>
      <c r="D36" t="str">
        <f t="shared" si="2"/>
        <v>mm/dd/yyyy</v>
      </c>
      <c r="E36" s="77">
        <f>IF(Master[[#This Row],[Date Collected or Developed]]="","",Master[[#This Row],[Date Collected or Developed]])</f>
        <v>44096</v>
      </c>
      <c r="F36" s="17" t="str">
        <f>IF(Master[[#This Row],[Quantity On Hand]]="","",Master[[#This Row],[Quantity On Hand]])</f>
        <v/>
      </c>
      <c r="G36" s="17" t="str">
        <f>IF(Master[[#This Row],[Quantity On Hand Units -''count'' or ''packet'']]="count","count",IF(Master[[#This Row],[Quantity On Hand Units -''count'' or ''packet'']]="packet","packet",""))</f>
        <v/>
      </c>
      <c r="H36" s="45" t="str">
        <f>IF(Master[[#This Row],[Inventory Type - Lookup Picker]]="","",Master[[#This Row],[Inventory Type - Lookup Picker]])</f>
        <v>SD</v>
      </c>
      <c r="I36" t="str">
        <f>IF(Master[[#This Row],[Cooperator (Collector) 1 -full record]]="","",Master[[#This Row],[Cooperator (Collector) 1 -full record]])</f>
        <v/>
      </c>
    </row>
    <row r="37" spans="2:9" x14ac:dyDescent="0.25">
      <c r="B37" s="45" t="str">
        <f>Master[[#This Row],[Inventory Prefix]]&amp;" "&amp;Master[[#This Row],[Inventory Number]]&amp;" "&amp;Master[[#This Row],[Inventory Suffix]]&amp;" "&amp;Master[[#This Row],[Inventory Type - Lookup Picker]]</f>
        <v>W6   SD</v>
      </c>
      <c r="C37" t="str">
        <f t="shared" si="3"/>
        <v>Collected</v>
      </c>
      <c r="D37" t="str">
        <f t="shared" si="2"/>
        <v>mm/dd/yyyy</v>
      </c>
      <c r="E37" s="77">
        <f>IF(Master[[#This Row],[Date Collected or Developed]]="","",Master[[#This Row],[Date Collected or Developed]])</f>
        <v>44114</v>
      </c>
      <c r="F37" s="17" t="str">
        <f>IF(Master[[#This Row],[Quantity On Hand]]="","",Master[[#This Row],[Quantity On Hand]])</f>
        <v/>
      </c>
      <c r="G37" s="17" t="str">
        <f>IF(Master[[#This Row],[Quantity On Hand Units -''count'' or ''packet'']]="count","count",IF(Master[[#This Row],[Quantity On Hand Units -''count'' or ''packet'']]="packet","packet",""))</f>
        <v/>
      </c>
      <c r="H37" s="45" t="str">
        <f>IF(Master[[#This Row],[Inventory Type - Lookup Picker]]="","",Master[[#This Row],[Inventory Type - Lookup Picker]])</f>
        <v>SD</v>
      </c>
      <c r="I37" t="str">
        <f>IF(Master[[#This Row],[Cooperator (Collector) 1 -full record]]="","",Master[[#This Row],[Cooperator (Collector) 1 -full record]])</f>
        <v/>
      </c>
    </row>
    <row r="38" spans="2:9" x14ac:dyDescent="0.25">
      <c r="B38" s="45" t="str">
        <f>Master[[#This Row],[Inventory Prefix]]&amp;" "&amp;Master[[#This Row],[Inventory Number]]&amp;" "&amp;Master[[#This Row],[Inventory Suffix]]&amp;" "&amp;Master[[#This Row],[Inventory Type - Lookup Picker]]</f>
        <v>W6   SD</v>
      </c>
      <c r="C38" t="str">
        <f t="shared" si="3"/>
        <v>Collected</v>
      </c>
      <c r="D38" t="str">
        <f t="shared" si="2"/>
        <v>mm/dd/yyyy</v>
      </c>
      <c r="E38" s="77">
        <f>IF(Master[[#This Row],[Date Collected or Developed]]="","",Master[[#This Row],[Date Collected or Developed]])</f>
        <v>44114</v>
      </c>
      <c r="F38" s="17" t="str">
        <f>IF(Master[[#This Row],[Quantity On Hand]]="","",Master[[#This Row],[Quantity On Hand]])</f>
        <v/>
      </c>
      <c r="G38" s="17" t="str">
        <f>IF(Master[[#This Row],[Quantity On Hand Units -''count'' or ''packet'']]="count","count",IF(Master[[#This Row],[Quantity On Hand Units -''count'' or ''packet'']]="packet","packet",""))</f>
        <v/>
      </c>
      <c r="H38" s="45" t="str">
        <f>IF(Master[[#This Row],[Inventory Type - Lookup Picker]]="","",Master[[#This Row],[Inventory Type - Lookup Picker]])</f>
        <v>SD</v>
      </c>
      <c r="I38" t="str">
        <f>IF(Master[[#This Row],[Cooperator (Collector) 1 -full record]]="","",Master[[#This Row],[Cooperator (Collector) 1 -full record]])</f>
        <v/>
      </c>
    </row>
    <row r="39" spans="2:9" x14ac:dyDescent="0.25">
      <c r="B39" s="45" t="str">
        <f>Master[[#This Row],[Inventory Prefix]]&amp;" "&amp;Master[[#This Row],[Inventory Number]]&amp;" "&amp;Master[[#This Row],[Inventory Suffix]]&amp;" "&amp;Master[[#This Row],[Inventory Type - Lookup Picker]]</f>
        <v>W6   SD</v>
      </c>
      <c r="C39" t="str">
        <f t="shared" si="3"/>
        <v>Collected</v>
      </c>
      <c r="D39" t="str">
        <f t="shared" si="2"/>
        <v>mm/dd/yyyy</v>
      </c>
      <c r="E39" s="77">
        <f>IF(Master[[#This Row],[Date Collected or Developed]]="","",Master[[#This Row],[Date Collected or Developed]])</f>
        <v>44114</v>
      </c>
      <c r="F39" s="17" t="str">
        <f>IF(Master[[#This Row],[Quantity On Hand]]="","",Master[[#This Row],[Quantity On Hand]])</f>
        <v/>
      </c>
      <c r="G39" s="17" t="str">
        <f>IF(Master[[#This Row],[Quantity On Hand Units -''count'' or ''packet'']]="count","count",IF(Master[[#This Row],[Quantity On Hand Units -''count'' or ''packet'']]="packet","packet",""))</f>
        <v/>
      </c>
      <c r="H39" s="45" t="str">
        <f>IF(Master[[#This Row],[Inventory Type - Lookup Picker]]="","",Master[[#This Row],[Inventory Type - Lookup Picker]])</f>
        <v>SD</v>
      </c>
      <c r="I39" t="str">
        <f>IF(Master[[#This Row],[Cooperator (Collector) 1 -full record]]="","",Master[[#This Row],[Cooperator (Collector) 1 -full record]])</f>
        <v/>
      </c>
    </row>
    <row r="40" spans="2:9" x14ac:dyDescent="0.25">
      <c r="B40" s="45" t="str">
        <f>Master[[#This Row],[Inventory Prefix]]&amp;" "&amp;Master[[#This Row],[Inventory Number]]&amp;" "&amp;Master[[#This Row],[Inventory Suffix]]&amp;" "&amp;Master[[#This Row],[Inventory Type - Lookup Picker]]</f>
        <v>W6   SD</v>
      </c>
      <c r="C40" t="str">
        <f t="shared" si="3"/>
        <v>Collected</v>
      </c>
      <c r="D40" t="str">
        <f t="shared" si="2"/>
        <v>mm/dd/yyyy</v>
      </c>
      <c r="E40" s="77">
        <f>IF(Master[[#This Row],[Date Collected or Developed]]="","",Master[[#This Row],[Date Collected or Developed]])</f>
        <v>44118</v>
      </c>
      <c r="F40" s="17" t="str">
        <f>IF(Master[[#This Row],[Quantity On Hand]]="","",Master[[#This Row],[Quantity On Hand]])</f>
        <v/>
      </c>
      <c r="G40" s="17" t="str">
        <f>IF(Master[[#This Row],[Quantity On Hand Units -''count'' or ''packet'']]="count","count",IF(Master[[#This Row],[Quantity On Hand Units -''count'' or ''packet'']]="packet","packet",""))</f>
        <v/>
      </c>
      <c r="H40" s="45" t="str">
        <f>IF(Master[[#This Row],[Inventory Type - Lookup Picker]]="","",Master[[#This Row],[Inventory Type - Lookup Picker]])</f>
        <v>SD</v>
      </c>
      <c r="I40" t="str">
        <f>IF(Master[[#This Row],[Cooperator (Collector) 1 -full record]]="","",Master[[#This Row],[Cooperator (Collector) 1 -full record]])</f>
        <v/>
      </c>
    </row>
    <row r="41" spans="2:9" x14ac:dyDescent="0.25">
      <c r="B41" s="45" t="str">
        <f>Master[[#This Row],[Inventory Prefix]]&amp;" "&amp;Master[[#This Row],[Inventory Number]]&amp;" "&amp;Master[[#This Row],[Inventory Suffix]]&amp;" "&amp;Master[[#This Row],[Inventory Type - Lookup Picker]]</f>
        <v>W6   SD</v>
      </c>
      <c r="C41" t="str">
        <f t="shared" si="3"/>
        <v>Collected</v>
      </c>
      <c r="D41" t="str">
        <f t="shared" si="2"/>
        <v>mm/dd/yyyy</v>
      </c>
      <c r="E41" s="77">
        <f>IF(Master[[#This Row],[Date Collected or Developed]]="","",Master[[#This Row],[Date Collected or Developed]])</f>
        <v>44118</v>
      </c>
      <c r="F41" s="17" t="str">
        <f>IF(Master[[#This Row],[Quantity On Hand]]="","",Master[[#This Row],[Quantity On Hand]])</f>
        <v/>
      </c>
      <c r="G41" s="17" t="str">
        <f>IF(Master[[#This Row],[Quantity On Hand Units -''count'' or ''packet'']]="count","count",IF(Master[[#This Row],[Quantity On Hand Units -''count'' or ''packet'']]="packet","packet",""))</f>
        <v/>
      </c>
      <c r="H41" s="45" t="str">
        <f>IF(Master[[#This Row],[Inventory Type - Lookup Picker]]="","",Master[[#This Row],[Inventory Type - Lookup Picker]])</f>
        <v>SD</v>
      </c>
      <c r="I41" t="str">
        <f>IF(Master[[#This Row],[Cooperator (Collector) 1 -full record]]="","",Master[[#This Row],[Cooperator (Collector) 1 -full record]])</f>
        <v/>
      </c>
    </row>
    <row r="42" spans="2:9" x14ac:dyDescent="0.25">
      <c r="B42" s="45" t="str">
        <f>Master[[#This Row],[Inventory Prefix]]&amp;" "&amp;Master[[#This Row],[Inventory Number]]&amp;" "&amp;Master[[#This Row],[Inventory Suffix]]&amp;" "&amp;Master[[#This Row],[Inventory Type - Lookup Picker]]</f>
        <v>W6   SD</v>
      </c>
      <c r="C42" t="str">
        <f t="shared" si="3"/>
        <v>Collected</v>
      </c>
      <c r="D42" t="str">
        <f t="shared" si="2"/>
        <v>mm/dd/yyyy</v>
      </c>
      <c r="E42" s="77">
        <f>IF(Master[[#This Row],[Date Collected or Developed]]="","",Master[[#This Row],[Date Collected or Developed]])</f>
        <v>44118</v>
      </c>
      <c r="F42" s="17" t="str">
        <f>IF(Master[[#This Row],[Quantity On Hand]]="","",Master[[#This Row],[Quantity On Hand]])</f>
        <v/>
      </c>
      <c r="G42" s="17" t="str">
        <f>IF(Master[[#This Row],[Quantity On Hand Units -''count'' or ''packet'']]="count","count",IF(Master[[#This Row],[Quantity On Hand Units -''count'' or ''packet'']]="packet","packet",""))</f>
        <v/>
      </c>
      <c r="H42" s="45" t="str">
        <f>IF(Master[[#This Row],[Inventory Type - Lookup Picker]]="","",Master[[#This Row],[Inventory Type - Lookup Picker]])</f>
        <v>SD</v>
      </c>
      <c r="I42" t="str">
        <f>IF(Master[[#This Row],[Cooperator (Collector) 1 -full record]]="","",Master[[#This Row],[Cooperator (Collector) 1 -full record]])</f>
        <v/>
      </c>
    </row>
    <row r="43" spans="2:9" x14ac:dyDescent="0.25">
      <c r="B43" s="45" t="str">
        <f>Master[[#This Row],[Inventory Prefix]]&amp;" "&amp;Master[[#This Row],[Inventory Number]]&amp;" "&amp;Master[[#This Row],[Inventory Suffix]]&amp;" "&amp;Master[[#This Row],[Inventory Type - Lookup Picker]]</f>
        <v>W6   SD</v>
      </c>
      <c r="C43" t="str">
        <f t="shared" si="3"/>
        <v>Collected</v>
      </c>
      <c r="D43" t="str">
        <f t="shared" si="2"/>
        <v>mm/dd/yyyy</v>
      </c>
      <c r="E43" s="77">
        <f>IF(Master[[#This Row],[Date Collected or Developed]]="","",Master[[#This Row],[Date Collected or Developed]])</f>
        <v>44119</v>
      </c>
      <c r="F43" s="17" t="str">
        <f>IF(Master[[#This Row],[Quantity On Hand]]="","",Master[[#This Row],[Quantity On Hand]])</f>
        <v/>
      </c>
      <c r="G43" s="17" t="str">
        <f>IF(Master[[#This Row],[Quantity On Hand Units -''count'' or ''packet'']]="count","count",IF(Master[[#This Row],[Quantity On Hand Units -''count'' or ''packet'']]="packet","packet",""))</f>
        <v/>
      </c>
      <c r="H43" s="45" t="str">
        <f>IF(Master[[#This Row],[Inventory Type - Lookup Picker]]="","",Master[[#This Row],[Inventory Type - Lookup Picker]])</f>
        <v>SD</v>
      </c>
      <c r="I43" t="str">
        <f>IF(Master[[#This Row],[Cooperator (Collector) 1 -full record]]="","",Master[[#This Row],[Cooperator (Collector) 1 -full record]])</f>
        <v/>
      </c>
    </row>
    <row r="44" spans="2:9" x14ac:dyDescent="0.25">
      <c r="B44" s="45" t="str">
        <f>Master[[#This Row],[Inventory Prefix]]&amp;" "&amp;Master[[#This Row],[Inventory Number]]&amp;" "&amp;Master[[#This Row],[Inventory Suffix]]&amp;" "&amp;Master[[#This Row],[Inventory Type - Lookup Picker]]</f>
        <v>W6   SD</v>
      </c>
      <c r="C44" t="str">
        <f t="shared" si="3"/>
        <v>Collected</v>
      </c>
      <c r="D44" t="str">
        <f t="shared" si="2"/>
        <v>mm/dd/yyyy</v>
      </c>
      <c r="E44" s="77">
        <f>IF(Master[[#This Row],[Date Collected or Developed]]="","",Master[[#This Row],[Date Collected or Developed]])</f>
        <v>44119</v>
      </c>
      <c r="F44" s="17" t="str">
        <f>IF(Master[[#This Row],[Quantity On Hand]]="","",Master[[#This Row],[Quantity On Hand]])</f>
        <v/>
      </c>
      <c r="G44" s="17" t="str">
        <f>IF(Master[[#This Row],[Quantity On Hand Units -''count'' or ''packet'']]="count","count",IF(Master[[#This Row],[Quantity On Hand Units -''count'' or ''packet'']]="packet","packet",""))</f>
        <v/>
      </c>
      <c r="H44" s="45" t="str">
        <f>IF(Master[[#This Row],[Inventory Type - Lookup Picker]]="","",Master[[#This Row],[Inventory Type - Lookup Picker]])</f>
        <v>SD</v>
      </c>
      <c r="I44" t="str">
        <f>IF(Master[[#This Row],[Cooperator (Collector) 1 -full record]]="","",Master[[#This Row],[Cooperator (Collector) 1 -full record]])</f>
        <v/>
      </c>
    </row>
    <row r="45" spans="2:9" x14ac:dyDescent="0.25">
      <c r="B45" s="45" t="str">
        <f>Master[[#This Row],[Inventory Prefix]]&amp;" "&amp;Master[[#This Row],[Inventory Number]]&amp;" "&amp;Master[[#This Row],[Inventory Suffix]]&amp;" "&amp;Master[[#This Row],[Inventory Type - Lookup Picker]]</f>
        <v>W6   SD</v>
      </c>
      <c r="C45" t="str">
        <f t="shared" si="3"/>
        <v>Collected</v>
      </c>
      <c r="D45" t="str">
        <f t="shared" si="2"/>
        <v>mm/dd/yyyy</v>
      </c>
      <c r="E45" s="77">
        <f>IF(Master[[#This Row],[Date Collected or Developed]]="","",Master[[#This Row],[Date Collected or Developed]])</f>
        <v>44124</v>
      </c>
      <c r="F45" s="17" t="str">
        <f>IF(Master[[#This Row],[Quantity On Hand]]="","",Master[[#This Row],[Quantity On Hand]])</f>
        <v/>
      </c>
      <c r="G45" s="17" t="str">
        <f>IF(Master[[#This Row],[Quantity On Hand Units -''count'' or ''packet'']]="count","count",IF(Master[[#This Row],[Quantity On Hand Units -''count'' or ''packet'']]="packet","packet",""))</f>
        <v/>
      </c>
      <c r="H45" s="45" t="str">
        <f>IF(Master[[#This Row],[Inventory Type - Lookup Picker]]="","",Master[[#This Row],[Inventory Type - Lookup Picker]])</f>
        <v>SD</v>
      </c>
      <c r="I45" t="str">
        <f>IF(Master[[#This Row],[Cooperator (Collector) 1 -full record]]="","",Master[[#This Row],[Cooperator (Collector) 1 -full record]])</f>
        <v/>
      </c>
    </row>
    <row r="46" spans="2:9" x14ac:dyDescent="0.25">
      <c r="B46" s="45" t="str">
        <f>Master[[#This Row],[Inventory Prefix]]&amp;" "&amp;Master[[#This Row],[Inventory Number]]&amp;" "&amp;Master[[#This Row],[Inventory Suffix]]&amp;" "&amp;Master[[#This Row],[Inventory Type - Lookup Picker]]</f>
        <v>W6   SD</v>
      </c>
      <c r="C46" t="str">
        <f t="shared" si="3"/>
        <v>Collected</v>
      </c>
      <c r="D46" t="str">
        <f t="shared" si="2"/>
        <v>mm/dd/yyyy</v>
      </c>
      <c r="E46" s="77">
        <f>IF(Master[[#This Row],[Date Collected or Developed]]="","",Master[[#This Row],[Date Collected or Developed]])</f>
        <v>44131</v>
      </c>
      <c r="F46" s="17" t="str">
        <f>IF(Master[[#This Row],[Quantity On Hand]]="","",Master[[#This Row],[Quantity On Hand]])</f>
        <v/>
      </c>
      <c r="G46" s="17" t="str">
        <f>IF(Master[[#This Row],[Quantity On Hand Units -''count'' or ''packet'']]="count","count",IF(Master[[#This Row],[Quantity On Hand Units -''count'' or ''packet'']]="packet","packet",""))</f>
        <v/>
      </c>
      <c r="H46" s="45" t="str">
        <f>IF(Master[[#This Row],[Inventory Type - Lookup Picker]]="","",Master[[#This Row],[Inventory Type - Lookup Picker]])</f>
        <v>SD</v>
      </c>
      <c r="I46" t="str">
        <f>IF(Master[[#This Row],[Cooperator (Collector) 1 -full record]]="","",Master[[#This Row],[Cooperator (Collector) 1 -full record]])</f>
        <v/>
      </c>
    </row>
    <row r="47" spans="2:9" x14ac:dyDescent="0.25">
      <c r="B47" s="45" t="str">
        <f>Master[[#This Row],[Inventory Prefix]]&amp;" "&amp;Master[[#This Row],[Inventory Number]]&amp;" "&amp;Master[[#This Row],[Inventory Suffix]]&amp;" "&amp;Master[[#This Row],[Inventory Type - Lookup Picker]]</f>
        <v>W6   SD</v>
      </c>
      <c r="C47" t="str">
        <f t="shared" si="3"/>
        <v>Collected</v>
      </c>
      <c r="D47" t="str">
        <f t="shared" si="2"/>
        <v>mm/dd/yyyy</v>
      </c>
      <c r="E47" s="77">
        <f>IF(Master[[#This Row],[Date Collected or Developed]]="","",Master[[#This Row],[Date Collected or Developed]])</f>
        <v>44145</v>
      </c>
      <c r="F47" s="17" t="str">
        <f>IF(Master[[#This Row],[Quantity On Hand]]="","",Master[[#This Row],[Quantity On Hand]])</f>
        <v/>
      </c>
      <c r="G47" s="17" t="str">
        <f>IF(Master[[#This Row],[Quantity On Hand Units -''count'' or ''packet'']]="count","count",IF(Master[[#This Row],[Quantity On Hand Units -''count'' or ''packet'']]="packet","packet",""))</f>
        <v/>
      </c>
      <c r="H47" s="45" t="str">
        <f>IF(Master[[#This Row],[Inventory Type - Lookup Picker]]="","",Master[[#This Row],[Inventory Type - Lookup Picker]])</f>
        <v>SD</v>
      </c>
      <c r="I47" t="str">
        <f>IF(Master[[#This Row],[Cooperator (Collector) 1 -full record]]="","",Master[[#This Row],[Cooperator (Collector) 1 -full record]])</f>
        <v/>
      </c>
    </row>
    <row r="48" spans="2:9" x14ac:dyDescent="0.25">
      <c r="B48" s="45" t="str">
        <f>Master[[#This Row],[Inventory Prefix]]&amp;" "&amp;Master[[#This Row],[Inventory Number]]&amp;" "&amp;Master[[#This Row],[Inventory Suffix]]&amp;" "&amp;Master[[#This Row],[Inventory Type - Lookup Picker]]</f>
        <v>W6   SD</v>
      </c>
      <c r="C48" t="str">
        <f t="shared" si="3"/>
        <v>Collected</v>
      </c>
      <c r="D48" t="str">
        <f t="shared" si="2"/>
        <v>mm/dd/yyyy</v>
      </c>
      <c r="E48" s="77">
        <f>IF(Master[[#This Row],[Date Collected or Developed]]="","",Master[[#This Row],[Date Collected or Developed]])</f>
        <v>44145</v>
      </c>
      <c r="F48" s="17" t="str">
        <f>IF(Master[[#This Row],[Quantity On Hand]]="","",Master[[#This Row],[Quantity On Hand]])</f>
        <v/>
      </c>
      <c r="G48" s="17" t="str">
        <f>IF(Master[[#This Row],[Quantity On Hand Units -''count'' or ''packet'']]="count","count",IF(Master[[#This Row],[Quantity On Hand Units -''count'' or ''packet'']]="packet","packet",""))</f>
        <v/>
      </c>
      <c r="H48" s="45" t="str">
        <f>IF(Master[[#This Row],[Inventory Type - Lookup Picker]]="","",Master[[#This Row],[Inventory Type - Lookup Picker]])</f>
        <v>SD</v>
      </c>
      <c r="I48" t="str">
        <f>IF(Master[[#This Row],[Cooperator (Collector) 1 -full record]]="","",Master[[#This Row],[Cooperator (Collector) 1 -full record]])</f>
        <v/>
      </c>
    </row>
    <row r="49" spans="2:9" x14ac:dyDescent="0.25">
      <c r="B49" s="45" t="str">
        <f>Master[[#This Row],[Inventory Prefix]]&amp;" "&amp;Master[[#This Row],[Inventory Number]]&amp;" "&amp;Master[[#This Row],[Inventory Suffix]]&amp;" "&amp;Master[[#This Row],[Inventory Type - Lookup Picker]]</f>
        <v>W6   SD</v>
      </c>
      <c r="C49" t="str">
        <f t="shared" si="3"/>
        <v>Collected</v>
      </c>
      <c r="D49" t="str">
        <f t="shared" si="2"/>
        <v>mm/dd/yyyy</v>
      </c>
      <c r="E49" s="77">
        <f>IF(Master[[#This Row],[Date Collected or Developed]]="","",Master[[#This Row],[Date Collected or Developed]])</f>
        <v>44154</v>
      </c>
      <c r="F49" s="17" t="str">
        <f>IF(Master[[#This Row],[Quantity On Hand]]="","",Master[[#This Row],[Quantity On Hand]])</f>
        <v/>
      </c>
      <c r="G49" s="17" t="str">
        <f>IF(Master[[#This Row],[Quantity On Hand Units -''count'' or ''packet'']]="count","count",IF(Master[[#This Row],[Quantity On Hand Units -''count'' or ''packet'']]="packet","packet",""))</f>
        <v/>
      </c>
      <c r="H49" s="45" t="str">
        <f>IF(Master[[#This Row],[Inventory Type - Lookup Picker]]="","",Master[[#This Row],[Inventory Type - Lookup Picker]])</f>
        <v>SD</v>
      </c>
      <c r="I49" t="str">
        <f>IF(Master[[#This Row],[Cooperator (Collector) 1 -full record]]="","",Master[[#This Row],[Cooperator (Collector) 1 -full record]])</f>
        <v/>
      </c>
    </row>
    <row r="50" spans="2:9" x14ac:dyDescent="0.25">
      <c r="B50" s="45" t="str">
        <f>Master[[#This Row],[Inventory Prefix]]&amp;" "&amp;Master[[#This Row],[Inventory Number]]&amp;" "&amp;Master[[#This Row],[Inventory Suffix]]&amp;" "&amp;Master[[#This Row],[Inventory Type - Lookup Picker]]</f>
        <v>W6   SD</v>
      </c>
      <c r="C50" t="str">
        <f t="shared" si="3"/>
        <v>Collected</v>
      </c>
      <c r="D50" t="str">
        <f t="shared" si="2"/>
        <v>mm/dd/yyyy</v>
      </c>
      <c r="E50" s="77">
        <f>IF(Master[[#This Row],[Date Collected or Developed]]="","",Master[[#This Row],[Date Collected or Developed]])</f>
        <v>44158</v>
      </c>
      <c r="F50" s="17" t="str">
        <f>IF(Master[[#This Row],[Quantity On Hand]]="","",Master[[#This Row],[Quantity On Hand]])</f>
        <v/>
      </c>
      <c r="G50" s="17" t="str">
        <f>IF(Master[[#This Row],[Quantity On Hand Units -''count'' or ''packet'']]="count","count",IF(Master[[#This Row],[Quantity On Hand Units -''count'' or ''packet'']]="packet","packet",""))</f>
        <v/>
      </c>
      <c r="H50" s="45" t="str">
        <f>IF(Master[[#This Row],[Inventory Type - Lookup Picker]]="","",Master[[#This Row],[Inventory Type - Lookup Picker]])</f>
        <v>SD</v>
      </c>
      <c r="I50" t="str">
        <f>IF(Master[[#This Row],[Cooperator (Collector) 1 -full record]]="","",Master[[#This Row],[Cooperator (Collector) 1 -full record]])</f>
        <v/>
      </c>
    </row>
    <row r="51" spans="2:9" x14ac:dyDescent="0.25">
      <c r="B51" s="45" t="str">
        <f>Master[[#This Row],[Inventory Prefix]]&amp;" "&amp;Master[[#This Row],[Inventory Number]]&amp;" "&amp;Master[[#This Row],[Inventory Suffix]]&amp;" "&amp;Master[[#This Row],[Inventory Type - Lookup Picker]]</f>
        <v>W6   SD</v>
      </c>
      <c r="C51" t="str">
        <f t="shared" si="3"/>
        <v>Collected</v>
      </c>
      <c r="D51" t="str">
        <f t="shared" si="2"/>
        <v>mm/dd/yyyy</v>
      </c>
      <c r="E51" s="77">
        <f>IF(Master[[#This Row],[Date Collected or Developed]]="","",Master[[#This Row],[Date Collected or Developed]])</f>
        <v>44168</v>
      </c>
      <c r="F51" s="17" t="str">
        <f>IF(Master[[#This Row],[Quantity On Hand]]="","",Master[[#This Row],[Quantity On Hand]])</f>
        <v/>
      </c>
      <c r="G51" s="17" t="str">
        <f>IF(Master[[#This Row],[Quantity On Hand Units -''count'' or ''packet'']]="count","count",IF(Master[[#This Row],[Quantity On Hand Units -''count'' or ''packet'']]="packet","packet",""))</f>
        <v/>
      </c>
      <c r="H51" s="45" t="str">
        <f>IF(Master[[#This Row],[Inventory Type - Lookup Picker]]="","",Master[[#This Row],[Inventory Type - Lookup Picker]])</f>
        <v>SD</v>
      </c>
      <c r="I51" t="str">
        <f>IF(Master[[#This Row],[Cooperator (Collector) 1 -full record]]="","",Master[[#This Row],[Cooperator (Collector) 1 -full record]])</f>
        <v/>
      </c>
    </row>
    <row r="52" spans="2:9" x14ac:dyDescent="0.25">
      <c r="B52" s="45" t="str">
        <f>Master[[#This Row],[Inventory Prefix]]&amp;" "&amp;Master[[#This Row],[Inventory Number]]&amp;" "&amp;Master[[#This Row],[Inventory Suffix]]&amp;" "&amp;Master[[#This Row],[Inventory Type - Lookup Picker]]</f>
        <v>W6   SD</v>
      </c>
      <c r="C52" t="str">
        <f t="shared" si="3"/>
        <v>Collected</v>
      </c>
      <c r="D52" t="str">
        <f t="shared" si="2"/>
        <v>mm/dd/yyyy</v>
      </c>
      <c r="E52" s="77">
        <f>IF(Master[[#This Row],[Date Collected or Developed]]="","",Master[[#This Row],[Date Collected or Developed]])</f>
        <v>44168</v>
      </c>
      <c r="F52" s="17" t="str">
        <f>IF(Master[[#This Row],[Quantity On Hand]]="","",Master[[#This Row],[Quantity On Hand]])</f>
        <v/>
      </c>
      <c r="G52" s="17" t="str">
        <f>IF(Master[[#This Row],[Quantity On Hand Units -''count'' or ''packet'']]="count","count",IF(Master[[#This Row],[Quantity On Hand Units -''count'' or ''packet'']]="packet","packet",""))</f>
        <v/>
      </c>
      <c r="H52" s="45" t="str">
        <f>IF(Master[[#This Row],[Inventory Type - Lookup Picker]]="","",Master[[#This Row],[Inventory Type - Lookup Picker]])</f>
        <v>SD</v>
      </c>
      <c r="I52" t="str">
        <f>IF(Master[[#This Row],[Cooperator (Collector) 1 -full record]]="","",Master[[#This Row],[Cooperator (Collector) 1 -full record]])</f>
        <v/>
      </c>
    </row>
    <row r="53" spans="2:9" x14ac:dyDescent="0.25">
      <c r="B53" s="45" t="str">
        <f>Master[[#This Row],[Inventory Prefix]]&amp;" "&amp;Master[[#This Row],[Inventory Number]]&amp;" "&amp;Master[[#This Row],[Inventory Suffix]]&amp;" "&amp;Master[[#This Row],[Inventory Type - Lookup Picker]]</f>
        <v>W6   SD</v>
      </c>
      <c r="C53" t="str">
        <f t="shared" si="3"/>
        <v>Collected</v>
      </c>
      <c r="D53" t="str">
        <f t="shared" si="2"/>
        <v>mm/dd/yyyy</v>
      </c>
      <c r="E53" s="77">
        <f>IF(Master[[#This Row],[Date Collected or Developed]]="","",Master[[#This Row],[Date Collected or Developed]])</f>
        <v>44168</v>
      </c>
      <c r="F53" s="17" t="str">
        <f>IF(Master[[#This Row],[Quantity On Hand]]="","",Master[[#This Row],[Quantity On Hand]])</f>
        <v/>
      </c>
      <c r="G53" s="17" t="str">
        <f>IF(Master[[#This Row],[Quantity On Hand Units -''count'' or ''packet'']]="count","count",IF(Master[[#This Row],[Quantity On Hand Units -''count'' or ''packet'']]="packet","packet",""))</f>
        <v/>
      </c>
      <c r="H53" s="45" t="str">
        <f>IF(Master[[#This Row],[Inventory Type - Lookup Picker]]="","",Master[[#This Row],[Inventory Type - Lookup Picker]])</f>
        <v>SD</v>
      </c>
      <c r="I53" t="str">
        <f>IF(Master[[#This Row],[Cooperator (Collector) 1 -full record]]="","",Master[[#This Row],[Cooperator (Collector) 1 -full record]])</f>
        <v/>
      </c>
    </row>
    <row r="54" spans="2:9" x14ac:dyDescent="0.25">
      <c r="B54" s="45" t="str">
        <f>Master[[#This Row],[Inventory Prefix]]&amp;" "&amp;Master[[#This Row],[Inventory Number]]&amp;" "&amp;Master[[#This Row],[Inventory Suffix]]&amp;" "&amp;Master[[#This Row],[Inventory Type - Lookup Picker]]</f>
        <v>W6   SD</v>
      </c>
      <c r="C54" t="str">
        <f t="shared" si="3"/>
        <v>Collected</v>
      </c>
      <c r="D54" t="str">
        <f t="shared" ref="D54:D85" si="4">"mm/dd/yyyy"</f>
        <v>mm/dd/yyyy</v>
      </c>
      <c r="E54" s="77">
        <f>IF(Master[[#This Row],[Date Collected or Developed]]="","",Master[[#This Row],[Date Collected or Developed]])</f>
        <v>44180</v>
      </c>
      <c r="F54" s="17" t="str">
        <f>IF(Master[[#This Row],[Quantity On Hand]]="","",Master[[#This Row],[Quantity On Hand]])</f>
        <v/>
      </c>
      <c r="G54" s="17" t="str">
        <f>IF(Master[[#This Row],[Quantity On Hand Units -''count'' or ''packet'']]="count","count",IF(Master[[#This Row],[Quantity On Hand Units -''count'' or ''packet'']]="packet","packet",""))</f>
        <v/>
      </c>
      <c r="H54" s="45" t="str">
        <f>IF(Master[[#This Row],[Inventory Type - Lookup Picker]]="","",Master[[#This Row],[Inventory Type - Lookup Picker]])</f>
        <v>SD</v>
      </c>
      <c r="I54" t="str">
        <f>IF(Master[[#This Row],[Cooperator (Collector) 1 -full record]]="","",Master[[#This Row],[Cooperator (Collector) 1 -full record]])</f>
        <v/>
      </c>
    </row>
    <row r="55" spans="2:9" x14ac:dyDescent="0.25">
      <c r="B55" s="45" t="str">
        <f>Master[[#This Row],[Inventory Prefix]]&amp;" "&amp;Master[[#This Row],[Inventory Number]]&amp;" "&amp;Master[[#This Row],[Inventory Suffix]]&amp;" "&amp;Master[[#This Row],[Inventory Type - Lookup Picker]]</f>
        <v>W6   SD</v>
      </c>
      <c r="C55" t="str">
        <f t="shared" si="3"/>
        <v>Collected</v>
      </c>
      <c r="D55" t="str">
        <f t="shared" si="4"/>
        <v>mm/dd/yyyy</v>
      </c>
      <c r="E55" s="77">
        <f>IF(Master[[#This Row],[Date Collected or Developed]]="","",Master[[#This Row],[Date Collected or Developed]])</f>
        <v>44060</v>
      </c>
      <c r="F55" s="17" t="str">
        <f>IF(Master[[#This Row],[Quantity On Hand]]="","",Master[[#This Row],[Quantity On Hand]])</f>
        <v/>
      </c>
      <c r="G55" s="17" t="str">
        <f>IF(Master[[#This Row],[Quantity On Hand Units -''count'' or ''packet'']]="count","count",IF(Master[[#This Row],[Quantity On Hand Units -''count'' or ''packet'']]="packet","packet",""))</f>
        <v/>
      </c>
      <c r="H55" s="45" t="str">
        <f>IF(Master[[#This Row],[Inventory Type - Lookup Picker]]="","",Master[[#This Row],[Inventory Type - Lookup Picker]])</f>
        <v>SD</v>
      </c>
      <c r="I55" t="str">
        <f>IF(Master[[#This Row],[Cooperator (Collector) 1 -full record]]="","",Master[[#This Row],[Cooperator (Collector) 1 -full record]])</f>
        <v/>
      </c>
    </row>
    <row r="56" spans="2:9" x14ac:dyDescent="0.25">
      <c r="B56" s="45" t="str">
        <f>Master[[#This Row],[Inventory Prefix]]&amp;" "&amp;Master[[#This Row],[Inventory Number]]&amp;" "&amp;Master[[#This Row],[Inventory Suffix]]&amp;" "&amp;Master[[#This Row],[Inventory Type - Lookup Picker]]</f>
        <v>W6   SD</v>
      </c>
      <c r="C56" t="str">
        <f t="shared" si="3"/>
        <v>Collected</v>
      </c>
      <c r="D56" t="str">
        <f t="shared" si="4"/>
        <v>mm/dd/yyyy</v>
      </c>
      <c r="E56" s="77">
        <f>IF(Master[[#This Row],[Date Collected or Developed]]="","",Master[[#This Row],[Date Collected or Developed]])</f>
        <v>44068</v>
      </c>
      <c r="F56" s="17" t="str">
        <f>IF(Master[[#This Row],[Quantity On Hand]]="","",Master[[#This Row],[Quantity On Hand]])</f>
        <v/>
      </c>
      <c r="G56" s="17" t="str">
        <f>IF(Master[[#This Row],[Quantity On Hand Units -''count'' or ''packet'']]="count","count",IF(Master[[#This Row],[Quantity On Hand Units -''count'' or ''packet'']]="packet","packet",""))</f>
        <v/>
      </c>
      <c r="H56" s="45" t="str">
        <f>IF(Master[[#This Row],[Inventory Type - Lookup Picker]]="","",Master[[#This Row],[Inventory Type - Lookup Picker]])</f>
        <v>SD</v>
      </c>
      <c r="I56" t="str">
        <f>IF(Master[[#This Row],[Cooperator (Collector) 1 -full record]]="","",Master[[#This Row],[Cooperator (Collector) 1 -full record]])</f>
        <v/>
      </c>
    </row>
    <row r="57" spans="2:9" x14ac:dyDescent="0.25">
      <c r="B57" s="45" t="str">
        <f>Master[[#This Row],[Inventory Prefix]]&amp;" "&amp;Master[[#This Row],[Inventory Number]]&amp;" "&amp;Master[[#This Row],[Inventory Suffix]]&amp;" "&amp;Master[[#This Row],[Inventory Type - Lookup Picker]]</f>
        <v>W6   SD</v>
      </c>
      <c r="C57" t="str">
        <f t="shared" si="3"/>
        <v>Collected</v>
      </c>
      <c r="D57" t="str">
        <f t="shared" si="4"/>
        <v>mm/dd/yyyy</v>
      </c>
      <c r="E57" s="77">
        <f>IF(Master[[#This Row],[Date Collected or Developed]]="","",Master[[#This Row],[Date Collected or Developed]])</f>
        <v>43977</v>
      </c>
      <c r="F57" s="17" t="str">
        <f>IF(Master[[#This Row],[Quantity On Hand]]="","",Master[[#This Row],[Quantity On Hand]])</f>
        <v/>
      </c>
      <c r="G57" s="17" t="str">
        <f>IF(Master[[#This Row],[Quantity On Hand Units -''count'' or ''packet'']]="count","count",IF(Master[[#This Row],[Quantity On Hand Units -''count'' or ''packet'']]="packet","packet",""))</f>
        <v/>
      </c>
      <c r="H57" s="45" t="str">
        <f>IF(Master[[#This Row],[Inventory Type - Lookup Picker]]="","",Master[[#This Row],[Inventory Type - Lookup Picker]])</f>
        <v>SD</v>
      </c>
      <c r="I57" t="str">
        <f>IF(Master[[#This Row],[Cooperator (Collector) 1 -full record]]="","",Master[[#This Row],[Cooperator (Collector) 1 -full record]])</f>
        <v/>
      </c>
    </row>
    <row r="58" spans="2:9" x14ac:dyDescent="0.25">
      <c r="B58" s="45" t="str">
        <f>Master[[#This Row],[Inventory Prefix]]&amp;" "&amp;Master[[#This Row],[Inventory Number]]&amp;" "&amp;Master[[#This Row],[Inventory Suffix]]&amp;" "&amp;Master[[#This Row],[Inventory Type - Lookup Picker]]</f>
        <v>W6   SD</v>
      </c>
      <c r="C58" t="str">
        <f t="shared" si="3"/>
        <v>Collected</v>
      </c>
      <c r="D58" t="str">
        <f t="shared" si="4"/>
        <v>mm/dd/yyyy</v>
      </c>
      <c r="E58" s="77">
        <f>IF(Master[[#This Row],[Date Collected or Developed]]="","",Master[[#This Row],[Date Collected or Developed]])</f>
        <v>43978</v>
      </c>
      <c r="F58" s="17" t="str">
        <f>IF(Master[[#This Row],[Quantity On Hand]]="","",Master[[#This Row],[Quantity On Hand]])</f>
        <v/>
      </c>
      <c r="G58" s="17" t="str">
        <f>IF(Master[[#This Row],[Quantity On Hand Units -''count'' or ''packet'']]="count","count",IF(Master[[#This Row],[Quantity On Hand Units -''count'' or ''packet'']]="packet","packet",""))</f>
        <v/>
      </c>
      <c r="H58" s="45" t="str">
        <f>IF(Master[[#This Row],[Inventory Type - Lookup Picker]]="","",Master[[#This Row],[Inventory Type - Lookup Picker]])</f>
        <v>SD</v>
      </c>
      <c r="I58" t="str">
        <f>IF(Master[[#This Row],[Cooperator (Collector) 1 -full record]]="","",Master[[#This Row],[Cooperator (Collector) 1 -full record]])</f>
        <v/>
      </c>
    </row>
    <row r="59" spans="2:9" x14ac:dyDescent="0.25">
      <c r="B59" s="45" t="str">
        <f>Master[[#This Row],[Inventory Prefix]]&amp;" "&amp;Master[[#This Row],[Inventory Number]]&amp;" "&amp;Master[[#This Row],[Inventory Suffix]]&amp;" "&amp;Master[[#This Row],[Inventory Type - Lookup Picker]]</f>
        <v>W6   SD</v>
      </c>
      <c r="C59" t="str">
        <f t="shared" si="3"/>
        <v>Collected</v>
      </c>
      <c r="D59" t="str">
        <f t="shared" si="4"/>
        <v>mm/dd/yyyy</v>
      </c>
      <c r="E59" s="77">
        <f>IF(Master[[#This Row],[Date Collected or Developed]]="","",Master[[#This Row],[Date Collected or Developed]])</f>
        <v>43991</v>
      </c>
      <c r="F59" s="17" t="str">
        <f>IF(Master[[#This Row],[Quantity On Hand]]="","",Master[[#This Row],[Quantity On Hand]])</f>
        <v/>
      </c>
      <c r="G59" s="17" t="str">
        <f>IF(Master[[#This Row],[Quantity On Hand Units -''count'' or ''packet'']]="count","count",IF(Master[[#This Row],[Quantity On Hand Units -''count'' or ''packet'']]="packet","packet",""))</f>
        <v/>
      </c>
      <c r="H59" s="45" t="str">
        <f>IF(Master[[#This Row],[Inventory Type - Lookup Picker]]="","",Master[[#This Row],[Inventory Type - Lookup Picker]])</f>
        <v>SD</v>
      </c>
      <c r="I59" t="str">
        <f>IF(Master[[#This Row],[Cooperator (Collector) 1 -full record]]="","",Master[[#This Row],[Cooperator (Collector) 1 -full record]])</f>
        <v/>
      </c>
    </row>
    <row r="60" spans="2:9" x14ac:dyDescent="0.25">
      <c r="B60" s="45" t="str">
        <f>Master[[#This Row],[Inventory Prefix]]&amp;" "&amp;Master[[#This Row],[Inventory Number]]&amp;" "&amp;Master[[#This Row],[Inventory Suffix]]&amp;" "&amp;Master[[#This Row],[Inventory Type - Lookup Picker]]</f>
        <v>W6   SD</v>
      </c>
      <c r="C60" t="str">
        <f t="shared" si="3"/>
        <v>Collected</v>
      </c>
      <c r="D60" t="str">
        <f t="shared" si="4"/>
        <v>mm/dd/yyyy</v>
      </c>
      <c r="E60" s="77">
        <f>IF(Master[[#This Row],[Date Collected or Developed]]="","",Master[[#This Row],[Date Collected or Developed]])</f>
        <v>44006</v>
      </c>
      <c r="F60" s="17" t="str">
        <f>IF(Master[[#This Row],[Quantity On Hand]]="","",Master[[#This Row],[Quantity On Hand]])</f>
        <v/>
      </c>
      <c r="G60" s="17" t="str">
        <f>IF(Master[[#This Row],[Quantity On Hand Units -''count'' or ''packet'']]="count","count",IF(Master[[#This Row],[Quantity On Hand Units -''count'' or ''packet'']]="packet","packet",""))</f>
        <v/>
      </c>
      <c r="H60" s="45" t="str">
        <f>IF(Master[[#This Row],[Inventory Type - Lookup Picker]]="","",Master[[#This Row],[Inventory Type - Lookup Picker]])</f>
        <v>SD</v>
      </c>
      <c r="I60" t="str">
        <f>IF(Master[[#This Row],[Cooperator (Collector) 1 -full record]]="","",Master[[#This Row],[Cooperator (Collector) 1 -full record]])</f>
        <v/>
      </c>
    </row>
    <row r="61" spans="2:9" x14ac:dyDescent="0.25">
      <c r="B61" s="45" t="str">
        <f>Master[[#This Row],[Inventory Prefix]]&amp;" "&amp;Master[[#This Row],[Inventory Number]]&amp;" "&amp;Master[[#This Row],[Inventory Suffix]]&amp;" "&amp;Master[[#This Row],[Inventory Type - Lookup Picker]]</f>
        <v>W6   SD</v>
      </c>
      <c r="C61" t="str">
        <f t="shared" si="3"/>
        <v>Collected</v>
      </c>
      <c r="D61" t="str">
        <f t="shared" si="4"/>
        <v>mm/dd/yyyy</v>
      </c>
      <c r="E61" s="77">
        <f>IF(Master[[#This Row],[Date Collected or Developed]]="","",Master[[#This Row],[Date Collected or Developed]])</f>
        <v>44019</v>
      </c>
      <c r="F61" s="17" t="str">
        <f>IF(Master[[#This Row],[Quantity On Hand]]="","",Master[[#This Row],[Quantity On Hand]])</f>
        <v/>
      </c>
      <c r="G61" s="17" t="str">
        <f>IF(Master[[#This Row],[Quantity On Hand Units -''count'' or ''packet'']]="count","count",IF(Master[[#This Row],[Quantity On Hand Units -''count'' or ''packet'']]="packet","packet",""))</f>
        <v/>
      </c>
      <c r="H61" s="45" t="str">
        <f>IF(Master[[#This Row],[Inventory Type - Lookup Picker]]="","",Master[[#This Row],[Inventory Type - Lookup Picker]])</f>
        <v>SD</v>
      </c>
      <c r="I61" t="str">
        <f>IF(Master[[#This Row],[Cooperator (Collector) 1 -full record]]="","",Master[[#This Row],[Cooperator (Collector) 1 -full record]])</f>
        <v/>
      </c>
    </row>
    <row r="62" spans="2:9" x14ac:dyDescent="0.25">
      <c r="B62" s="45" t="str">
        <f>Master[[#This Row],[Inventory Prefix]]&amp;" "&amp;Master[[#This Row],[Inventory Number]]&amp;" "&amp;Master[[#This Row],[Inventory Suffix]]&amp;" "&amp;Master[[#This Row],[Inventory Type - Lookup Picker]]</f>
        <v>W6   SD</v>
      </c>
      <c r="C62" t="str">
        <f t="shared" si="3"/>
        <v>Collected</v>
      </c>
      <c r="D62" t="str">
        <f t="shared" si="4"/>
        <v>mm/dd/yyyy</v>
      </c>
      <c r="E62" s="77">
        <f>IF(Master[[#This Row],[Date Collected or Developed]]="","",Master[[#This Row],[Date Collected or Developed]])</f>
        <v>44021</v>
      </c>
      <c r="F62" s="17" t="str">
        <f>IF(Master[[#This Row],[Quantity On Hand]]="","",Master[[#This Row],[Quantity On Hand]])</f>
        <v/>
      </c>
      <c r="G62" s="17" t="str">
        <f>IF(Master[[#This Row],[Quantity On Hand Units -''count'' or ''packet'']]="count","count",IF(Master[[#This Row],[Quantity On Hand Units -''count'' or ''packet'']]="packet","packet",""))</f>
        <v/>
      </c>
      <c r="H62" s="45" t="str">
        <f>IF(Master[[#This Row],[Inventory Type - Lookup Picker]]="","",Master[[#This Row],[Inventory Type - Lookup Picker]])</f>
        <v>SD</v>
      </c>
      <c r="I62" t="str">
        <f>IF(Master[[#This Row],[Cooperator (Collector) 1 -full record]]="","",Master[[#This Row],[Cooperator (Collector) 1 -full record]])</f>
        <v/>
      </c>
    </row>
    <row r="63" spans="2:9" x14ac:dyDescent="0.25">
      <c r="B63" s="45" t="str">
        <f>Master[[#This Row],[Inventory Prefix]]&amp;" "&amp;Master[[#This Row],[Inventory Number]]&amp;" "&amp;Master[[#This Row],[Inventory Suffix]]&amp;" "&amp;Master[[#This Row],[Inventory Type - Lookup Picker]]</f>
        <v>W6   SD</v>
      </c>
      <c r="C63" t="str">
        <f t="shared" si="3"/>
        <v>Collected</v>
      </c>
      <c r="D63" t="str">
        <f t="shared" si="4"/>
        <v>mm/dd/yyyy</v>
      </c>
      <c r="E63" s="77">
        <f>IF(Master[[#This Row],[Date Collected or Developed]]="","",Master[[#This Row],[Date Collected or Developed]])</f>
        <v>44025</v>
      </c>
      <c r="F63" s="17" t="str">
        <f>IF(Master[[#This Row],[Quantity On Hand]]="","",Master[[#This Row],[Quantity On Hand]])</f>
        <v/>
      </c>
      <c r="G63" s="17" t="str">
        <f>IF(Master[[#This Row],[Quantity On Hand Units -''count'' or ''packet'']]="count","count",IF(Master[[#This Row],[Quantity On Hand Units -''count'' or ''packet'']]="packet","packet",""))</f>
        <v/>
      </c>
      <c r="H63" s="45" t="str">
        <f>IF(Master[[#This Row],[Inventory Type - Lookup Picker]]="","",Master[[#This Row],[Inventory Type - Lookup Picker]])</f>
        <v>SD</v>
      </c>
      <c r="I63" t="str">
        <f>IF(Master[[#This Row],[Cooperator (Collector) 1 -full record]]="","",Master[[#This Row],[Cooperator (Collector) 1 -full record]])</f>
        <v/>
      </c>
    </row>
    <row r="64" spans="2:9" x14ac:dyDescent="0.25">
      <c r="B64" s="45" t="str">
        <f>Master[[#This Row],[Inventory Prefix]]&amp;" "&amp;Master[[#This Row],[Inventory Number]]&amp;" "&amp;Master[[#This Row],[Inventory Suffix]]&amp;" "&amp;Master[[#This Row],[Inventory Type - Lookup Picker]]</f>
        <v>W6   SD</v>
      </c>
      <c r="C64" t="str">
        <f t="shared" si="3"/>
        <v>Collected</v>
      </c>
      <c r="D64" t="str">
        <f t="shared" si="4"/>
        <v>mm/dd/yyyy</v>
      </c>
      <c r="E64" s="77">
        <f>IF(Master[[#This Row],[Date Collected or Developed]]="","",Master[[#This Row],[Date Collected or Developed]])</f>
        <v>44053</v>
      </c>
      <c r="F64" s="17" t="str">
        <f>IF(Master[[#This Row],[Quantity On Hand]]="","",Master[[#This Row],[Quantity On Hand]])</f>
        <v/>
      </c>
      <c r="G64" s="17" t="str">
        <f>IF(Master[[#This Row],[Quantity On Hand Units -''count'' or ''packet'']]="count","count",IF(Master[[#This Row],[Quantity On Hand Units -''count'' or ''packet'']]="packet","packet",""))</f>
        <v/>
      </c>
      <c r="H64" s="45" t="str">
        <f>IF(Master[[#This Row],[Inventory Type - Lookup Picker]]="","",Master[[#This Row],[Inventory Type - Lookup Picker]])</f>
        <v>SD</v>
      </c>
      <c r="I64" t="str">
        <f>IF(Master[[#This Row],[Cooperator (Collector) 1 -full record]]="","",Master[[#This Row],[Cooperator (Collector) 1 -full record]])</f>
        <v/>
      </c>
    </row>
    <row r="65" spans="2:9" x14ac:dyDescent="0.25">
      <c r="B65" s="45" t="str">
        <f>Master[[#This Row],[Inventory Prefix]]&amp;" "&amp;Master[[#This Row],[Inventory Number]]&amp;" "&amp;Master[[#This Row],[Inventory Suffix]]&amp;" "&amp;Master[[#This Row],[Inventory Type - Lookup Picker]]</f>
        <v>W6   SD</v>
      </c>
      <c r="C65" t="str">
        <f t="shared" si="3"/>
        <v>Collected</v>
      </c>
      <c r="D65" t="str">
        <f t="shared" si="4"/>
        <v>mm/dd/yyyy</v>
      </c>
      <c r="E65" s="77">
        <f>IF(Master[[#This Row],[Date Collected or Developed]]="","",Master[[#This Row],[Date Collected or Developed]])</f>
        <v>44054</v>
      </c>
      <c r="F65" s="17" t="str">
        <f>IF(Master[[#This Row],[Quantity On Hand]]="","",Master[[#This Row],[Quantity On Hand]])</f>
        <v/>
      </c>
      <c r="G65" s="17" t="str">
        <f>IF(Master[[#This Row],[Quantity On Hand Units -''count'' or ''packet'']]="count","count",IF(Master[[#This Row],[Quantity On Hand Units -''count'' or ''packet'']]="packet","packet",""))</f>
        <v/>
      </c>
      <c r="H65" s="45" t="str">
        <f>IF(Master[[#This Row],[Inventory Type - Lookup Picker]]="","",Master[[#This Row],[Inventory Type - Lookup Picker]])</f>
        <v>SD</v>
      </c>
      <c r="I65" t="str">
        <f>IF(Master[[#This Row],[Cooperator (Collector) 1 -full record]]="","",Master[[#This Row],[Cooperator (Collector) 1 -full record]])</f>
        <v/>
      </c>
    </row>
    <row r="66" spans="2:9" x14ac:dyDescent="0.25">
      <c r="B66" s="45" t="str">
        <f>Master[[#This Row],[Inventory Prefix]]&amp;" "&amp;Master[[#This Row],[Inventory Number]]&amp;" "&amp;Master[[#This Row],[Inventory Suffix]]&amp;" "&amp;Master[[#This Row],[Inventory Type - Lookup Picker]]</f>
        <v>W6   SD</v>
      </c>
      <c r="C66" t="str">
        <f t="shared" ref="C66:C97" si="5">"Collected"</f>
        <v>Collected</v>
      </c>
      <c r="D66" t="str">
        <f t="shared" si="4"/>
        <v>mm/dd/yyyy</v>
      </c>
      <c r="E66" s="77">
        <f>IF(Master[[#This Row],[Date Collected or Developed]]="","",Master[[#This Row],[Date Collected or Developed]])</f>
        <v>44054</v>
      </c>
      <c r="F66" s="17" t="str">
        <f>IF(Master[[#This Row],[Quantity On Hand]]="","",Master[[#This Row],[Quantity On Hand]])</f>
        <v/>
      </c>
      <c r="G66" s="17" t="str">
        <f>IF(Master[[#This Row],[Quantity On Hand Units -''count'' or ''packet'']]="count","count",IF(Master[[#This Row],[Quantity On Hand Units -''count'' or ''packet'']]="packet","packet",""))</f>
        <v/>
      </c>
      <c r="H66" s="45" t="str">
        <f>IF(Master[[#This Row],[Inventory Type - Lookup Picker]]="","",Master[[#This Row],[Inventory Type - Lookup Picker]])</f>
        <v>SD</v>
      </c>
      <c r="I66" t="str">
        <f>IF(Master[[#This Row],[Cooperator (Collector) 1 -full record]]="","",Master[[#This Row],[Cooperator (Collector) 1 -full record]])</f>
        <v/>
      </c>
    </row>
    <row r="67" spans="2:9" x14ac:dyDescent="0.25">
      <c r="B67" s="45" t="str">
        <f>Master[[#This Row],[Inventory Prefix]]&amp;" "&amp;Master[[#This Row],[Inventory Number]]&amp;" "&amp;Master[[#This Row],[Inventory Suffix]]&amp;" "&amp;Master[[#This Row],[Inventory Type - Lookup Picker]]</f>
        <v>W6   SD</v>
      </c>
      <c r="C67" t="str">
        <f t="shared" si="5"/>
        <v>Collected</v>
      </c>
      <c r="D67" t="str">
        <f t="shared" si="4"/>
        <v>mm/dd/yyyy</v>
      </c>
      <c r="E67" s="77">
        <f>IF(Master[[#This Row],[Date Collected or Developed]]="","",Master[[#This Row],[Date Collected or Developed]])</f>
        <v>44055</v>
      </c>
      <c r="F67" s="17" t="str">
        <f>IF(Master[[#This Row],[Quantity On Hand]]="","",Master[[#This Row],[Quantity On Hand]])</f>
        <v/>
      </c>
      <c r="G67" s="17" t="str">
        <f>IF(Master[[#This Row],[Quantity On Hand Units -''count'' or ''packet'']]="count","count",IF(Master[[#This Row],[Quantity On Hand Units -''count'' or ''packet'']]="packet","packet",""))</f>
        <v/>
      </c>
      <c r="H67" s="45" t="str">
        <f>IF(Master[[#This Row],[Inventory Type - Lookup Picker]]="","",Master[[#This Row],[Inventory Type - Lookup Picker]])</f>
        <v>SD</v>
      </c>
      <c r="I67" t="str">
        <f>IF(Master[[#This Row],[Cooperator (Collector) 1 -full record]]="","",Master[[#This Row],[Cooperator (Collector) 1 -full record]])</f>
        <v/>
      </c>
    </row>
    <row r="68" spans="2:9" x14ac:dyDescent="0.25">
      <c r="B68" s="45" t="str">
        <f>Master[[#This Row],[Inventory Prefix]]&amp;" "&amp;Master[[#This Row],[Inventory Number]]&amp;" "&amp;Master[[#This Row],[Inventory Suffix]]&amp;" "&amp;Master[[#This Row],[Inventory Type - Lookup Picker]]</f>
        <v>W6   SD</v>
      </c>
      <c r="C68" t="str">
        <f t="shared" si="5"/>
        <v>Collected</v>
      </c>
      <c r="D68" t="str">
        <f t="shared" si="4"/>
        <v>mm/dd/yyyy</v>
      </c>
      <c r="E68" s="77">
        <f>IF(Master[[#This Row],[Date Collected or Developed]]="","",Master[[#This Row],[Date Collected or Developed]])</f>
        <v>44055</v>
      </c>
      <c r="F68" s="17" t="str">
        <f>IF(Master[[#This Row],[Quantity On Hand]]="","",Master[[#This Row],[Quantity On Hand]])</f>
        <v/>
      </c>
      <c r="G68" s="17" t="str">
        <f>IF(Master[[#This Row],[Quantity On Hand Units -''count'' or ''packet'']]="count","count",IF(Master[[#This Row],[Quantity On Hand Units -''count'' or ''packet'']]="packet","packet",""))</f>
        <v/>
      </c>
      <c r="H68" s="45" t="str">
        <f>IF(Master[[#This Row],[Inventory Type - Lookup Picker]]="","",Master[[#This Row],[Inventory Type - Lookup Picker]])</f>
        <v>SD</v>
      </c>
      <c r="I68" t="str">
        <f>IF(Master[[#This Row],[Cooperator (Collector) 1 -full record]]="","",Master[[#This Row],[Cooperator (Collector) 1 -full record]])</f>
        <v/>
      </c>
    </row>
    <row r="69" spans="2:9" x14ac:dyDescent="0.25">
      <c r="B69" s="45" t="str">
        <f>Master[[#This Row],[Inventory Prefix]]&amp;" "&amp;Master[[#This Row],[Inventory Number]]&amp;" "&amp;Master[[#This Row],[Inventory Suffix]]&amp;" "&amp;Master[[#This Row],[Inventory Type - Lookup Picker]]</f>
        <v>W6   SD</v>
      </c>
      <c r="C69" t="str">
        <f t="shared" si="5"/>
        <v>Collected</v>
      </c>
      <c r="D69" t="str">
        <f t="shared" si="4"/>
        <v>mm/dd/yyyy</v>
      </c>
      <c r="E69" s="77">
        <f>IF(Master[[#This Row],[Date Collected or Developed]]="","",Master[[#This Row],[Date Collected or Developed]])</f>
        <v>43993</v>
      </c>
      <c r="F69" s="17" t="str">
        <f>IF(Master[[#This Row],[Quantity On Hand]]="","",Master[[#This Row],[Quantity On Hand]])</f>
        <v/>
      </c>
      <c r="G69" s="17" t="str">
        <f>IF(Master[[#This Row],[Quantity On Hand Units -''count'' or ''packet'']]="count","count",IF(Master[[#This Row],[Quantity On Hand Units -''count'' or ''packet'']]="packet","packet",""))</f>
        <v/>
      </c>
      <c r="H69" s="45" t="str">
        <f>IF(Master[[#This Row],[Inventory Type - Lookup Picker]]="","",Master[[#This Row],[Inventory Type - Lookup Picker]])</f>
        <v>SD</v>
      </c>
      <c r="I69" t="str">
        <f>IF(Master[[#This Row],[Cooperator (Collector) 1 -full record]]="","",Master[[#This Row],[Cooperator (Collector) 1 -full record]])</f>
        <v/>
      </c>
    </row>
    <row r="70" spans="2:9" x14ac:dyDescent="0.25">
      <c r="B70" s="45" t="str">
        <f>Master[[#This Row],[Inventory Prefix]]&amp;" "&amp;Master[[#This Row],[Inventory Number]]&amp;" "&amp;Master[[#This Row],[Inventory Suffix]]&amp;" "&amp;Master[[#This Row],[Inventory Type - Lookup Picker]]</f>
        <v>W6   SD</v>
      </c>
      <c r="C70" t="str">
        <f t="shared" si="5"/>
        <v>Collected</v>
      </c>
      <c r="D70" t="str">
        <f t="shared" si="4"/>
        <v>mm/dd/yyyy</v>
      </c>
      <c r="E70" s="77">
        <f>IF(Master[[#This Row],[Date Collected or Developed]]="","",Master[[#This Row],[Date Collected or Developed]])</f>
        <v>43997</v>
      </c>
      <c r="F70" s="17" t="str">
        <f>IF(Master[[#This Row],[Quantity On Hand]]="","",Master[[#This Row],[Quantity On Hand]])</f>
        <v/>
      </c>
      <c r="G70" s="17" t="str">
        <f>IF(Master[[#This Row],[Quantity On Hand Units -''count'' or ''packet'']]="count","count",IF(Master[[#This Row],[Quantity On Hand Units -''count'' or ''packet'']]="packet","packet",""))</f>
        <v/>
      </c>
      <c r="H70" s="45" t="str">
        <f>IF(Master[[#This Row],[Inventory Type - Lookup Picker]]="","",Master[[#This Row],[Inventory Type - Lookup Picker]])</f>
        <v>SD</v>
      </c>
      <c r="I70" t="str">
        <f>IF(Master[[#This Row],[Cooperator (Collector) 1 -full record]]="","",Master[[#This Row],[Cooperator (Collector) 1 -full record]])</f>
        <v/>
      </c>
    </row>
    <row r="71" spans="2:9" x14ac:dyDescent="0.25">
      <c r="B71" s="45" t="str">
        <f>Master[[#This Row],[Inventory Prefix]]&amp;" "&amp;Master[[#This Row],[Inventory Number]]&amp;" "&amp;Master[[#This Row],[Inventory Suffix]]&amp;" "&amp;Master[[#This Row],[Inventory Type - Lookup Picker]]</f>
        <v>W6   SD</v>
      </c>
      <c r="C71" t="str">
        <f t="shared" si="5"/>
        <v>Collected</v>
      </c>
      <c r="D71" t="str">
        <f t="shared" si="4"/>
        <v>mm/dd/yyyy</v>
      </c>
      <c r="E71" s="77">
        <f>IF(Master[[#This Row],[Date Collected or Developed]]="","",Master[[#This Row],[Date Collected or Developed]])</f>
        <v>43998</v>
      </c>
      <c r="F71" s="17" t="str">
        <f>IF(Master[[#This Row],[Quantity On Hand]]="","",Master[[#This Row],[Quantity On Hand]])</f>
        <v/>
      </c>
      <c r="G71" s="17" t="str">
        <f>IF(Master[[#This Row],[Quantity On Hand Units -''count'' or ''packet'']]="count","count",IF(Master[[#This Row],[Quantity On Hand Units -''count'' or ''packet'']]="packet","packet",""))</f>
        <v/>
      </c>
      <c r="H71" s="45" t="str">
        <f>IF(Master[[#This Row],[Inventory Type - Lookup Picker]]="","",Master[[#This Row],[Inventory Type - Lookup Picker]])</f>
        <v>SD</v>
      </c>
      <c r="I71" t="str">
        <f>IF(Master[[#This Row],[Cooperator (Collector) 1 -full record]]="","",Master[[#This Row],[Cooperator (Collector) 1 -full record]])</f>
        <v/>
      </c>
    </row>
    <row r="72" spans="2:9" x14ac:dyDescent="0.25">
      <c r="B72" s="45" t="str">
        <f>Master[[#This Row],[Inventory Prefix]]&amp;" "&amp;Master[[#This Row],[Inventory Number]]&amp;" "&amp;Master[[#This Row],[Inventory Suffix]]&amp;" "&amp;Master[[#This Row],[Inventory Type - Lookup Picker]]</f>
        <v>W6   SD</v>
      </c>
      <c r="C72" t="str">
        <f t="shared" si="5"/>
        <v>Collected</v>
      </c>
      <c r="D72" t="str">
        <f t="shared" si="4"/>
        <v>mm/dd/yyyy</v>
      </c>
      <c r="E72" s="77">
        <f>IF(Master[[#This Row],[Date Collected or Developed]]="","",Master[[#This Row],[Date Collected or Developed]])</f>
        <v>43998</v>
      </c>
      <c r="F72" s="17" t="str">
        <f>IF(Master[[#This Row],[Quantity On Hand]]="","",Master[[#This Row],[Quantity On Hand]])</f>
        <v/>
      </c>
      <c r="G72" s="17" t="str">
        <f>IF(Master[[#This Row],[Quantity On Hand Units -''count'' or ''packet'']]="count","count",IF(Master[[#This Row],[Quantity On Hand Units -''count'' or ''packet'']]="packet","packet",""))</f>
        <v/>
      </c>
      <c r="H72" s="45" t="str">
        <f>IF(Master[[#This Row],[Inventory Type - Lookup Picker]]="","",Master[[#This Row],[Inventory Type - Lookup Picker]])</f>
        <v>SD</v>
      </c>
      <c r="I72" t="str">
        <f>IF(Master[[#This Row],[Cooperator (Collector) 1 -full record]]="","",Master[[#This Row],[Cooperator (Collector) 1 -full record]])</f>
        <v/>
      </c>
    </row>
    <row r="73" spans="2:9" x14ac:dyDescent="0.25">
      <c r="B73" s="45" t="str">
        <f>Master[[#This Row],[Inventory Prefix]]&amp;" "&amp;Master[[#This Row],[Inventory Number]]&amp;" "&amp;Master[[#This Row],[Inventory Suffix]]&amp;" "&amp;Master[[#This Row],[Inventory Type - Lookup Picker]]</f>
        <v>W6   SD</v>
      </c>
      <c r="C73" t="str">
        <f t="shared" si="5"/>
        <v>Collected</v>
      </c>
      <c r="D73" t="str">
        <f t="shared" si="4"/>
        <v>mm/dd/yyyy</v>
      </c>
      <c r="E73" s="77">
        <f>IF(Master[[#This Row],[Date Collected or Developed]]="","",Master[[#This Row],[Date Collected or Developed]])</f>
        <v>43999</v>
      </c>
      <c r="F73" s="17" t="str">
        <f>IF(Master[[#This Row],[Quantity On Hand]]="","",Master[[#This Row],[Quantity On Hand]])</f>
        <v/>
      </c>
      <c r="G73" s="17" t="str">
        <f>IF(Master[[#This Row],[Quantity On Hand Units -''count'' or ''packet'']]="count","count",IF(Master[[#This Row],[Quantity On Hand Units -''count'' or ''packet'']]="packet","packet",""))</f>
        <v/>
      </c>
      <c r="H73" s="45" t="str">
        <f>IF(Master[[#This Row],[Inventory Type - Lookup Picker]]="","",Master[[#This Row],[Inventory Type - Lookup Picker]])</f>
        <v>SD</v>
      </c>
      <c r="I73" t="str">
        <f>IF(Master[[#This Row],[Cooperator (Collector) 1 -full record]]="","",Master[[#This Row],[Cooperator (Collector) 1 -full record]])</f>
        <v/>
      </c>
    </row>
    <row r="74" spans="2:9" x14ac:dyDescent="0.25">
      <c r="B74" s="45" t="str">
        <f>Master[[#This Row],[Inventory Prefix]]&amp;" "&amp;Master[[#This Row],[Inventory Number]]&amp;" "&amp;Master[[#This Row],[Inventory Suffix]]&amp;" "&amp;Master[[#This Row],[Inventory Type - Lookup Picker]]</f>
        <v>W6   SD</v>
      </c>
      <c r="C74" t="str">
        <f t="shared" si="5"/>
        <v>Collected</v>
      </c>
      <c r="D74" t="str">
        <f t="shared" si="4"/>
        <v>mm/dd/yyyy</v>
      </c>
      <c r="E74" s="77">
        <f>IF(Master[[#This Row],[Date Collected or Developed]]="","",Master[[#This Row],[Date Collected or Developed]])</f>
        <v>44006</v>
      </c>
      <c r="F74" s="17" t="str">
        <f>IF(Master[[#This Row],[Quantity On Hand]]="","",Master[[#This Row],[Quantity On Hand]])</f>
        <v/>
      </c>
      <c r="G74" s="17" t="str">
        <f>IF(Master[[#This Row],[Quantity On Hand Units -''count'' or ''packet'']]="count","count",IF(Master[[#This Row],[Quantity On Hand Units -''count'' or ''packet'']]="packet","packet",""))</f>
        <v/>
      </c>
      <c r="H74" s="45" t="str">
        <f>IF(Master[[#This Row],[Inventory Type - Lookup Picker]]="","",Master[[#This Row],[Inventory Type - Lookup Picker]])</f>
        <v>SD</v>
      </c>
      <c r="I74" t="str">
        <f>IF(Master[[#This Row],[Cooperator (Collector) 1 -full record]]="","",Master[[#This Row],[Cooperator (Collector) 1 -full record]])</f>
        <v/>
      </c>
    </row>
    <row r="75" spans="2:9" x14ac:dyDescent="0.25">
      <c r="B75" s="45" t="str">
        <f>Master[[#This Row],[Inventory Prefix]]&amp;" "&amp;Master[[#This Row],[Inventory Number]]&amp;" "&amp;Master[[#This Row],[Inventory Suffix]]&amp;" "&amp;Master[[#This Row],[Inventory Type - Lookup Picker]]</f>
        <v>W6   SD</v>
      </c>
      <c r="C75" t="str">
        <f t="shared" si="5"/>
        <v>Collected</v>
      </c>
      <c r="D75" t="str">
        <f t="shared" si="4"/>
        <v>mm/dd/yyyy</v>
      </c>
      <c r="E75" s="77">
        <f>IF(Master[[#This Row],[Date Collected or Developed]]="","",Master[[#This Row],[Date Collected or Developed]])</f>
        <v>44006</v>
      </c>
      <c r="F75" s="17" t="str">
        <f>IF(Master[[#This Row],[Quantity On Hand]]="","",Master[[#This Row],[Quantity On Hand]])</f>
        <v/>
      </c>
      <c r="G75" s="17" t="str">
        <f>IF(Master[[#This Row],[Quantity On Hand Units -''count'' or ''packet'']]="count","count",IF(Master[[#This Row],[Quantity On Hand Units -''count'' or ''packet'']]="packet","packet",""))</f>
        <v/>
      </c>
      <c r="H75" s="45" t="str">
        <f>IF(Master[[#This Row],[Inventory Type - Lookup Picker]]="","",Master[[#This Row],[Inventory Type - Lookup Picker]])</f>
        <v>SD</v>
      </c>
      <c r="I75" t="str">
        <f>IF(Master[[#This Row],[Cooperator (Collector) 1 -full record]]="","",Master[[#This Row],[Cooperator (Collector) 1 -full record]])</f>
        <v/>
      </c>
    </row>
    <row r="76" spans="2:9" x14ac:dyDescent="0.25">
      <c r="B76" s="45" t="str">
        <f>Master[[#This Row],[Inventory Prefix]]&amp;" "&amp;Master[[#This Row],[Inventory Number]]&amp;" "&amp;Master[[#This Row],[Inventory Suffix]]&amp;" "&amp;Master[[#This Row],[Inventory Type - Lookup Picker]]</f>
        <v>W6   SD</v>
      </c>
      <c r="C76" t="str">
        <f t="shared" si="5"/>
        <v>Collected</v>
      </c>
      <c r="D76" t="str">
        <f t="shared" si="4"/>
        <v>mm/dd/yyyy</v>
      </c>
      <c r="E76" s="77">
        <f>IF(Master[[#This Row],[Date Collected or Developed]]="","",Master[[#This Row],[Date Collected or Developed]])</f>
        <v>44013</v>
      </c>
      <c r="F76" s="17" t="str">
        <f>IF(Master[[#This Row],[Quantity On Hand]]="","",Master[[#This Row],[Quantity On Hand]])</f>
        <v/>
      </c>
      <c r="G76" s="17" t="str">
        <f>IF(Master[[#This Row],[Quantity On Hand Units -''count'' or ''packet'']]="count","count",IF(Master[[#This Row],[Quantity On Hand Units -''count'' or ''packet'']]="packet","packet",""))</f>
        <v/>
      </c>
      <c r="H76" s="45" t="str">
        <f>IF(Master[[#This Row],[Inventory Type - Lookup Picker]]="","",Master[[#This Row],[Inventory Type - Lookup Picker]])</f>
        <v>SD</v>
      </c>
      <c r="I76" t="str">
        <f>IF(Master[[#This Row],[Cooperator (Collector) 1 -full record]]="","",Master[[#This Row],[Cooperator (Collector) 1 -full record]])</f>
        <v/>
      </c>
    </row>
    <row r="77" spans="2:9" x14ac:dyDescent="0.25">
      <c r="B77" s="45" t="str">
        <f>Master[[#This Row],[Inventory Prefix]]&amp;" "&amp;Master[[#This Row],[Inventory Number]]&amp;" "&amp;Master[[#This Row],[Inventory Suffix]]&amp;" "&amp;Master[[#This Row],[Inventory Type - Lookup Picker]]</f>
        <v>W6   SD</v>
      </c>
      <c r="C77" t="str">
        <f t="shared" si="5"/>
        <v>Collected</v>
      </c>
      <c r="D77" t="str">
        <f t="shared" si="4"/>
        <v>mm/dd/yyyy</v>
      </c>
      <c r="E77" s="77">
        <f>IF(Master[[#This Row],[Date Collected or Developed]]="","",Master[[#This Row],[Date Collected or Developed]])</f>
        <v>44007</v>
      </c>
      <c r="F77" s="17" t="str">
        <f>IF(Master[[#This Row],[Quantity On Hand]]="","",Master[[#This Row],[Quantity On Hand]])</f>
        <v/>
      </c>
      <c r="G77" s="17" t="str">
        <f>IF(Master[[#This Row],[Quantity On Hand Units -''count'' or ''packet'']]="count","count",IF(Master[[#This Row],[Quantity On Hand Units -''count'' or ''packet'']]="packet","packet",""))</f>
        <v/>
      </c>
      <c r="H77" s="45" t="str">
        <f>IF(Master[[#This Row],[Inventory Type - Lookup Picker]]="","",Master[[#This Row],[Inventory Type - Lookup Picker]])</f>
        <v>SD</v>
      </c>
      <c r="I77" t="str">
        <f>IF(Master[[#This Row],[Cooperator (Collector) 1 -full record]]="","",Master[[#This Row],[Cooperator (Collector) 1 -full record]])</f>
        <v/>
      </c>
    </row>
    <row r="78" spans="2:9" x14ac:dyDescent="0.25">
      <c r="B78" s="45" t="str">
        <f>Master[[#This Row],[Inventory Prefix]]&amp;" "&amp;Master[[#This Row],[Inventory Number]]&amp;" "&amp;Master[[#This Row],[Inventory Suffix]]&amp;" "&amp;Master[[#This Row],[Inventory Type - Lookup Picker]]</f>
        <v>W6   SD</v>
      </c>
      <c r="C78" t="str">
        <f t="shared" si="5"/>
        <v>Collected</v>
      </c>
      <c r="D78" t="str">
        <f t="shared" si="4"/>
        <v>mm/dd/yyyy</v>
      </c>
      <c r="E78" s="77">
        <f>IF(Master[[#This Row],[Date Collected or Developed]]="","",Master[[#This Row],[Date Collected or Developed]])</f>
        <v>44054</v>
      </c>
      <c r="F78" s="17" t="str">
        <f>IF(Master[[#This Row],[Quantity On Hand]]="","",Master[[#This Row],[Quantity On Hand]])</f>
        <v/>
      </c>
      <c r="G78" s="17" t="str">
        <f>IF(Master[[#This Row],[Quantity On Hand Units -''count'' or ''packet'']]="count","count",IF(Master[[#This Row],[Quantity On Hand Units -''count'' or ''packet'']]="packet","packet",""))</f>
        <v/>
      </c>
      <c r="H78" s="45" t="str">
        <f>IF(Master[[#This Row],[Inventory Type - Lookup Picker]]="","",Master[[#This Row],[Inventory Type - Lookup Picker]])</f>
        <v>SD</v>
      </c>
      <c r="I78" t="str">
        <f>IF(Master[[#This Row],[Cooperator (Collector) 1 -full record]]="","",Master[[#This Row],[Cooperator (Collector) 1 -full record]])</f>
        <v/>
      </c>
    </row>
    <row r="79" spans="2:9" x14ac:dyDescent="0.25">
      <c r="B79" s="45" t="str">
        <f>Master[[#This Row],[Inventory Prefix]]&amp;" "&amp;Master[[#This Row],[Inventory Number]]&amp;" "&amp;Master[[#This Row],[Inventory Suffix]]&amp;" "&amp;Master[[#This Row],[Inventory Type - Lookup Picker]]</f>
        <v>W6   SD</v>
      </c>
      <c r="C79" t="str">
        <f t="shared" si="5"/>
        <v>Collected</v>
      </c>
      <c r="D79" t="str">
        <f t="shared" si="4"/>
        <v>mm/dd/yyyy</v>
      </c>
      <c r="E79" s="77">
        <f>IF(Master[[#This Row],[Date Collected or Developed]]="","",Master[[#This Row],[Date Collected or Developed]])</f>
        <v>44013</v>
      </c>
      <c r="F79" s="17" t="str">
        <f>IF(Master[[#This Row],[Quantity On Hand]]="","",Master[[#This Row],[Quantity On Hand]])</f>
        <v/>
      </c>
      <c r="G79" s="17" t="str">
        <f>IF(Master[[#This Row],[Quantity On Hand Units -''count'' or ''packet'']]="count","count",IF(Master[[#This Row],[Quantity On Hand Units -''count'' or ''packet'']]="packet","packet",""))</f>
        <v/>
      </c>
      <c r="H79" s="45" t="str">
        <f>IF(Master[[#This Row],[Inventory Type - Lookup Picker]]="","",Master[[#This Row],[Inventory Type - Lookup Picker]])</f>
        <v>SD</v>
      </c>
      <c r="I79" t="str">
        <f>IF(Master[[#This Row],[Cooperator (Collector) 1 -full record]]="","",Master[[#This Row],[Cooperator (Collector) 1 -full record]])</f>
        <v/>
      </c>
    </row>
    <row r="80" spans="2:9" x14ac:dyDescent="0.25">
      <c r="B80" s="45" t="str">
        <f>Master[[#This Row],[Inventory Prefix]]&amp;" "&amp;Master[[#This Row],[Inventory Number]]&amp;" "&amp;Master[[#This Row],[Inventory Suffix]]&amp;" "&amp;Master[[#This Row],[Inventory Type - Lookup Picker]]</f>
        <v>W6   SD</v>
      </c>
      <c r="C80" t="str">
        <f t="shared" si="5"/>
        <v>Collected</v>
      </c>
      <c r="D80" t="str">
        <f t="shared" si="4"/>
        <v>mm/dd/yyyy</v>
      </c>
      <c r="E80" s="77">
        <f>IF(Master[[#This Row],[Date Collected or Developed]]="","",Master[[#This Row],[Date Collected or Developed]])</f>
        <v>44011</v>
      </c>
      <c r="F80" s="17" t="str">
        <f>IF(Master[[#This Row],[Quantity On Hand]]="","",Master[[#This Row],[Quantity On Hand]])</f>
        <v/>
      </c>
      <c r="G80" s="17" t="str">
        <f>IF(Master[[#This Row],[Quantity On Hand Units -''count'' or ''packet'']]="count","count",IF(Master[[#This Row],[Quantity On Hand Units -''count'' or ''packet'']]="packet","packet",""))</f>
        <v/>
      </c>
      <c r="H80" s="45" t="str">
        <f>IF(Master[[#This Row],[Inventory Type - Lookup Picker]]="","",Master[[#This Row],[Inventory Type - Lookup Picker]])</f>
        <v>SD</v>
      </c>
      <c r="I80" t="str">
        <f>IF(Master[[#This Row],[Cooperator (Collector) 1 -full record]]="","",Master[[#This Row],[Cooperator (Collector) 1 -full record]])</f>
        <v/>
      </c>
    </row>
    <row r="81" spans="2:9" x14ac:dyDescent="0.25">
      <c r="B81" s="45" t="str">
        <f>Master[[#This Row],[Inventory Prefix]]&amp;" "&amp;Master[[#This Row],[Inventory Number]]&amp;" "&amp;Master[[#This Row],[Inventory Suffix]]&amp;" "&amp;Master[[#This Row],[Inventory Type - Lookup Picker]]</f>
        <v>W6   SD</v>
      </c>
      <c r="C81" t="str">
        <f t="shared" si="5"/>
        <v>Collected</v>
      </c>
      <c r="D81" t="str">
        <f t="shared" si="4"/>
        <v>mm/dd/yyyy</v>
      </c>
      <c r="E81" s="77">
        <f>IF(Master[[#This Row],[Date Collected or Developed]]="","",Master[[#This Row],[Date Collected or Developed]])</f>
        <v>44011</v>
      </c>
      <c r="F81" s="17" t="str">
        <f>IF(Master[[#This Row],[Quantity On Hand]]="","",Master[[#This Row],[Quantity On Hand]])</f>
        <v/>
      </c>
      <c r="G81" s="17" t="str">
        <f>IF(Master[[#This Row],[Quantity On Hand Units -''count'' or ''packet'']]="count","count",IF(Master[[#This Row],[Quantity On Hand Units -''count'' or ''packet'']]="packet","packet",""))</f>
        <v/>
      </c>
      <c r="H81" s="45" t="str">
        <f>IF(Master[[#This Row],[Inventory Type - Lookup Picker]]="","",Master[[#This Row],[Inventory Type - Lookup Picker]])</f>
        <v>SD</v>
      </c>
      <c r="I81" t="str">
        <f>IF(Master[[#This Row],[Cooperator (Collector) 1 -full record]]="","",Master[[#This Row],[Cooperator (Collector) 1 -full record]])</f>
        <v/>
      </c>
    </row>
    <row r="82" spans="2:9" x14ac:dyDescent="0.25">
      <c r="B82" s="45" t="str">
        <f>Master[[#This Row],[Inventory Prefix]]&amp;" "&amp;Master[[#This Row],[Inventory Number]]&amp;" "&amp;Master[[#This Row],[Inventory Suffix]]&amp;" "&amp;Master[[#This Row],[Inventory Type - Lookup Picker]]</f>
        <v>W6   SD</v>
      </c>
      <c r="C82" t="str">
        <f t="shared" si="5"/>
        <v>Collected</v>
      </c>
      <c r="D82" t="str">
        <f t="shared" si="4"/>
        <v>mm/dd/yyyy</v>
      </c>
      <c r="E82" s="77">
        <f>IF(Master[[#This Row],[Date Collected or Developed]]="","",Master[[#This Row],[Date Collected or Developed]])</f>
        <v>44019</v>
      </c>
      <c r="F82" s="17" t="str">
        <f>IF(Master[[#This Row],[Quantity On Hand]]="","",Master[[#This Row],[Quantity On Hand]])</f>
        <v/>
      </c>
      <c r="G82" s="17" t="str">
        <f>IF(Master[[#This Row],[Quantity On Hand Units -''count'' or ''packet'']]="count","count",IF(Master[[#This Row],[Quantity On Hand Units -''count'' or ''packet'']]="packet","packet",""))</f>
        <v/>
      </c>
      <c r="H82" s="45" t="str">
        <f>IF(Master[[#This Row],[Inventory Type - Lookup Picker]]="","",Master[[#This Row],[Inventory Type - Lookup Picker]])</f>
        <v>SD</v>
      </c>
      <c r="I82" t="str">
        <f>IF(Master[[#This Row],[Cooperator (Collector) 1 -full record]]="","",Master[[#This Row],[Cooperator (Collector) 1 -full record]])</f>
        <v/>
      </c>
    </row>
    <row r="83" spans="2:9" x14ac:dyDescent="0.25">
      <c r="B83" s="45" t="str">
        <f>Master[[#This Row],[Inventory Prefix]]&amp;" "&amp;Master[[#This Row],[Inventory Number]]&amp;" "&amp;Master[[#This Row],[Inventory Suffix]]&amp;" "&amp;Master[[#This Row],[Inventory Type - Lookup Picker]]</f>
        <v>W6   SD</v>
      </c>
      <c r="C83" t="str">
        <f t="shared" si="5"/>
        <v>Collected</v>
      </c>
      <c r="D83" t="str">
        <f t="shared" si="4"/>
        <v>mm/dd/yyyy</v>
      </c>
      <c r="E83" s="77">
        <f>IF(Master[[#This Row],[Date Collected or Developed]]="","",Master[[#This Row],[Date Collected or Developed]])</f>
        <v>44053</v>
      </c>
      <c r="F83" s="17" t="str">
        <f>IF(Master[[#This Row],[Quantity On Hand]]="","",Master[[#This Row],[Quantity On Hand]])</f>
        <v/>
      </c>
      <c r="G83" s="17" t="str">
        <f>IF(Master[[#This Row],[Quantity On Hand Units -''count'' or ''packet'']]="count","count",IF(Master[[#This Row],[Quantity On Hand Units -''count'' or ''packet'']]="packet","packet",""))</f>
        <v/>
      </c>
      <c r="H83" s="45" t="str">
        <f>IF(Master[[#This Row],[Inventory Type - Lookup Picker]]="","",Master[[#This Row],[Inventory Type - Lookup Picker]])</f>
        <v>SD</v>
      </c>
      <c r="I83" t="str">
        <f>IF(Master[[#This Row],[Cooperator (Collector) 1 -full record]]="","",Master[[#This Row],[Cooperator (Collector) 1 -full record]])</f>
        <v/>
      </c>
    </row>
    <row r="84" spans="2:9" x14ac:dyDescent="0.25">
      <c r="B84" s="45" t="str">
        <f>Master[[#This Row],[Inventory Prefix]]&amp;" "&amp;Master[[#This Row],[Inventory Number]]&amp;" "&amp;Master[[#This Row],[Inventory Suffix]]&amp;" "&amp;Master[[#This Row],[Inventory Type - Lookup Picker]]</f>
        <v>W6   SD</v>
      </c>
      <c r="C84" t="str">
        <f t="shared" si="5"/>
        <v>Collected</v>
      </c>
      <c r="D84" t="str">
        <f t="shared" si="4"/>
        <v>mm/dd/yyyy</v>
      </c>
      <c r="E84" s="77">
        <f>IF(Master[[#This Row],[Date Collected or Developed]]="","",Master[[#This Row],[Date Collected or Developed]])</f>
        <v>44054</v>
      </c>
      <c r="F84" s="17" t="str">
        <f>IF(Master[[#This Row],[Quantity On Hand]]="","",Master[[#This Row],[Quantity On Hand]])</f>
        <v/>
      </c>
      <c r="G84" s="17" t="str">
        <f>IF(Master[[#This Row],[Quantity On Hand Units -''count'' or ''packet'']]="count","count",IF(Master[[#This Row],[Quantity On Hand Units -''count'' or ''packet'']]="packet","packet",""))</f>
        <v/>
      </c>
      <c r="H84" s="45" t="str">
        <f>IF(Master[[#This Row],[Inventory Type - Lookup Picker]]="","",Master[[#This Row],[Inventory Type - Lookup Picker]])</f>
        <v>SD</v>
      </c>
      <c r="I84" t="str">
        <f>IF(Master[[#This Row],[Cooperator (Collector) 1 -full record]]="","",Master[[#This Row],[Cooperator (Collector) 1 -full record]])</f>
        <v/>
      </c>
    </row>
    <row r="85" spans="2:9" x14ac:dyDescent="0.25">
      <c r="B85" s="45" t="str">
        <f>Master[[#This Row],[Inventory Prefix]]&amp;" "&amp;Master[[#This Row],[Inventory Number]]&amp;" "&amp;Master[[#This Row],[Inventory Suffix]]&amp;" "&amp;Master[[#This Row],[Inventory Type - Lookup Picker]]</f>
        <v>W6   SD</v>
      </c>
      <c r="C85" t="str">
        <f t="shared" si="5"/>
        <v>Collected</v>
      </c>
      <c r="D85" t="str">
        <f t="shared" si="4"/>
        <v>mm/dd/yyyy</v>
      </c>
      <c r="E85" s="77">
        <f>IF(Master[[#This Row],[Date Collected or Developed]]="","",Master[[#This Row],[Date Collected or Developed]])</f>
        <v>44060</v>
      </c>
      <c r="F85" s="17" t="str">
        <f>IF(Master[[#This Row],[Quantity On Hand]]="","",Master[[#This Row],[Quantity On Hand]])</f>
        <v/>
      </c>
      <c r="G85" s="17" t="str">
        <f>IF(Master[[#This Row],[Quantity On Hand Units -''count'' or ''packet'']]="count","count",IF(Master[[#This Row],[Quantity On Hand Units -''count'' or ''packet'']]="packet","packet",""))</f>
        <v/>
      </c>
      <c r="H85" s="45" t="str">
        <f>IF(Master[[#This Row],[Inventory Type - Lookup Picker]]="","",Master[[#This Row],[Inventory Type - Lookup Picker]])</f>
        <v>SD</v>
      </c>
      <c r="I85" t="str">
        <f>IF(Master[[#This Row],[Cooperator (Collector) 1 -full record]]="","",Master[[#This Row],[Cooperator (Collector) 1 -full record]])</f>
        <v/>
      </c>
    </row>
    <row r="86" spans="2:9" x14ac:dyDescent="0.25">
      <c r="B86" s="45" t="str">
        <f>Master[[#This Row],[Inventory Prefix]]&amp;" "&amp;Master[[#This Row],[Inventory Number]]&amp;" "&amp;Master[[#This Row],[Inventory Suffix]]&amp;" "&amp;Master[[#This Row],[Inventory Type - Lookup Picker]]</f>
        <v>W6   SD</v>
      </c>
      <c r="C86" t="str">
        <f t="shared" si="5"/>
        <v>Collected</v>
      </c>
      <c r="D86" t="str">
        <f t="shared" ref="D86:D117" si="6">"mm/dd/yyyy"</f>
        <v>mm/dd/yyyy</v>
      </c>
      <c r="E86" s="77">
        <f>IF(Master[[#This Row],[Date Collected or Developed]]="","",Master[[#This Row],[Date Collected or Developed]])</f>
        <v>44028</v>
      </c>
      <c r="F86" s="17" t="str">
        <f>IF(Master[[#This Row],[Quantity On Hand]]="","",Master[[#This Row],[Quantity On Hand]])</f>
        <v/>
      </c>
      <c r="G86" s="17" t="str">
        <f>IF(Master[[#This Row],[Quantity On Hand Units -''count'' or ''packet'']]="count","count",IF(Master[[#This Row],[Quantity On Hand Units -''count'' or ''packet'']]="packet","packet",""))</f>
        <v/>
      </c>
      <c r="H86" s="45" t="str">
        <f>IF(Master[[#This Row],[Inventory Type - Lookup Picker]]="","",Master[[#This Row],[Inventory Type - Lookup Picker]])</f>
        <v>SD</v>
      </c>
      <c r="I86" t="str">
        <f>IF(Master[[#This Row],[Cooperator (Collector) 1 -full record]]="","",Master[[#This Row],[Cooperator (Collector) 1 -full record]])</f>
        <v/>
      </c>
    </row>
    <row r="87" spans="2:9" x14ac:dyDescent="0.25">
      <c r="B87" s="45" t="str">
        <f>Master[[#This Row],[Inventory Prefix]]&amp;" "&amp;Master[[#This Row],[Inventory Number]]&amp;" "&amp;Master[[#This Row],[Inventory Suffix]]&amp;" "&amp;Master[[#This Row],[Inventory Type - Lookup Picker]]</f>
        <v>W6   SD</v>
      </c>
      <c r="C87" t="str">
        <f t="shared" si="5"/>
        <v>Collected</v>
      </c>
      <c r="D87" t="str">
        <f t="shared" si="6"/>
        <v>mm/dd/yyyy</v>
      </c>
      <c r="E87" s="77">
        <f>IF(Master[[#This Row],[Date Collected or Developed]]="","",Master[[#This Row],[Date Collected or Developed]])</f>
        <v>44028</v>
      </c>
      <c r="F87" s="17" t="str">
        <f>IF(Master[[#This Row],[Quantity On Hand]]="","",Master[[#This Row],[Quantity On Hand]])</f>
        <v/>
      </c>
      <c r="G87" s="17" t="str">
        <f>IF(Master[[#This Row],[Quantity On Hand Units -''count'' or ''packet'']]="count","count",IF(Master[[#This Row],[Quantity On Hand Units -''count'' or ''packet'']]="packet","packet",""))</f>
        <v/>
      </c>
      <c r="H87" s="45" t="str">
        <f>IF(Master[[#This Row],[Inventory Type - Lookup Picker]]="","",Master[[#This Row],[Inventory Type - Lookup Picker]])</f>
        <v>SD</v>
      </c>
      <c r="I87" t="str">
        <f>IF(Master[[#This Row],[Cooperator (Collector) 1 -full record]]="","",Master[[#This Row],[Cooperator (Collector) 1 -full record]])</f>
        <v/>
      </c>
    </row>
    <row r="88" spans="2:9" x14ac:dyDescent="0.25">
      <c r="B88" s="45" t="str">
        <f>Master[[#This Row],[Inventory Prefix]]&amp;" "&amp;Master[[#This Row],[Inventory Number]]&amp;" "&amp;Master[[#This Row],[Inventory Suffix]]&amp;" "&amp;Master[[#This Row],[Inventory Type - Lookup Picker]]</f>
        <v>W6   SD</v>
      </c>
      <c r="C88" t="str">
        <f t="shared" si="5"/>
        <v>Collected</v>
      </c>
      <c r="D88" t="str">
        <f t="shared" si="6"/>
        <v>mm/dd/yyyy</v>
      </c>
      <c r="E88" s="77">
        <f>IF(Master[[#This Row],[Date Collected or Developed]]="","",Master[[#This Row],[Date Collected or Developed]])</f>
        <v>44028</v>
      </c>
      <c r="F88" s="17" t="str">
        <f>IF(Master[[#This Row],[Quantity On Hand]]="","",Master[[#This Row],[Quantity On Hand]])</f>
        <v/>
      </c>
      <c r="G88" s="17" t="str">
        <f>IF(Master[[#This Row],[Quantity On Hand Units -''count'' or ''packet'']]="count","count",IF(Master[[#This Row],[Quantity On Hand Units -''count'' or ''packet'']]="packet","packet",""))</f>
        <v/>
      </c>
      <c r="H88" s="45" t="str">
        <f>IF(Master[[#This Row],[Inventory Type - Lookup Picker]]="","",Master[[#This Row],[Inventory Type - Lookup Picker]])</f>
        <v>SD</v>
      </c>
      <c r="I88" t="str">
        <f>IF(Master[[#This Row],[Cooperator (Collector) 1 -full record]]="","",Master[[#This Row],[Cooperator (Collector) 1 -full record]])</f>
        <v/>
      </c>
    </row>
    <row r="89" spans="2:9" x14ac:dyDescent="0.25">
      <c r="B89" s="45" t="str">
        <f>Master[[#This Row],[Inventory Prefix]]&amp;" "&amp;Master[[#This Row],[Inventory Number]]&amp;" "&amp;Master[[#This Row],[Inventory Suffix]]&amp;" "&amp;Master[[#This Row],[Inventory Type - Lookup Picker]]</f>
        <v>W6   SD</v>
      </c>
      <c r="C89" t="str">
        <f t="shared" si="5"/>
        <v>Collected</v>
      </c>
      <c r="D89" t="str">
        <f t="shared" si="6"/>
        <v>mm/dd/yyyy</v>
      </c>
      <c r="E89" s="77">
        <f>IF(Master[[#This Row],[Date Collected or Developed]]="","",Master[[#This Row],[Date Collected or Developed]])</f>
        <v>44069</v>
      </c>
      <c r="F89" s="17" t="str">
        <f>IF(Master[[#This Row],[Quantity On Hand]]="","",Master[[#This Row],[Quantity On Hand]])</f>
        <v/>
      </c>
      <c r="G89" s="17" t="str">
        <f>IF(Master[[#This Row],[Quantity On Hand Units -''count'' or ''packet'']]="count","count",IF(Master[[#This Row],[Quantity On Hand Units -''count'' or ''packet'']]="packet","packet",""))</f>
        <v/>
      </c>
      <c r="H89" s="45" t="str">
        <f>IF(Master[[#This Row],[Inventory Type - Lookup Picker]]="","",Master[[#This Row],[Inventory Type - Lookup Picker]])</f>
        <v>SD</v>
      </c>
      <c r="I89" t="str">
        <f>IF(Master[[#This Row],[Cooperator (Collector) 1 -full record]]="","",Master[[#This Row],[Cooperator (Collector) 1 -full record]])</f>
        <v/>
      </c>
    </row>
    <row r="90" spans="2:9" x14ac:dyDescent="0.25">
      <c r="B90" s="45" t="str">
        <f>Master[[#This Row],[Inventory Prefix]]&amp;" "&amp;Master[[#This Row],[Inventory Number]]&amp;" "&amp;Master[[#This Row],[Inventory Suffix]]&amp;" "&amp;Master[[#This Row],[Inventory Type - Lookup Picker]]</f>
        <v>W6   SD</v>
      </c>
      <c r="C90" t="str">
        <f t="shared" si="5"/>
        <v>Collected</v>
      </c>
      <c r="D90" t="str">
        <f t="shared" si="6"/>
        <v>mm/dd/yyyy</v>
      </c>
      <c r="E90" s="77">
        <f>IF(Master[[#This Row],[Date Collected or Developed]]="","",Master[[#This Row],[Date Collected or Developed]])</f>
        <v>44063</v>
      </c>
      <c r="F90" s="17" t="str">
        <f>IF(Master[[#This Row],[Quantity On Hand]]="","",Master[[#This Row],[Quantity On Hand]])</f>
        <v/>
      </c>
      <c r="G90" s="17" t="str">
        <f>IF(Master[[#This Row],[Quantity On Hand Units -''count'' or ''packet'']]="count","count",IF(Master[[#This Row],[Quantity On Hand Units -''count'' or ''packet'']]="packet","packet",""))</f>
        <v/>
      </c>
      <c r="H90" s="45" t="str">
        <f>IF(Master[[#This Row],[Inventory Type - Lookup Picker]]="","",Master[[#This Row],[Inventory Type - Lookup Picker]])</f>
        <v>SD</v>
      </c>
      <c r="I90" t="str">
        <f>IF(Master[[#This Row],[Cooperator (Collector) 1 -full record]]="","",Master[[#This Row],[Cooperator (Collector) 1 -full record]])</f>
        <v/>
      </c>
    </row>
    <row r="91" spans="2:9" x14ac:dyDescent="0.25">
      <c r="B91" s="45" t="str">
        <f>Master[[#This Row],[Inventory Prefix]]&amp;" "&amp;Master[[#This Row],[Inventory Number]]&amp;" "&amp;Master[[#This Row],[Inventory Suffix]]&amp;" "&amp;Master[[#This Row],[Inventory Type - Lookup Picker]]</f>
        <v>W6   SD</v>
      </c>
      <c r="C91" t="str">
        <f t="shared" si="5"/>
        <v>Collected</v>
      </c>
      <c r="D91" t="str">
        <f t="shared" si="6"/>
        <v>mm/dd/yyyy</v>
      </c>
      <c r="E91" s="77">
        <f>IF(Master[[#This Row],[Date Collected or Developed]]="","",Master[[#This Row],[Date Collected or Developed]])</f>
        <v>44063</v>
      </c>
      <c r="F91" s="17" t="str">
        <f>IF(Master[[#This Row],[Quantity On Hand]]="","",Master[[#This Row],[Quantity On Hand]])</f>
        <v/>
      </c>
      <c r="G91" s="17" t="str">
        <f>IF(Master[[#This Row],[Quantity On Hand Units -''count'' or ''packet'']]="count","count",IF(Master[[#This Row],[Quantity On Hand Units -''count'' or ''packet'']]="packet","packet",""))</f>
        <v/>
      </c>
      <c r="H91" s="45" t="str">
        <f>IF(Master[[#This Row],[Inventory Type - Lookup Picker]]="","",Master[[#This Row],[Inventory Type - Lookup Picker]])</f>
        <v>SD</v>
      </c>
      <c r="I91" t="str">
        <f>IF(Master[[#This Row],[Cooperator (Collector) 1 -full record]]="","",Master[[#This Row],[Cooperator (Collector) 1 -full record]])</f>
        <v/>
      </c>
    </row>
    <row r="92" spans="2:9" x14ac:dyDescent="0.25">
      <c r="B92" s="45" t="str">
        <f>Master[[#This Row],[Inventory Prefix]]&amp;" "&amp;Master[[#This Row],[Inventory Number]]&amp;" "&amp;Master[[#This Row],[Inventory Suffix]]&amp;" "&amp;Master[[#This Row],[Inventory Type - Lookup Picker]]</f>
        <v>W6   SD</v>
      </c>
      <c r="C92" t="str">
        <f t="shared" si="5"/>
        <v>Collected</v>
      </c>
      <c r="D92" t="str">
        <f t="shared" si="6"/>
        <v>mm/dd/yyyy</v>
      </c>
      <c r="E92" s="77">
        <f>IF(Master[[#This Row],[Date Collected or Developed]]="","",Master[[#This Row],[Date Collected or Developed]])</f>
        <v>44105</v>
      </c>
      <c r="F92" s="17" t="str">
        <f>IF(Master[[#This Row],[Quantity On Hand]]="","",Master[[#This Row],[Quantity On Hand]])</f>
        <v/>
      </c>
      <c r="G92" s="17" t="str">
        <f>IF(Master[[#This Row],[Quantity On Hand Units -''count'' or ''packet'']]="count","count",IF(Master[[#This Row],[Quantity On Hand Units -''count'' or ''packet'']]="packet","packet",""))</f>
        <v/>
      </c>
      <c r="H92" s="45" t="str">
        <f>IF(Master[[#This Row],[Inventory Type - Lookup Picker]]="","",Master[[#This Row],[Inventory Type - Lookup Picker]])</f>
        <v>SD</v>
      </c>
      <c r="I92" t="str">
        <f>IF(Master[[#This Row],[Cooperator (Collector) 1 -full record]]="","",Master[[#This Row],[Cooperator (Collector) 1 -full record]])</f>
        <v/>
      </c>
    </row>
    <row r="93" spans="2:9" x14ac:dyDescent="0.25">
      <c r="B93" s="45" t="str">
        <f>Master[[#This Row],[Inventory Prefix]]&amp;" "&amp;Master[[#This Row],[Inventory Number]]&amp;" "&amp;Master[[#This Row],[Inventory Suffix]]&amp;" "&amp;Master[[#This Row],[Inventory Type - Lookup Picker]]</f>
        <v>W6   SD</v>
      </c>
      <c r="C93" t="str">
        <f t="shared" si="5"/>
        <v>Collected</v>
      </c>
      <c r="D93" t="str">
        <f t="shared" si="6"/>
        <v>mm/dd/yyyy</v>
      </c>
      <c r="E93" s="77">
        <f>IF(Master[[#This Row],[Date Collected or Developed]]="","",Master[[#This Row],[Date Collected or Developed]])</f>
        <v>44104</v>
      </c>
      <c r="F93" s="17" t="str">
        <f>IF(Master[[#This Row],[Quantity On Hand]]="","",Master[[#This Row],[Quantity On Hand]])</f>
        <v/>
      </c>
      <c r="G93" s="17" t="str">
        <f>IF(Master[[#This Row],[Quantity On Hand Units -''count'' or ''packet'']]="count","count",IF(Master[[#This Row],[Quantity On Hand Units -''count'' or ''packet'']]="packet","packet",""))</f>
        <v/>
      </c>
      <c r="H93" s="45" t="str">
        <f>IF(Master[[#This Row],[Inventory Type - Lookup Picker]]="","",Master[[#This Row],[Inventory Type - Lookup Picker]])</f>
        <v>SD</v>
      </c>
      <c r="I93" t="str">
        <f>IF(Master[[#This Row],[Cooperator (Collector) 1 -full record]]="","",Master[[#This Row],[Cooperator (Collector) 1 -full record]])</f>
        <v/>
      </c>
    </row>
    <row r="94" spans="2:9" x14ac:dyDescent="0.25">
      <c r="B94" s="45" t="str">
        <f>Master[[#This Row],[Inventory Prefix]]&amp;" "&amp;Master[[#This Row],[Inventory Number]]&amp;" "&amp;Master[[#This Row],[Inventory Suffix]]&amp;" "&amp;Master[[#This Row],[Inventory Type - Lookup Picker]]</f>
        <v>W6   SD</v>
      </c>
      <c r="C94" t="str">
        <f t="shared" si="5"/>
        <v>Collected</v>
      </c>
      <c r="D94" t="str">
        <f t="shared" si="6"/>
        <v>mm/dd/yyyy</v>
      </c>
      <c r="E94" s="77">
        <f>IF(Master[[#This Row],[Date Collected or Developed]]="","",Master[[#This Row],[Date Collected or Developed]])</f>
        <v>44105</v>
      </c>
      <c r="F94" s="17" t="str">
        <f>IF(Master[[#This Row],[Quantity On Hand]]="","",Master[[#This Row],[Quantity On Hand]])</f>
        <v/>
      </c>
      <c r="G94" s="17" t="str">
        <f>IF(Master[[#This Row],[Quantity On Hand Units -''count'' or ''packet'']]="count","count",IF(Master[[#This Row],[Quantity On Hand Units -''count'' or ''packet'']]="packet","packet",""))</f>
        <v/>
      </c>
      <c r="H94" s="45" t="str">
        <f>IF(Master[[#This Row],[Inventory Type - Lookup Picker]]="","",Master[[#This Row],[Inventory Type - Lookup Picker]])</f>
        <v>SD</v>
      </c>
      <c r="I94" t="str">
        <f>IF(Master[[#This Row],[Cooperator (Collector) 1 -full record]]="","",Master[[#This Row],[Cooperator (Collector) 1 -full record]])</f>
        <v/>
      </c>
    </row>
    <row r="95" spans="2:9" x14ac:dyDescent="0.25">
      <c r="B95" s="45" t="str">
        <f>Master[[#This Row],[Inventory Prefix]]&amp;" "&amp;Master[[#This Row],[Inventory Number]]&amp;" "&amp;Master[[#This Row],[Inventory Suffix]]&amp;" "&amp;Master[[#This Row],[Inventory Type - Lookup Picker]]</f>
        <v>W6   SD</v>
      </c>
      <c r="C95" t="str">
        <f t="shared" si="5"/>
        <v>Collected</v>
      </c>
      <c r="D95" t="str">
        <f t="shared" si="6"/>
        <v>mm/dd/yyyy</v>
      </c>
      <c r="E95" s="77">
        <f>IF(Master[[#This Row],[Date Collected or Developed]]="","",Master[[#This Row],[Date Collected or Developed]])</f>
        <v>44058</v>
      </c>
      <c r="F95" s="17" t="str">
        <f>IF(Master[[#This Row],[Quantity On Hand]]="","",Master[[#This Row],[Quantity On Hand]])</f>
        <v/>
      </c>
      <c r="G95" s="17" t="str">
        <f>IF(Master[[#This Row],[Quantity On Hand Units -''count'' or ''packet'']]="count","count",IF(Master[[#This Row],[Quantity On Hand Units -''count'' or ''packet'']]="packet","packet",""))</f>
        <v/>
      </c>
      <c r="H95" s="45" t="str">
        <f>IF(Master[[#This Row],[Inventory Type - Lookup Picker]]="","",Master[[#This Row],[Inventory Type - Lookup Picker]])</f>
        <v>SD</v>
      </c>
      <c r="I95" t="str">
        <f>IF(Master[[#This Row],[Cooperator (Collector) 1 -full record]]="","",Master[[#This Row],[Cooperator (Collector) 1 -full record]])</f>
        <v/>
      </c>
    </row>
    <row r="96" spans="2:9" x14ac:dyDescent="0.25">
      <c r="B96" s="45" t="str">
        <f>Master[[#This Row],[Inventory Prefix]]&amp;" "&amp;Master[[#This Row],[Inventory Number]]&amp;" "&amp;Master[[#This Row],[Inventory Suffix]]&amp;" "&amp;Master[[#This Row],[Inventory Type - Lookup Picker]]</f>
        <v>W6   SD</v>
      </c>
      <c r="C96" t="str">
        <f t="shared" si="5"/>
        <v>Collected</v>
      </c>
      <c r="D96" t="str">
        <f t="shared" si="6"/>
        <v>mm/dd/yyyy</v>
      </c>
      <c r="E96" s="77">
        <f>IF(Master[[#This Row],[Date Collected or Developed]]="","",Master[[#This Row],[Date Collected or Developed]])</f>
        <v>44104</v>
      </c>
      <c r="F96" s="17" t="str">
        <f>IF(Master[[#This Row],[Quantity On Hand]]="","",Master[[#This Row],[Quantity On Hand]])</f>
        <v/>
      </c>
      <c r="G96" s="17" t="str">
        <f>IF(Master[[#This Row],[Quantity On Hand Units -''count'' or ''packet'']]="count","count",IF(Master[[#This Row],[Quantity On Hand Units -''count'' or ''packet'']]="packet","packet",""))</f>
        <v/>
      </c>
      <c r="H96" s="45" t="str">
        <f>IF(Master[[#This Row],[Inventory Type - Lookup Picker]]="","",Master[[#This Row],[Inventory Type - Lookup Picker]])</f>
        <v>SD</v>
      </c>
      <c r="I96" t="str">
        <f>IF(Master[[#This Row],[Cooperator (Collector) 1 -full record]]="","",Master[[#This Row],[Cooperator (Collector) 1 -full record]])</f>
        <v/>
      </c>
    </row>
    <row r="97" spans="2:9" x14ac:dyDescent="0.25">
      <c r="B97" s="45" t="str">
        <f>Master[[#This Row],[Inventory Prefix]]&amp;" "&amp;Master[[#This Row],[Inventory Number]]&amp;" "&amp;Master[[#This Row],[Inventory Suffix]]&amp;" "&amp;Master[[#This Row],[Inventory Type - Lookup Picker]]</f>
        <v>W6   SD</v>
      </c>
      <c r="C97" t="str">
        <f t="shared" si="5"/>
        <v>Collected</v>
      </c>
      <c r="D97" t="str">
        <f t="shared" si="6"/>
        <v>mm/dd/yyyy</v>
      </c>
      <c r="E97" s="77">
        <f>IF(Master[[#This Row],[Date Collected or Developed]]="","",Master[[#This Row],[Date Collected or Developed]])</f>
        <v>44020</v>
      </c>
      <c r="F97" s="17" t="str">
        <f>IF(Master[[#This Row],[Quantity On Hand]]="","",Master[[#This Row],[Quantity On Hand]])</f>
        <v/>
      </c>
      <c r="G97" s="17" t="str">
        <f>IF(Master[[#This Row],[Quantity On Hand Units -''count'' or ''packet'']]="count","count",IF(Master[[#This Row],[Quantity On Hand Units -''count'' or ''packet'']]="packet","packet",""))</f>
        <v/>
      </c>
      <c r="H97" s="45" t="str">
        <f>IF(Master[[#This Row],[Inventory Type - Lookup Picker]]="","",Master[[#This Row],[Inventory Type - Lookup Picker]])</f>
        <v>SD</v>
      </c>
      <c r="I97" t="str">
        <f>IF(Master[[#This Row],[Cooperator (Collector) 1 -full record]]="","",Master[[#This Row],[Cooperator (Collector) 1 -full record]])</f>
        <v/>
      </c>
    </row>
    <row r="98" spans="2:9" x14ac:dyDescent="0.25">
      <c r="B98" s="45" t="str">
        <f>Master[[#This Row],[Inventory Prefix]]&amp;" "&amp;Master[[#This Row],[Inventory Number]]&amp;" "&amp;Master[[#This Row],[Inventory Suffix]]&amp;" "&amp;Master[[#This Row],[Inventory Type - Lookup Picker]]</f>
        <v>W6   SD</v>
      </c>
      <c r="C98" t="str">
        <f t="shared" ref="C98:C129" si="7">"Collected"</f>
        <v>Collected</v>
      </c>
      <c r="D98" t="str">
        <f t="shared" si="6"/>
        <v>mm/dd/yyyy</v>
      </c>
      <c r="E98" s="77">
        <f>IF(Master[[#This Row],[Date Collected or Developed]]="","",Master[[#This Row],[Date Collected or Developed]])</f>
        <v>43997</v>
      </c>
      <c r="F98" s="17" t="str">
        <f>IF(Master[[#This Row],[Quantity On Hand]]="","",Master[[#This Row],[Quantity On Hand]])</f>
        <v/>
      </c>
      <c r="G98" s="17" t="str">
        <f>IF(Master[[#This Row],[Quantity On Hand Units -''count'' or ''packet'']]="count","count",IF(Master[[#This Row],[Quantity On Hand Units -''count'' or ''packet'']]="packet","packet",""))</f>
        <v/>
      </c>
      <c r="H98" s="45" t="str">
        <f>IF(Master[[#This Row],[Inventory Type - Lookup Picker]]="","",Master[[#This Row],[Inventory Type - Lookup Picker]])</f>
        <v>SD</v>
      </c>
      <c r="I98" t="str">
        <f>IF(Master[[#This Row],[Cooperator (Collector) 1 -full record]]="","",Master[[#This Row],[Cooperator (Collector) 1 -full record]])</f>
        <v/>
      </c>
    </row>
    <row r="99" spans="2:9" x14ac:dyDescent="0.25">
      <c r="B99" s="45" t="str">
        <f>Master[[#This Row],[Inventory Prefix]]&amp;" "&amp;Master[[#This Row],[Inventory Number]]&amp;" "&amp;Master[[#This Row],[Inventory Suffix]]&amp;" "&amp;Master[[#This Row],[Inventory Type - Lookup Picker]]</f>
        <v>W6   SD</v>
      </c>
      <c r="C99" t="str">
        <f t="shared" si="7"/>
        <v>Collected</v>
      </c>
      <c r="D99" t="str">
        <f t="shared" si="6"/>
        <v>mm/dd/yyyy</v>
      </c>
      <c r="E99" s="77">
        <f>IF(Master[[#This Row],[Date Collected or Developed]]="","",Master[[#This Row],[Date Collected or Developed]])</f>
        <v>43998</v>
      </c>
      <c r="F99" s="17" t="str">
        <f>IF(Master[[#This Row],[Quantity On Hand]]="","",Master[[#This Row],[Quantity On Hand]])</f>
        <v/>
      </c>
      <c r="G99" s="17" t="str">
        <f>IF(Master[[#This Row],[Quantity On Hand Units -''count'' or ''packet'']]="count","count",IF(Master[[#This Row],[Quantity On Hand Units -''count'' or ''packet'']]="packet","packet",""))</f>
        <v/>
      </c>
      <c r="H99" s="45" t="str">
        <f>IF(Master[[#This Row],[Inventory Type - Lookup Picker]]="","",Master[[#This Row],[Inventory Type - Lookup Picker]])</f>
        <v>SD</v>
      </c>
      <c r="I99" t="str">
        <f>IF(Master[[#This Row],[Cooperator (Collector) 1 -full record]]="","",Master[[#This Row],[Cooperator (Collector) 1 -full record]])</f>
        <v/>
      </c>
    </row>
    <row r="100" spans="2:9" x14ac:dyDescent="0.25">
      <c r="B100" s="45" t="str">
        <f>Master[[#This Row],[Inventory Prefix]]&amp;" "&amp;Master[[#This Row],[Inventory Number]]&amp;" "&amp;Master[[#This Row],[Inventory Suffix]]&amp;" "&amp;Master[[#This Row],[Inventory Type - Lookup Picker]]</f>
        <v>W6   SD</v>
      </c>
      <c r="C100" t="str">
        <f t="shared" si="7"/>
        <v>Collected</v>
      </c>
      <c r="D100" t="str">
        <f t="shared" si="6"/>
        <v>mm/dd/yyyy</v>
      </c>
      <c r="E100" s="77">
        <f>IF(Master[[#This Row],[Date Collected or Developed]]="","",Master[[#This Row],[Date Collected or Developed]])</f>
        <v>43999</v>
      </c>
      <c r="F100" s="17" t="str">
        <f>IF(Master[[#This Row],[Quantity On Hand]]="","",Master[[#This Row],[Quantity On Hand]])</f>
        <v/>
      </c>
      <c r="G100" s="17" t="str">
        <f>IF(Master[[#This Row],[Quantity On Hand Units -''count'' or ''packet'']]="count","count",IF(Master[[#This Row],[Quantity On Hand Units -''count'' or ''packet'']]="packet","packet",""))</f>
        <v/>
      </c>
      <c r="H100" s="45" t="str">
        <f>IF(Master[[#This Row],[Inventory Type - Lookup Picker]]="","",Master[[#This Row],[Inventory Type - Lookup Picker]])</f>
        <v>SD</v>
      </c>
      <c r="I100" t="str">
        <f>IF(Master[[#This Row],[Cooperator (Collector) 1 -full record]]="","",Master[[#This Row],[Cooperator (Collector) 1 -full record]])</f>
        <v/>
      </c>
    </row>
    <row r="101" spans="2:9" x14ac:dyDescent="0.25">
      <c r="B101" s="45" t="str">
        <f>Master[[#This Row],[Inventory Prefix]]&amp;" "&amp;Master[[#This Row],[Inventory Number]]&amp;" "&amp;Master[[#This Row],[Inventory Suffix]]&amp;" "&amp;Master[[#This Row],[Inventory Type - Lookup Picker]]</f>
        <v>W6   SD</v>
      </c>
      <c r="C101" t="str">
        <f t="shared" si="7"/>
        <v>Collected</v>
      </c>
      <c r="D101" t="str">
        <f t="shared" si="6"/>
        <v>mm/dd/yyyy</v>
      </c>
      <c r="E101" s="77">
        <f>IF(Master[[#This Row],[Date Collected or Developed]]="","",Master[[#This Row],[Date Collected or Developed]])</f>
        <v>44005</v>
      </c>
      <c r="F101" s="17" t="str">
        <f>IF(Master[[#This Row],[Quantity On Hand]]="","",Master[[#This Row],[Quantity On Hand]])</f>
        <v/>
      </c>
      <c r="G101" s="17" t="str">
        <f>IF(Master[[#This Row],[Quantity On Hand Units -''count'' or ''packet'']]="count","count",IF(Master[[#This Row],[Quantity On Hand Units -''count'' or ''packet'']]="packet","packet",""))</f>
        <v/>
      </c>
      <c r="H101" s="45" t="str">
        <f>IF(Master[[#This Row],[Inventory Type - Lookup Picker]]="","",Master[[#This Row],[Inventory Type - Lookup Picker]])</f>
        <v>SD</v>
      </c>
      <c r="I101" t="str">
        <f>IF(Master[[#This Row],[Cooperator (Collector) 1 -full record]]="","",Master[[#This Row],[Cooperator (Collector) 1 -full record]])</f>
        <v/>
      </c>
    </row>
    <row r="102" spans="2:9" x14ac:dyDescent="0.25">
      <c r="B102" s="45" t="str">
        <f>Master[[#This Row],[Inventory Prefix]]&amp;" "&amp;Master[[#This Row],[Inventory Number]]&amp;" "&amp;Master[[#This Row],[Inventory Suffix]]&amp;" "&amp;Master[[#This Row],[Inventory Type - Lookup Picker]]</f>
        <v>W6   SD</v>
      </c>
      <c r="C102" t="str">
        <f t="shared" si="7"/>
        <v>Collected</v>
      </c>
      <c r="D102" t="str">
        <f t="shared" si="6"/>
        <v>mm/dd/yyyy</v>
      </c>
      <c r="E102" s="77">
        <f>IF(Master[[#This Row],[Date Collected or Developed]]="","",Master[[#This Row],[Date Collected or Developed]])</f>
        <v>44007</v>
      </c>
      <c r="F102" s="17" t="str">
        <f>IF(Master[[#This Row],[Quantity On Hand]]="","",Master[[#This Row],[Quantity On Hand]])</f>
        <v/>
      </c>
      <c r="G102" s="17" t="str">
        <f>IF(Master[[#This Row],[Quantity On Hand Units -''count'' or ''packet'']]="count","count",IF(Master[[#This Row],[Quantity On Hand Units -''count'' or ''packet'']]="packet","packet",""))</f>
        <v/>
      </c>
      <c r="H102" s="45" t="str">
        <f>IF(Master[[#This Row],[Inventory Type - Lookup Picker]]="","",Master[[#This Row],[Inventory Type - Lookup Picker]])</f>
        <v>SD</v>
      </c>
      <c r="I102" t="str">
        <f>IF(Master[[#This Row],[Cooperator (Collector) 1 -full record]]="","",Master[[#This Row],[Cooperator (Collector) 1 -full record]])</f>
        <v/>
      </c>
    </row>
    <row r="103" spans="2:9" x14ac:dyDescent="0.25">
      <c r="B103" s="45" t="str">
        <f>Master[[#This Row],[Inventory Prefix]]&amp;" "&amp;Master[[#This Row],[Inventory Number]]&amp;" "&amp;Master[[#This Row],[Inventory Suffix]]&amp;" "&amp;Master[[#This Row],[Inventory Type - Lookup Picker]]</f>
        <v>W6   SD</v>
      </c>
      <c r="C103" t="str">
        <f t="shared" si="7"/>
        <v>Collected</v>
      </c>
      <c r="D103" t="str">
        <f t="shared" si="6"/>
        <v>mm/dd/yyyy</v>
      </c>
      <c r="E103" s="77">
        <f>IF(Master[[#This Row],[Date Collected or Developed]]="","",Master[[#This Row],[Date Collected or Developed]])</f>
        <v>44012</v>
      </c>
      <c r="F103" s="17" t="str">
        <f>IF(Master[[#This Row],[Quantity On Hand]]="","",Master[[#This Row],[Quantity On Hand]])</f>
        <v/>
      </c>
      <c r="G103" s="17" t="str">
        <f>IF(Master[[#This Row],[Quantity On Hand Units -''count'' or ''packet'']]="count","count",IF(Master[[#This Row],[Quantity On Hand Units -''count'' or ''packet'']]="packet","packet",""))</f>
        <v/>
      </c>
      <c r="H103" s="45" t="str">
        <f>IF(Master[[#This Row],[Inventory Type - Lookup Picker]]="","",Master[[#This Row],[Inventory Type - Lookup Picker]])</f>
        <v>SD</v>
      </c>
      <c r="I103" t="str">
        <f>IF(Master[[#This Row],[Cooperator (Collector) 1 -full record]]="","",Master[[#This Row],[Cooperator (Collector) 1 -full record]])</f>
        <v/>
      </c>
    </row>
    <row r="104" spans="2:9" x14ac:dyDescent="0.25">
      <c r="B104" s="45" t="str">
        <f>Master[[#This Row],[Inventory Prefix]]&amp;" "&amp;Master[[#This Row],[Inventory Number]]&amp;" "&amp;Master[[#This Row],[Inventory Suffix]]&amp;" "&amp;Master[[#This Row],[Inventory Type - Lookup Picker]]</f>
        <v>W6   SD</v>
      </c>
      <c r="C104" t="str">
        <f t="shared" si="7"/>
        <v>Collected</v>
      </c>
      <c r="D104" t="str">
        <f t="shared" si="6"/>
        <v>mm/dd/yyyy</v>
      </c>
      <c r="E104" s="77">
        <f>IF(Master[[#This Row],[Date Collected or Developed]]="","",Master[[#This Row],[Date Collected or Developed]])</f>
        <v>44012</v>
      </c>
      <c r="F104" s="17" t="str">
        <f>IF(Master[[#This Row],[Quantity On Hand]]="","",Master[[#This Row],[Quantity On Hand]])</f>
        <v/>
      </c>
      <c r="G104" s="17" t="str">
        <f>IF(Master[[#This Row],[Quantity On Hand Units -''count'' or ''packet'']]="count","count",IF(Master[[#This Row],[Quantity On Hand Units -''count'' or ''packet'']]="packet","packet",""))</f>
        <v/>
      </c>
      <c r="H104" s="45" t="str">
        <f>IF(Master[[#This Row],[Inventory Type - Lookup Picker]]="","",Master[[#This Row],[Inventory Type - Lookup Picker]])</f>
        <v>SD</v>
      </c>
      <c r="I104" t="str">
        <f>IF(Master[[#This Row],[Cooperator (Collector) 1 -full record]]="","",Master[[#This Row],[Cooperator (Collector) 1 -full record]])</f>
        <v/>
      </c>
    </row>
    <row r="105" spans="2:9" x14ac:dyDescent="0.25">
      <c r="B105" s="45" t="str">
        <f>Master[[#This Row],[Inventory Prefix]]&amp;" "&amp;Master[[#This Row],[Inventory Number]]&amp;" "&amp;Master[[#This Row],[Inventory Suffix]]&amp;" "&amp;Master[[#This Row],[Inventory Type - Lookup Picker]]</f>
        <v>W6   SD</v>
      </c>
      <c r="C105" t="str">
        <f t="shared" si="7"/>
        <v>Collected</v>
      </c>
      <c r="D105" t="str">
        <f t="shared" si="6"/>
        <v>mm/dd/yyyy</v>
      </c>
      <c r="E105" s="77">
        <f>IF(Master[[#This Row],[Date Collected or Developed]]="","",Master[[#This Row],[Date Collected or Developed]])</f>
        <v>44019</v>
      </c>
      <c r="F105" s="17" t="str">
        <f>IF(Master[[#This Row],[Quantity On Hand]]="","",Master[[#This Row],[Quantity On Hand]])</f>
        <v/>
      </c>
      <c r="G105" s="17" t="str">
        <f>IF(Master[[#This Row],[Quantity On Hand Units -''count'' or ''packet'']]="count","count",IF(Master[[#This Row],[Quantity On Hand Units -''count'' or ''packet'']]="packet","packet",""))</f>
        <v/>
      </c>
      <c r="H105" s="45" t="str">
        <f>IF(Master[[#This Row],[Inventory Type - Lookup Picker]]="","",Master[[#This Row],[Inventory Type - Lookup Picker]])</f>
        <v>SD</v>
      </c>
      <c r="I105" t="str">
        <f>IF(Master[[#This Row],[Cooperator (Collector) 1 -full record]]="","",Master[[#This Row],[Cooperator (Collector) 1 -full record]])</f>
        <v/>
      </c>
    </row>
    <row r="106" spans="2:9" x14ac:dyDescent="0.25">
      <c r="B106" s="45" t="str">
        <f>Master[[#This Row],[Inventory Prefix]]&amp;" "&amp;Master[[#This Row],[Inventory Number]]&amp;" "&amp;Master[[#This Row],[Inventory Suffix]]&amp;" "&amp;Master[[#This Row],[Inventory Type - Lookup Picker]]</f>
        <v>W6   SD</v>
      </c>
      <c r="C106" t="str">
        <f t="shared" si="7"/>
        <v>Collected</v>
      </c>
      <c r="D106" t="str">
        <f t="shared" si="6"/>
        <v>mm/dd/yyyy</v>
      </c>
      <c r="E106" s="77">
        <f>IF(Master[[#This Row],[Date Collected or Developed]]="","",Master[[#This Row],[Date Collected or Developed]])</f>
        <v>44020</v>
      </c>
      <c r="F106" s="17" t="str">
        <f>IF(Master[[#This Row],[Quantity On Hand]]="","",Master[[#This Row],[Quantity On Hand]])</f>
        <v/>
      </c>
      <c r="G106" s="17" t="str">
        <f>IF(Master[[#This Row],[Quantity On Hand Units -''count'' or ''packet'']]="count","count",IF(Master[[#This Row],[Quantity On Hand Units -''count'' or ''packet'']]="packet","packet",""))</f>
        <v/>
      </c>
      <c r="H106" s="45" t="str">
        <f>IF(Master[[#This Row],[Inventory Type - Lookup Picker]]="","",Master[[#This Row],[Inventory Type - Lookup Picker]])</f>
        <v>SD</v>
      </c>
      <c r="I106" t="str">
        <f>IF(Master[[#This Row],[Cooperator (Collector) 1 -full record]]="","",Master[[#This Row],[Cooperator (Collector) 1 -full record]])</f>
        <v/>
      </c>
    </row>
    <row r="107" spans="2:9" x14ac:dyDescent="0.25">
      <c r="B107" s="45" t="str">
        <f>Master[[#This Row],[Inventory Prefix]]&amp;" "&amp;Master[[#This Row],[Inventory Number]]&amp;" "&amp;Master[[#This Row],[Inventory Suffix]]&amp;" "&amp;Master[[#This Row],[Inventory Type - Lookup Picker]]</f>
        <v>W6   SD</v>
      </c>
      <c r="C107" t="str">
        <f t="shared" si="7"/>
        <v>Collected</v>
      </c>
      <c r="D107" t="str">
        <f t="shared" si="6"/>
        <v>mm/dd/yyyy</v>
      </c>
      <c r="E107" s="77">
        <f>IF(Master[[#This Row],[Date Collected or Developed]]="","",Master[[#This Row],[Date Collected or Developed]])</f>
        <v>44021</v>
      </c>
      <c r="F107" s="17" t="str">
        <f>IF(Master[[#This Row],[Quantity On Hand]]="","",Master[[#This Row],[Quantity On Hand]])</f>
        <v/>
      </c>
      <c r="G107" s="17" t="str">
        <f>IF(Master[[#This Row],[Quantity On Hand Units -''count'' or ''packet'']]="count","count",IF(Master[[#This Row],[Quantity On Hand Units -''count'' or ''packet'']]="packet","packet",""))</f>
        <v/>
      </c>
      <c r="H107" s="45" t="str">
        <f>IF(Master[[#This Row],[Inventory Type - Lookup Picker]]="","",Master[[#This Row],[Inventory Type - Lookup Picker]])</f>
        <v>SD</v>
      </c>
      <c r="I107" t="str">
        <f>IF(Master[[#This Row],[Cooperator (Collector) 1 -full record]]="","",Master[[#This Row],[Cooperator (Collector) 1 -full record]])</f>
        <v/>
      </c>
    </row>
    <row r="108" spans="2:9" x14ac:dyDescent="0.25">
      <c r="B108" s="45" t="str">
        <f>Master[[#This Row],[Inventory Prefix]]&amp;" "&amp;Master[[#This Row],[Inventory Number]]&amp;" "&amp;Master[[#This Row],[Inventory Suffix]]&amp;" "&amp;Master[[#This Row],[Inventory Type - Lookup Picker]]</f>
        <v>W6   SD</v>
      </c>
      <c r="C108" t="str">
        <f t="shared" si="7"/>
        <v>Collected</v>
      </c>
      <c r="D108" t="str">
        <f t="shared" si="6"/>
        <v>mm/dd/yyyy</v>
      </c>
      <c r="E108" s="77">
        <f>IF(Master[[#This Row],[Date Collected or Developed]]="","",Master[[#This Row],[Date Collected or Developed]])</f>
        <v>44025</v>
      </c>
      <c r="F108" s="17" t="str">
        <f>IF(Master[[#This Row],[Quantity On Hand]]="","",Master[[#This Row],[Quantity On Hand]])</f>
        <v/>
      </c>
      <c r="G108" s="17" t="str">
        <f>IF(Master[[#This Row],[Quantity On Hand Units -''count'' or ''packet'']]="count","count",IF(Master[[#This Row],[Quantity On Hand Units -''count'' or ''packet'']]="packet","packet",""))</f>
        <v/>
      </c>
      <c r="H108" s="45" t="str">
        <f>IF(Master[[#This Row],[Inventory Type - Lookup Picker]]="","",Master[[#This Row],[Inventory Type - Lookup Picker]])</f>
        <v>SD</v>
      </c>
      <c r="I108" t="str">
        <f>IF(Master[[#This Row],[Cooperator (Collector) 1 -full record]]="","",Master[[#This Row],[Cooperator (Collector) 1 -full record]])</f>
        <v/>
      </c>
    </row>
    <row r="109" spans="2:9" x14ac:dyDescent="0.25">
      <c r="B109" s="45" t="str">
        <f>Master[[#This Row],[Inventory Prefix]]&amp;" "&amp;Master[[#This Row],[Inventory Number]]&amp;" "&amp;Master[[#This Row],[Inventory Suffix]]&amp;" "&amp;Master[[#This Row],[Inventory Type - Lookup Picker]]</f>
        <v>W6   SD</v>
      </c>
      <c r="C109" t="str">
        <f t="shared" si="7"/>
        <v>Collected</v>
      </c>
      <c r="D109" t="str">
        <f t="shared" si="6"/>
        <v>mm/dd/yyyy</v>
      </c>
      <c r="E109" s="77">
        <f>IF(Master[[#This Row],[Date Collected or Developed]]="","",Master[[#This Row],[Date Collected or Developed]])</f>
        <v>44026</v>
      </c>
      <c r="F109" s="17" t="str">
        <f>IF(Master[[#This Row],[Quantity On Hand]]="","",Master[[#This Row],[Quantity On Hand]])</f>
        <v/>
      </c>
      <c r="G109" s="17" t="str">
        <f>IF(Master[[#This Row],[Quantity On Hand Units -''count'' or ''packet'']]="count","count",IF(Master[[#This Row],[Quantity On Hand Units -''count'' or ''packet'']]="packet","packet",""))</f>
        <v/>
      </c>
      <c r="H109" s="45" t="str">
        <f>IF(Master[[#This Row],[Inventory Type - Lookup Picker]]="","",Master[[#This Row],[Inventory Type - Lookup Picker]])</f>
        <v>SD</v>
      </c>
      <c r="I109" t="str">
        <f>IF(Master[[#This Row],[Cooperator (Collector) 1 -full record]]="","",Master[[#This Row],[Cooperator (Collector) 1 -full record]])</f>
        <v/>
      </c>
    </row>
    <row r="110" spans="2:9" x14ac:dyDescent="0.25">
      <c r="B110" s="45" t="str">
        <f>Master[[#This Row],[Inventory Prefix]]&amp;" "&amp;Master[[#This Row],[Inventory Number]]&amp;" "&amp;Master[[#This Row],[Inventory Suffix]]&amp;" "&amp;Master[[#This Row],[Inventory Type - Lookup Picker]]</f>
        <v>W6   SD</v>
      </c>
      <c r="C110" t="str">
        <f t="shared" si="7"/>
        <v>Collected</v>
      </c>
      <c r="D110" t="str">
        <f t="shared" si="6"/>
        <v>mm/dd/yyyy</v>
      </c>
      <c r="E110" s="77">
        <f>IF(Master[[#This Row],[Date Collected or Developed]]="","",Master[[#This Row],[Date Collected or Developed]])</f>
        <v>44027</v>
      </c>
      <c r="F110" s="17" t="str">
        <f>IF(Master[[#This Row],[Quantity On Hand]]="","",Master[[#This Row],[Quantity On Hand]])</f>
        <v/>
      </c>
      <c r="G110" s="17" t="str">
        <f>IF(Master[[#This Row],[Quantity On Hand Units -''count'' or ''packet'']]="count","count",IF(Master[[#This Row],[Quantity On Hand Units -''count'' or ''packet'']]="packet","packet",""))</f>
        <v/>
      </c>
      <c r="H110" s="45" t="str">
        <f>IF(Master[[#This Row],[Inventory Type - Lookup Picker]]="","",Master[[#This Row],[Inventory Type - Lookup Picker]])</f>
        <v>SD</v>
      </c>
      <c r="I110" t="str">
        <f>IF(Master[[#This Row],[Cooperator (Collector) 1 -full record]]="","",Master[[#This Row],[Cooperator (Collector) 1 -full record]])</f>
        <v/>
      </c>
    </row>
    <row r="111" spans="2:9" x14ac:dyDescent="0.25">
      <c r="B111" s="45" t="str">
        <f>Master[[#This Row],[Inventory Prefix]]&amp;" "&amp;Master[[#This Row],[Inventory Number]]&amp;" "&amp;Master[[#This Row],[Inventory Suffix]]&amp;" "&amp;Master[[#This Row],[Inventory Type - Lookup Picker]]</f>
        <v>W6   SD</v>
      </c>
      <c r="C111" t="str">
        <f t="shared" si="7"/>
        <v>Collected</v>
      </c>
      <c r="D111" t="str">
        <f t="shared" si="6"/>
        <v>mm/dd/yyyy</v>
      </c>
      <c r="E111" s="77">
        <f>IF(Master[[#This Row],[Date Collected or Developed]]="","",Master[[#This Row],[Date Collected or Developed]])</f>
        <v>44027</v>
      </c>
      <c r="F111" s="17" t="str">
        <f>IF(Master[[#This Row],[Quantity On Hand]]="","",Master[[#This Row],[Quantity On Hand]])</f>
        <v/>
      </c>
      <c r="G111" s="17" t="str">
        <f>IF(Master[[#This Row],[Quantity On Hand Units -''count'' or ''packet'']]="count","count",IF(Master[[#This Row],[Quantity On Hand Units -''count'' or ''packet'']]="packet","packet",""))</f>
        <v/>
      </c>
      <c r="H111" s="45" t="str">
        <f>IF(Master[[#This Row],[Inventory Type - Lookup Picker]]="","",Master[[#This Row],[Inventory Type - Lookup Picker]])</f>
        <v>SD</v>
      </c>
      <c r="I111" t="str">
        <f>IF(Master[[#This Row],[Cooperator (Collector) 1 -full record]]="","",Master[[#This Row],[Cooperator (Collector) 1 -full record]])</f>
        <v/>
      </c>
    </row>
    <row r="112" spans="2:9" x14ac:dyDescent="0.25">
      <c r="B112" s="45" t="str">
        <f>Master[[#This Row],[Inventory Prefix]]&amp;" "&amp;Master[[#This Row],[Inventory Number]]&amp;" "&amp;Master[[#This Row],[Inventory Suffix]]&amp;" "&amp;Master[[#This Row],[Inventory Type - Lookup Picker]]</f>
        <v>W6   SD</v>
      </c>
      <c r="C112" t="str">
        <f t="shared" si="7"/>
        <v>Collected</v>
      </c>
      <c r="D112" t="str">
        <f t="shared" si="6"/>
        <v>mm/dd/yyyy</v>
      </c>
      <c r="E112" s="77">
        <f>IF(Master[[#This Row],[Date Collected or Developed]]="","",Master[[#This Row],[Date Collected or Developed]])</f>
        <v>44028</v>
      </c>
      <c r="F112" s="17" t="str">
        <f>IF(Master[[#This Row],[Quantity On Hand]]="","",Master[[#This Row],[Quantity On Hand]])</f>
        <v/>
      </c>
      <c r="G112" s="17" t="str">
        <f>IF(Master[[#This Row],[Quantity On Hand Units -''count'' or ''packet'']]="count","count",IF(Master[[#This Row],[Quantity On Hand Units -''count'' or ''packet'']]="packet","packet",""))</f>
        <v/>
      </c>
      <c r="H112" s="45" t="str">
        <f>IF(Master[[#This Row],[Inventory Type - Lookup Picker]]="","",Master[[#This Row],[Inventory Type - Lookup Picker]])</f>
        <v>SD</v>
      </c>
      <c r="I112" t="str">
        <f>IF(Master[[#This Row],[Cooperator (Collector) 1 -full record]]="","",Master[[#This Row],[Cooperator (Collector) 1 -full record]])</f>
        <v/>
      </c>
    </row>
    <row r="113" spans="2:9" x14ac:dyDescent="0.25">
      <c r="B113" s="45" t="str">
        <f>Master[[#This Row],[Inventory Prefix]]&amp;" "&amp;Master[[#This Row],[Inventory Number]]&amp;" "&amp;Master[[#This Row],[Inventory Suffix]]&amp;" "&amp;Master[[#This Row],[Inventory Type - Lookup Picker]]</f>
        <v>W6   SD</v>
      </c>
      <c r="C113" t="str">
        <f t="shared" si="7"/>
        <v>Collected</v>
      </c>
      <c r="D113" t="str">
        <f t="shared" si="6"/>
        <v>mm/dd/yyyy</v>
      </c>
      <c r="E113" s="77">
        <f>IF(Master[[#This Row],[Date Collected or Developed]]="","",Master[[#This Row],[Date Collected or Developed]])</f>
        <v>44039</v>
      </c>
      <c r="F113" s="17" t="str">
        <f>IF(Master[[#This Row],[Quantity On Hand]]="","",Master[[#This Row],[Quantity On Hand]])</f>
        <v/>
      </c>
      <c r="G113" s="17" t="str">
        <f>IF(Master[[#This Row],[Quantity On Hand Units -''count'' or ''packet'']]="count","count",IF(Master[[#This Row],[Quantity On Hand Units -''count'' or ''packet'']]="packet","packet",""))</f>
        <v/>
      </c>
      <c r="H113" s="45" t="str">
        <f>IF(Master[[#This Row],[Inventory Type - Lookup Picker]]="","",Master[[#This Row],[Inventory Type - Lookup Picker]])</f>
        <v>SD</v>
      </c>
      <c r="I113" t="str">
        <f>IF(Master[[#This Row],[Cooperator (Collector) 1 -full record]]="","",Master[[#This Row],[Cooperator (Collector) 1 -full record]])</f>
        <v/>
      </c>
    </row>
    <row r="114" spans="2:9" x14ac:dyDescent="0.25">
      <c r="B114" s="45" t="str">
        <f>Master[[#This Row],[Inventory Prefix]]&amp;" "&amp;Master[[#This Row],[Inventory Number]]&amp;" "&amp;Master[[#This Row],[Inventory Suffix]]&amp;" "&amp;Master[[#This Row],[Inventory Type - Lookup Picker]]</f>
        <v>W6   SD</v>
      </c>
      <c r="C114" t="str">
        <f t="shared" si="7"/>
        <v>Collected</v>
      </c>
      <c r="D114" t="str">
        <f t="shared" si="6"/>
        <v>mm/dd/yyyy</v>
      </c>
      <c r="E114" s="77">
        <f>IF(Master[[#This Row],[Date Collected or Developed]]="","",Master[[#This Row],[Date Collected or Developed]])</f>
        <v>44046</v>
      </c>
      <c r="F114" s="17" t="str">
        <f>IF(Master[[#This Row],[Quantity On Hand]]="","",Master[[#This Row],[Quantity On Hand]])</f>
        <v/>
      </c>
      <c r="G114" s="17" t="str">
        <f>IF(Master[[#This Row],[Quantity On Hand Units -''count'' or ''packet'']]="count","count",IF(Master[[#This Row],[Quantity On Hand Units -''count'' or ''packet'']]="packet","packet",""))</f>
        <v/>
      </c>
      <c r="H114" s="45" t="str">
        <f>IF(Master[[#This Row],[Inventory Type - Lookup Picker]]="","",Master[[#This Row],[Inventory Type - Lookup Picker]])</f>
        <v>SD</v>
      </c>
      <c r="I114" t="str">
        <f>IF(Master[[#This Row],[Cooperator (Collector) 1 -full record]]="","",Master[[#This Row],[Cooperator (Collector) 1 -full record]])</f>
        <v/>
      </c>
    </row>
    <row r="115" spans="2:9" x14ac:dyDescent="0.25">
      <c r="B115" s="45" t="str">
        <f>Master[[#This Row],[Inventory Prefix]]&amp;" "&amp;Master[[#This Row],[Inventory Number]]&amp;" "&amp;Master[[#This Row],[Inventory Suffix]]&amp;" "&amp;Master[[#This Row],[Inventory Type - Lookup Picker]]</f>
        <v>W6   SD</v>
      </c>
      <c r="C115" t="str">
        <f t="shared" si="7"/>
        <v>Collected</v>
      </c>
      <c r="D115" t="str">
        <f t="shared" si="6"/>
        <v>mm/dd/yyyy</v>
      </c>
      <c r="E115" s="77">
        <f>IF(Master[[#This Row],[Date Collected or Developed]]="","",Master[[#This Row],[Date Collected or Developed]])</f>
        <v>44048</v>
      </c>
      <c r="F115" s="17" t="str">
        <f>IF(Master[[#This Row],[Quantity On Hand]]="","",Master[[#This Row],[Quantity On Hand]])</f>
        <v/>
      </c>
      <c r="G115" s="17" t="str">
        <f>IF(Master[[#This Row],[Quantity On Hand Units -''count'' or ''packet'']]="count","count",IF(Master[[#This Row],[Quantity On Hand Units -''count'' or ''packet'']]="packet","packet",""))</f>
        <v/>
      </c>
      <c r="H115" s="45" t="str">
        <f>IF(Master[[#This Row],[Inventory Type - Lookup Picker]]="","",Master[[#This Row],[Inventory Type - Lookup Picker]])</f>
        <v>SD</v>
      </c>
      <c r="I115" t="str">
        <f>IF(Master[[#This Row],[Cooperator (Collector) 1 -full record]]="","",Master[[#This Row],[Cooperator (Collector) 1 -full record]])</f>
        <v/>
      </c>
    </row>
    <row r="116" spans="2:9" x14ac:dyDescent="0.25">
      <c r="B116" s="45" t="str">
        <f>Master[[#This Row],[Inventory Prefix]]&amp;" "&amp;Master[[#This Row],[Inventory Number]]&amp;" "&amp;Master[[#This Row],[Inventory Suffix]]&amp;" "&amp;Master[[#This Row],[Inventory Type - Lookup Picker]]</f>
        <v>W6   SD</v>
      </c>
      <c r="C116" t="str">
        <f t="shared" si="7"/>
        <v>Collected</v>
      </c>
      <c r="D116" t="str">
        <f t="shared" si="6"/>
        <v>mm/dd/yyyy</v>
      </c>
      <c r="E116" s="77">
        <f>IF(Master[[#This Row],[Date Collected or Developed]]="","",Master[[#This Row],[Date Collected or Developed]])</f>
        <v>44048</v>
      </c>
      <c r="F116" s="17" t="str">
        <f>IF(Master[[#This Row],[Quantity On Hand]]="","",Master[[#This Row],[Quantity On Hand]])</f>
        <v/>
      </c>
      <c r="G116" s="17" t="str">
        <f>IF(Master[[#This Row],[Quantity On Hand Units -''count'' or ''packet'']]="count","count",IF(Master[[#This Row],[Quantity On Hand Units -''count'' or ''packet'']]="packet","packet",""))</f>
        <v/>
      </c>
      <c r="H116" s="45" t="str">
        <f>IF(Master[[#This Row],[Inventory Type - Lookup Picker]]="","",Master[[#This Row],[Inventory Type - Lookup Picker]])</f>
        <v>SD</v>
      </c>
      <c r="I116" t="str">
        <f>IF(Master[[#This Row],[Cooperator (Collector) 1 -full record]]="","",Master[[#This Row],[Cooperator (Collector) 1 -full record]])</f>
        <v/>
      </c>
    </row>
    <row r="117" spans="2:9" x14ac:dyDescent="0.25">
      <c r="B117" s="45" t="str">
        <f>Master[[#This Row],[Inventory Prefix]]&amp;" "&amp;Master[[#This Row],[Inventory Number]]&amp;" "&amp;Master[[#This Row],[Inventory Suffix]]&amp;" "&amp;Master[[#This Row],[Inventory Type - Lookup Picker]]</f>
        <v>W6   SD</v>
      </c>
      <c r="C117" t="str">
        <f t="shared" si="7"/>
        <v>Collected</v>
      </c>
      <c r="D117" t="str">
        <f t="shared" si="6"/>
        <v>mm/dd/yyyy</v>
      </c>
      <c r="E117" s="77">
        <f>IF(Master[[#This Row],[Date Collected or Developed]]="","",Master[[#This Row],[Date Collected or Developed]])</f>
        <v>44049</v>
      </c>
      <c r="F117" s="17" t="str">
        <f>IF(Master[[#This Row],[Quantity On Hand]]="","",Master[[#This Row],[Quantity On Hand]])</f>
        <v/>
      </c>
      <c r="G117" s="17" t="str">
        <f>IF(Master[[#This Row],[Quantity On Hand Units -''count'' or ''packet'']]="count","count",IF(Master[[#This Row],[Quantity On Hand Units -''count'' or ''packet'']]="packet","packet",""))</f>
        <v/>
      </c>
      <c r="H117" s="45" t="str">
        <f>IF(Master[[#This Row],[Inventory Type - Lookup Picker]]="","",Master[[#This Row],[Inventory Type - Lookup Picker]])</f>
        <v>SD</v>
      </c>
      <c r="I117" t="str">
        <f>IF(Master[[#This Row],[Cooperator (Collector) 1 -full record]]="","",Master[[#This Row],[Cooperator (Collector) 1 -full record]])</f>
        <v/>
      </c>
    </row>
    <row r="118" spans="2:9" x14ac:dyDescent="0.25">
      <c r="B118" s="45" t="str">
        <f>Master[[#This Row],[Inventory Prefix]]&amp;" "&amp;Master[[#This Row],[Inventory Number]]&amp;" "&amp;Master[[#This Row],[Inventory Suffix]]&amp;" "&amp;Master[[#This Row],[Inventory Type - Lookup Picker]]</f>
        <v>W6   SD</v>
      </c>
      <c r="C118" t="str">
        <f t="shared" si="7"/>
        <v>Collected</v>
      </c>
      <c r="D118" t="str">
        <f t="shared" ref="D118:D149" si="8">"mm/dd/yyyy"</f>
        <v>mm/dd/yyyy</v>
      </c>
      <c r="E118" s="77">
        <f>IF(Master[[#This Row],[Date Collected or Developed]]="","",Master[[#This Row],[Date Collected or Developed]])</f>
        <v>44053</v>
      </c>
      <c r="F118" s="17" t="str">
        <f>IF(Master[[#This Row],[Quantity On Hand]]="","",Master[[#This Row],[Quantity On Hand]])</f>
        <v/>
      </c>
      <c r="G118" s="17" t="str">
        <f>IF(Master[[#This Row],[Quantity On Hand Units -''count'' or ''packet'']]="count","count",IF(Master[[#This Row],[Quantity On Hand Units -''count'' or ''packet'']]="packet","packet",""))</f>
        <v/>
      </c>
      <c r="H118" s="45" t="str">
        <f>IF(Master[[#This Row],[Inventory Type - Lookup Picker]]="","",Master[[#This Row],[Inventory Type - Lookup Picker]])</f>
        <v>SD</v>
      </c>
      <c r="I118" t="str">
        <f>IF(Master[[#This Row],[Cooperator (Collector) 1 -full record]]="","",Master[[#This Row],[Cooperator (Collector) 1 -full record]])</f>
        <v/>
      </c>
    </row>
    <row r="119" spans="2:9" x14ac:dyDescent="0.25">
      <c r="B119" s="45" t="str">
        <f>Master[[#This Row],[Inventory Prefix]]&amp;" "&amp;Master[[#This Row],[Inventory Number]]&amp;" "&amp;Master[[#This Row],[Inventory Suffix]]&amp;" "&amp;Master[[#This Row],[Inventory Type - Lookup Picker]]</f>
        <v>W6   SD</v>
      </c>
      <c r="C119" t="str">
        <f t="shared" si="7"/>
        <v>Collected</v>
      </c>
      <c r="D119" t="str">
        <f t="shared" si="8"/>
        <v>mm/dd/yyyy</v>
      </c>
      <c r="E119" s="77">
        <f>IF(Master[[#This Row],[Date Collected or Developed]]="","",Master[[#This Row],[Date Collected or Developed]])</f>
        <v>44056</v>
      </c>
      <c r="F119" s="17" t="str">
        <f>IF(Master[[#This Row],[Quantity On Hand]]="","",Master[[#This Row],[Quantity On Hand]])</f>
        <v/>
      </c>
      <c r="G119" s="17" t="str">
        <f>IF(Master[[#This Row],[Quantity On Hand Units -''count'' or ''packet'']]="count","count",IF(Master[[#This Row],[Quantity On Hand Units -''count'' or ''packet'']]="packet","packet",""))</f>
        <v/>
      </c>
      <c r="H119" s="45" t="str">
        <f>IF(Master[[#This Row],[Inventory Type - Lookup Picker]]="","",Master[[#This Row],[Inventory Type - Lookup Picker]])</f>
        <v>SD</v>
      </c>
      <c r="I119" t="str">
        <f>IF(Master[[#This Row],[Cooperator (Collector) 1 -full record]]="","",Master[[#This Row],[Cooperator (Collector) 1 -full record]])</f>
        <v/>
      </c>
    </row>
    <row r="120" spans="2:9" x14ac:dyDescent="0.25">
      <c r="B120" s="45" t="str">
        <f>Master[[#This Row],[Inventory Prefix]]&amp;" "&amp;Master[[#This Row],[Inventory Number]]&amp;" "&amp;Master[[#This Row],[Inventory Suffix]]&amp;" "&amp;Master[[#This Row],[Inventory Type - Lookup Picker]]</f>
        <v>W6   SD</v>
      </c>
      <c r="C120" t="str">
        <f t="shared" si="7"/>
        <v>Collected</v>
      </c>
      <c r="D120" t="str">
        <f t="shared" si="8"/>
        <v>mm/dd/yyyy</v>
      </c>
      <c r="E120" s="77">
        <f>IF(Master[[#This Row],[Date Collected or Developed]]="","",Master[[#This Row],[Date Collected or Developed]])</f>
        <v>44060</v>
      </c>
      <c r="F120" s="17" t="str">
        <f>IF(Master[[#This Row],[Quantity On Hand]]="","",Master[[#This Row],[Quantity On Hand]])</f>
        <v/>
      </c>
      <c r="G120" s="17" t="str">
        <f>IF(Master[[#This Row],[Quantity On Hand Units -''count'' or ''packet'']]="count","count",IF(Master[[#This Row],[Quantity On Hand Units -''count'' or ''packet'']]="packet","packet",""))</f>
        <v/>
      </c>
      <c r="H120" s="45" t="str">
        <f>IF(Master[[#This Row],[Inventory Type - Lookup Picker]]="","",Master[[#This Row],[Inventory Type - Lookup Picker]])</f>
        <v>SD</v>
      </c>
      <c r="I120" t="str">
        <f>IF(Master[[#This Row],[Cooperator (Collector) 1 -full record]]="","",Master[[#This Row],[Cooperator (Collector) 1 -full record]])</f>
        <v/>
      </c>
    </row>
    <row r="121" spans="2:9" x14ac:dyDescent="0.25">
      <c r="B121" s="45" t="str">
        <f>Master[[#This Row],[Inventory Prefix]]&amp;" "&amp;Master[[#This Row],[Inventory Number]]&amp;" "&amp;Master[[#This Row],[Inventory Suffix]]&amp;" "&amp;Master[[#This Row],[Inventory Type - Lookup Picker]]</f>
        <v>W6   SD</v>
      </c>
      <c r="C121" t="str">
        <f t="shared" si="7"/>
        <v>Collected</v>
      </c>
      <c r="D121" t="str">
        <f t="shared" si="8"/>
        <v>mm/dd/yyyy</v>
      </c>
      <c r="E121" s="77">
        <f>IF(Master[[#This Row],[Date Collected or Developed]]="","",Master[[#This Row],[Date Collected or Developed]])</f>
        <v>44060</v>
      </c>
      <c r="F121" s="17" t="str">
        <f>IF(Master[[#This Row],[Quantity On Hand]]="","",Master[[#This Row],[Quantity On Hand]])</f>
        <v/>
      </c>
      <c r="G121" s="17" t="str">
        <f>IF(Master[[#This Row],[Quantity On Hand Units -''count'' or ''packet'']]="count","count",IF(Master[[#This Row],[Quantity On Hand Units -''count'' or ''packet'']]="packet","packet",""))</f>
        <v/>
      </c>
      <c r="H121" s="45" t="str">
        <f>IF(Master[[#This Row],[Inventory Type - Lookup Picker]]="","",Master[[#This Row],[Inventory Type - Lookup Picker]])</f>
        <v>SD</v>
      </c>
      <c r="I121" t="str">
        <f>IF(Master[[#This Row],[Cooperator (Collector) 1 -full record]]="","",Master[[#This Row],[Cooperator (Collector) 1 -full record]])</f>
        <v/>
      </c>
    </row>
    <row r="122" spans="2:9" x14ac:dyDescent="0.25">
      <c r="B122" s="45" t="str">
        <f>Master[[#This Row],[Inventory Prefix]]&amp;" "&amp;Master[[#This Row],[Inventory Number]]&amp;" "&amp;Master[[#This Row],[Inventory Suffix]]&amp;" "&amp;Master[[#This Row],[Inventory Type - Lookup Picker]]</f>
        <v>W6   SD</v>
      </c>
      <c r="C122" t="str">
        <f t="shared" si="7"/>
        <v>Collected</v>
      </c>
      <c r="D122" t="str">
        <f t="shared" si="8"/>
        <v>mm/dd/yyyy</v>
      </c>
      <c r="E122" s="77">
        <f>IF(Master[[#This Row],[Date Collected or Developed]]="","",Master[[#This Row],[Date Collected or Developed]])</f>
        <v>44061</v>
      </c>
      <c r="F122" s="17" t="str">
        <f>IF(Master[[#This Row],[Quantity On Hand]]="","",Master[[#This Row],[Quantity On Hand]])</f>
        <v/>
      </c>
      <c r="G122" s="17" t="str">
        <f>IF(Master[[#This Row],[Quantity On Hand Units -''count'' or ''packet'']]="count","count",IF(Master[[#This Row],[Quantity On Hand Units -''count'' or ''packet'']]="packet","packet",""))</f>
        <v/>
      </c>
      <c r="H122" s="45" t="str">
        <f>IF(Master[[#This Row],[Inventory Type - Lookup Picker]]="","",Master[[#This Row],[Inventory Type - Lookup Picker]])</f>
        <v>SD</v>
      </c>
      <c r="I122" t="str">
        <f>IF(Master[[#This Row],[Cooperator (Collector) 1 -full record]]="","",Master[[#This Row],[Cooperator (Collector) 1 -full record]])</f>
        <v/>
      </c>
    </row>
    <row r="123" spans="2:9" x14ac:dyDescent="0.25">
      <c r="B123" s="45" t="str">
        <f>Master[[#This Row],[Inventory Prefix]]&amp;" "&amp;Master[[#This Row],[Inventory Number]]&amp;" "&amp;Master[[#This Row],[Inventory Suffix]]&amp;" "&amp;Master[[#This Row],[Inventory Type - Lookup Picker]]</f>
        <v>W6   SD</v>
      </c>
      <c r="C123" t="str">
        <f t="shared" si="7"/>
        <v>Collected</v>
      </c>
      <c r="D123" t="str">
        <f t="shared" si="8"/>
        <v>mm/dd/yyyy</v>
      </c>
      <c r="E123" s="77">
        <f>IF(Master[[#This Row],[Date Collected or Developed]]="","",Master[[#This Row],[Date Collected or Developed]])</f>
        <v>44062</v>
      </c>
      <c r="F123" s="17" t="str">
        <f>IF(Master[[#This Row],[Quantity On Hand]]="","",Master[[#This Row],[Quantity On Hand]])</f>
        <v/>
      </c>
      <c r="G123" s="17" t="str">
        <f>IF(Master[[#This Row],[Quantity On Hand Units -''count'' or ''packet'']]="count","count",IF(Master[[#This Row],[Quantity On Hand Units -''count'' or ''packet'']]="packet","packet",""))</f>
        <v/>
      </c>
      <c r="H123" s="45" t="str">
        <f>IF(Master[[#This Row],[Inventory Type - Lookup Picker]]="","",Master[[#This Row],[Inventory Type - Lookup Picker]])</f>
        <v>SD</v>
      </c>
      <c r="I123" t="str">
        <f>IF(Master[[#This Row],[Cooperator (Collector) 1 -full record]]="","",Master[[#This Row],[Cooperator (Collector) 1 -full record]])</f>
        <v/>
      </c>
    </row>
    <row r="124" spans="2:9" x14ac:dyDescent="0.25">
      <c r="B124" s="45" t="str">
        <f>Master[[#This Row],[Inventory Prefix]]&amp;" "&amp;Master[[#This Row],[Inventory Number]]&amp;" "&amp;Master[[#This Row],[Inventory Suffix]]&amp;" "&amp;Master[[#This Row],[Inventory Type - Lookup Picker]]</f>
        <v>W6   SD</v>
      </c>
      <c r="C124" t="str">
        <f t="shared" si="7"/>
        <v>Collected</v>
      </c>
      <c r="D124" t="str">
        <f t="shared" si="8"/>
        <v>mm/dd/yyyy</v>
      </c>
      <c r="E124" s="77">
        <f>IF(Master[[#This Row],[Date Collected or Developed]]="","",Master[[#This Row],[Date Collected or Developed]])</f>
        <v>44067</v>
      </c>
      <c r="F124" s="17" t="str">
        <f>IF(Master[[#This Row],[Quantity On Hand]]="","",Master[[#This Row],[Quantity On Hand]])</f>
        <v/>
      </c>
      <c r="G124" s="17" t="str">
        <f>IF(Master[[#This Row],[Quantity On Hand Units -''count'' or ''packet'']]="count","count",IF(Master[[#This Row],[Quantity On Hand Units -''count'' or ''packet'']]="packet","packet",""))</f>
        <v/>
      </c>
      <c r="H124" s="45" t="str">
        <f>IF(Master[[#This Row],[Inventory Type - Lookup Picker]]="","",Master[[#This Row],[Inventory Type - Lookup Picker]])</f>
        <v>SD</v>
      </c>
      <c r="I124" t="str">
        <f>IF(Master[[#This Row],[Cooperator (Collector) 1 -full record]]="","",Master[[#This Row],[Cooperator (Collector) 1 -full record]])</f>
        <v/>
      </c>
    </row>
    <row r="125" spans="2:9" x14ac:dyDescent="0.25">
      <c r="B125" s="45" t="str">
        <f>Master[[#This Row],[Inventory Prefix]]&amp;" "&amp;Master[[#This Row],[Inventory Number]]&amp;" "&amp;Master[[#This Row],[Inventory Suffix]]&amp;" "&amp;Master[[#This Row],[Inventory Type - Lookup Picker]]</f>
        <v>W6   SD</v>
      </c>
      <c r="C125" t="str">
        <f t="shared" si="7"/>
        <v>Collected</v>
      </c>
      <c r="D125" t="str">
        <f t="shared" si="8"/>
        <v>mm/dd/yyyy</v>
      </c>
      <c r="E125" s="77">
        <f>IF(Master[[#This Row],[Date Collected or Developed]]="","",Master[[#This Row],[Date Collected or Developed]])</f>
        <v>44070</v>
      </c>
      <c r="F125" s="17" t="str">
        <f>IF(Master[[#This Row],[Quantity On Hand]]="","",Master[[#This Row],[Quantity On Hand]])</f>
        <v/>
      </c>
      <c r="G125" s="17" t="str">
        <f>IF(Master[[#This Row],[Quantity On Hand Units -''count'' or ''packet'']]="count","count",IF(Master[[#This Row],[Quantity On Hand Units -''count'' or ''packet'']]="packet","packet",""))</f>
        <v/>
      </c>
      <c r="H125" s="45" t="str">
        <f>IF(Master[[#This Row],[Inventory Type - Lookup Picker]]="","",Master[[#This Row],[Inventory Type - Lookup Picker]])</f>
        <v>SD</v>
      </c>
      <c r="I125" t="str">
        <f>IF(Master[[#This Row],[Cooperator (Collector) 1 -full record]]="","",Master[[#This Row],[Cooperator (Collector) 1 -full record]])</f>
        <v/>
      </c>
    </row>
    <row r="126" spans="2:9" x14ac:dyDescent="0.25">
      <c r="B126" s="45" t="str">
        <f>Master[[#This Row],[Inventory Prefix]]&amp;" "&amp;Master[[#This Row],[Inventory Number]]&amp;" "&amp;Master[[#This Row],[Inventory Suffix]]&amp;" "&amp;Master[[#This Row],[Inventory Type - Lookup Picker]]</f>
        <v>W6   SD</v>
      </c>
      <c r="C126" t="str">
        <f t="shared" si="7"/>
        <v>Collected</v>
      </c>
      <c r="D126" t="str">
        <f t="shared" si="8"/>
        <v>mm/dd/yyyy</v>
      </c>
      <c r="E126" s="77">
        <f>IF(Master[[#This Row],[Date Collected or Developed]]="","",Master[[#This Row],[Date Collected or Developed]])</f>
        <v>44075</v>
      </c>
      <c r="F126" s="17" t="str">
        <f>IF(Master[[#This Row],[Quantity On Hand]]="","",Master[[#This Row],[Quantity On Hand]])</f>
        <v/>
      </c>
      <c r="G126" s="17" t="str">
        <f>IF(Master[[#This Row],[Quantity On Hand Units -''count'' or ''packet'']]="count","count",IF(Master[[#This Row],[Quantity On Hand Units -''count'' or ''packet'']]="packet","packet",""))</f>
        <v/>
      </c>
      <c r="H126" s="45" t="str">
        <f>IF(Master[[#This Row],[Inventory Type - Lookup Picker]]="","",Master[[#This Row],[Inventory Type - Lookup Picker]])</f>
        <v>SD</v>
      </c>
      <c r="I126" t="str">
        <f>IF(Master[[#This Row],[Cooperator (Collector) 1 -full record]]="","",Master[[#This Row],[Cooperator (Collector) 1 -full record]])</f>
        <v/>
      </c>
    </row>
    <row r="127" spans="2:9" x14ac:dyDescent="0.25">
      <c r="B127" s="45" t="str">
        <f>Master[[#This Row],[Inventory Prefix]]&amp;" "&amp;Master[[#This Row],[Inventory Number]]&amp;" "&amp;Master[[#This Row],[Inventory Suffix]]&amp;" "&amp;Master[[#This Row],[Inventory Type - Lookup Picker]]</f>
        <v>W6   SD</v>
      </c>
      <c r="C127" t="str">
        <f t="shared" si="7"/>
        <v>Collected</v>
      </c>
      <c r="D127" t="str">
        <f t="shared" si="8"/>
        <v>mm/dd/yyyy</v>
      </c>
      <c r="E127" s="77">
        <f>IF(Master[[#This Row],[Date Collected or Developed]]="","",Master[[#This Row],[Date Collected or Developed]])</f>
        <v>44046</v>
      </c>
      <c r="F127" s="17" t="str">
        <f>IF(Master[[#This Row],[Quantity On Hand]]="","",Master[[#This Row],[Quantity On Hand]])</f>
        <v/>
      </c>
      <c r="G127" s="17" t="str">
        <f>IF(Master[[#This Row],[Quantity On Hand Units -''count'' or ''packet'']]="count","count",IF(Master[[#This Row],[Quantity On Hand Units -''count'' or ''packet'']]="packet","packet",""))</f>
        <v/>
      </c>
      <c r="H127" s="45" t="str">
        <f>IF(Master[[#This Row],[Inventory Type - Lookup Picker]]="","",Master[[#This Row],[Inventory Type - Lookup Picker]])</f>
        <v>SD</v>
      </c>
      <c r="I127" t="str">
        <f>IF(Master[[#This Row],[Cooperator (Collector) 1 -full record]]="","",Master[[#This Row],[Cooperator (Collector) 1 -full record]])</f>
        <v/>
      </c>
    </row>
    <row r="128" spans="2:9" x14ac:dyDescent="0.25">
      <c r="B128" s="45" t="str">
        <f>Master[[#This Row],[Inventory Prefix]]&amp;" "&amp;Master[[#This Row],[Inventory Number]]&amp;" "&amp;Master[[#This Row],[Inventory Suffix]]&amp;" "&amp;Master[[#This Row],[Inventory Type - Lookup Picker]]</f>
        <v>W6   SD</v>
      </c>
      <c r="C128" t="str">
        <f t="shared" si="7"/>
        <v>Collected</v>
      </c>
      <c r="D128" t="str">
        <f t="shared" si="8"/>
        <v>mm/dd/yyyy</v>
      </c>
      <c r="E128" s="77">
        <f>IF(Master[[#This Row],[Date Collected or Developed]]="","",Master[[#This Row],[Date Collected or Developed]])</f>
        <v>44048</v>
      </c>
      <c r="F128" s="17" t="str">
        <f>IF(Master[[#This Row],[Quantity On Hand]]="","",Master[[#This Row],[Quantity On Hand]])</f>
        <v/>
      </c>
      <c r="G128" s="17" t="str">
        <f>IF(Master[[#This Row],[Quantity On Hand Units -''count'' or ''packet'']]="count","count",IF(Master[[#This Row],[Quantity On Hand Units -''count'' or ''packet'']]="packet","packet",""))</f>
        <v/>
      </c>
      <c r="H128" s="45" t="str">
        <f>IF(Master[[#This Row],[Inventory Type - Lookup Picker]]="","",Master[[#This Row],[Inventory Type - Lookup Picker]])</f>
        <v>SD</v>
      </c>
      <c r="I128" t="str">
        <f>IF(Master[[#This Row],[Cooperator (Collector) 1 -full record]]="","",Master[[#This Row],[Cooperator (Collector) 1 -full record]])</f>
        <v/>
      </c>
    </row>
    <row r="129" spans="2:9" x14ac:dyDescent="0.25">
      <c r="B129" s="45" t="str">
        <f>Master[[#This Row],[Inventory Prefix]]&amp;" "&amp;Master[[#This Row],[Inventory Number]]&amp;" "&amp;Master[[#This Row],[Inventory Suffix]]&amp;" "&amp;Master[[#This Row],[Inventory Type - Lookup Picker]]</f>
        <v>W6   SD</v>
      </c>
      <c r="C129" t="str">
        <f t="shared" si="7"/>
        <v>Collected</v>
      </c>
      <c r="D129" t="str">
        <f t="shared" si="8"/>
        <v>mm/dd/yyyy</v>
      </c>
      <c r="E129" s="77">
        <f>IF(Master[[#This Row],[Date Collected or Developed]]="","",Master[[#This Row],[Date Collected or Developed]])</f>
        <v>44055</v>
      </c>
      <c r="F129" s="17" t="str">
        <f>IF(Master[[#This Row],[Quantity On Hand]]="","",Master[[#This Row],[Quantity On Hand]])</f>
        <v/>
      </c>
      <c r="G129" s="17" t="str">
        <f>IF(Master[[#This Row],[Quantity On Hand Units -''count'' or ''packet'']]="count","count",IF(Master[[#This Row],[Quantity On Hand Units -''count'' or ''packet'']]="packet","packet",""))</f>
        <v/>
      </c>
      <c r="H129" s="45" t="str">
        <f>IF(Master[[#This Row],[Inventory Type - Lookup Picker]]="","",Master[[#This Row],[Inventory Type - Lookup Picker]])</f>
        <v>SD</v>
      </c>
      <c r="I129" t="str">
        <f>IF(Master[[#This Row],[Cooperator (Collector) 1 -full record]]="","",Master[[#This Row],[Cooperator (Collector) 1 -full record]])</f>
        <v/>
      </c>
    </row>
    <row r="130" spans="2:9" x14ac:dyDescent="0.25">
      <c r="B130" s="45" t="str">
        <f>Master[[#This Row],[Inventory Prefix]]&amp;" "&amp;Master[[#This Row],[Inventory Number]]&amp;" "&amp;Master[[#This Row],[Inventory Suffix]]&amp;" "&amp;Master[[#This Row],[Inventory Type - Lookup Picker]]</f>
        <v>W6   SD</v>
      </c>
      <c r="C130" t="str">
        <f t="shared" ref="C130:C161" si="9">"Collected"</f>
        <v>Collected</v>
      </c>
      <c r="D130" t="str">
        <f t="shared" si="8"/>
        <v>mm/dd/yyyy</v>
      </c>
      <c r="E130" s="77">
        <f>IF(Master[[#This Row],[Date Collected or Developed]]="","",Master[[#This Row],[Date Collected or Developed]])</f>
        <v>44060</v>
      </c>
      <c r="F130" s="17" t="str">
        <f>IF(Master[[#This Row],[Quantity On Hand]]="","",Master[[#This Row],[Quantity On Hand]])</f>
        <v/>
      </c>
      <c r="G130" s="17" t="str">
        <f>IF(Master[[#This Row],[Quantity On Hand Units -''count'' or ''packet'']]="count","count",IF(Master[[#This Row],[Quantity On Hand Units -''count'' or ''packet'']]="packet","packet",""))</f>
        <v/>
      </c>
      <c r="H130" s="45" t="str">
        <f>IF(Master[[#This Row],[Inventory Type - Lookup Picker]]="","",Master[[#This Row],[Inventory Type - Lookup Picker]])</f>
        <v>SD</v>
      </c>
      <c r="I130" t="str">
        <f>IF(Master[[#This Row],[Cooperator (Collector) 1 -full record]]="","",Master[[#This Row],[Cooperator (Collector) 1 -full record]])</f>
        <v/>
      </c>
    </row>
    <row r="131" spans="2:9" x14ac:dyDescent="0.25">
      <c r="B131" s="45" t="str">
        <f>Master[[#This Row],[Inventory Prefix]]&amp;" "&amp;Master[[#This Row],[Inventory Number]]&amp;" "&amp;Master[[#This Row],[Inventory Suffix]]&amp;" "&amp;Master[[#This Row],[Inventory Type - Lookup Picker]]</f>
        <v>W6   SD</v>
      </c>
      <c r="C131" t="str">
        <f t="shared" si="9"/>
        <v>Collected</v>
      </c>
      <c r="D131" t="str">
        <f t="shared" si="8"/>
        <v>mm/dd/yyyy</v>
      </c>
      <c r="E131" s="77">
        <f>IF(Master[[#This Row],[Date Collected or Developed]]="","",Master[[#This Row],[Date Collected or Developed]])</f>
        <v>44062</v>
      </c>
      <c r="F131" s="17" t="str">
        <f>IF(Master[[#This Row],[Quantity On Hand]]="","",Master[[#This Row],[Quantity On Hand]])</f>
        <v/>
      </c>
      <c r="G131" s="17" t="str">
        <f>IF(Master[[#This Row],[Quantity On Hand Units -''count'' or ''packet'']]="count","count",IF(Master[[#This Row],[Quantity On Hand Units -''count'' or ''packet'']]="packet","packet",""))</f>
        <v/>
      </c>
      <c r="H131" s="45" t="str">
        <f>IF(Master[[#This Row],[Inventory Type - Lookup Picker]]="","",Master[[#This Row],[Inventory Type - Lookup Picker]])</f>
        <v>SD</v>
      </c>
      <c r="I131" t="str">
        <f>IF(Master[[#This Row],[Cooperator (Collector) 1 -full record]]="","",Master[[#This Row],[Cooperator (Collector) 1 -full record]])</f>
        <v/>
      </c>
    </row>
    <row r="132" spans="2:9" x14ac:dyDescent="0.25">
      <c r="B132" s="45" t="str">
        <f>Master[[#This Row],[Inventory Prefix]]&amp;" "&amp;Master[[#This Row],[Inventory Number]]&amp;" "&amp;Master[[#This Row],[Inventory Suffix]]&amp;" "&amp;Master[[#This Row],[Inventory Type - Lookup Picker]]</f>
        <v>W6   SD</v>
      </c>
      <c r="C132" t="str">
        <f t="shared" si="9"/>
        <v>Collected</v>
      </c>
      <c r="D132" t="str">
        <f t="shared" si="8"/>
        <v>mm/dd/yyyy</v>
      </c>
      <c r="E132" s="77">
        <f>IF(Master[[#This Row],[Date Collected or Developed]]="","",Master[[#This Row],[Date Collected or Developed]])</f>
        <v>44062</v>
      </c>
      <c r="F132" s="17" t="str">
        <f>IF(Master[[#This Row],[Quantity On Hand]]="","",Master[[#This Row],[Quantity On Hand]])</f>
        <v/>
      </c>
      <c r="G132" s="17" t="str">
        <f>IF(Master[[#This Row],[Quantity On Hand Units -''count'' or ''packet'']]="count","count",IF(Master[[#This Row],[Quantity On Hand Units -''count'' or ''packet'']]="packet","packet",""))</f>
        <v/>
      </c>
      <c r="H132" s="45" t="str">
        <f>IF(Master[[#This Row],[Inventory Type - Lookup Picker]]="","",Master[[#This Row],[Inventory Type - Lookup Picker]])</f>
        <v>SD</v>
      </c>
      <c r="I132" t="str">
        <f>IF(Master[[#This Row],[Cooperator (Collector) 1 -full record]]="","",Master[[#This Row],[Cooperator (Collector) 1 -full record]])</f>
        <v/>
      </c>
    </row>
    <row r="133" spans="2:9" x14ac:dyDescent="0.25">
      <c r="B133" s="45" t="str">
        <f>Master[[#This Row],[Inventory Prefix]]&amp;" "&amp;Master[[#This Row],[Inventory Number]]&amp;" "&amp;Master[[#This Row],[Inventory Suffix]]&amp;" "&amp;Master[[#This Row],[Inventory Type - Lookup Picker]]</f>
        <v>W6   SD</v>
      </c>
      <c r="C133" t="str">
        <f t="shared" si="9"/>
        <v>Collected</v>
      </c>
      <c r="D133" t="str">
        <f t="shared" si="8"/>
        <v>mm/dd/yyyy</v>
      </c>
      <c r="E133" s="77">
        <f>IF(Master[[#This Row],[Date Collected or Developed]]="","",Master[[#This Row],[Date Collected or Developed]])</f>
        <v>44069</v>
      </c>
      <c r="F133" s="17" t="str">
        <f>IF(Master[[#This Row],[Quantity On Hand]]="","",Master[[#This Row],[Quantity On Hand]])</f>
        <v/>
      </c>
      <c r="G133" s="17" t="str">
        <f>IF(Master[[#This Row],[Quantity On Hand Units -''count'' or ''packet'']]="count","count",IF(Master[[#This Row],[Quantity On Hand Units -''count'' or ''packet'']]="packet","packet",""))</f>
        <v/>
      </c>
      <c r="H133" s="45" t="str">
        <f>IF(Master[[#This Row],[Inventory Type - Lookup Picker]]="","",Master[[#This Row],[Inventory Type - Lookup Picker]])</f>
        <v>SD</v>
      </c>
      <c r="I133" t="str">
        <f>IF(Master[[#This Row],[Cooperator (Collector) 1 -full record]]="","",Master[[#This Row],[Cooperator (Collector) 1 -full record]])</f>
        <v/>
      </c>
    </row>
    <row r="134" spans="2:9" x14ac:dyDescent="0.25">
      <c r="B134" s="45" t="str">
        <f>Master[[#This Row],[Inventory Prefix]]&amp;" "&amp;Master[[#This Row],[Inventory Number]]&amp;" "&amp;Master[[#This Row],[Inventory Suffix]]&amp;" "&amp;Master[[#This Row],[Inventory Type - Lookup Picker]]</f>
        <v>W6   SD</v>
      </c>
      <c r="C134" t="str">
        <f t="shared" si="9"/>
        <v>Collected</v>
      </c>
      <c r="D134" t="str">
        <f t="shared" si="8"/>
        <v>mm/dd/yyyy</v>
      </c>
      <c r="E134" s="77">
        <f>IF(Master[[#This Row],[Date Collected or Developed]]="","",Master[[#This Row],[Date Collected or Developed]])</f>
        <v>44069</v>
      </c>
      <c r="F134" s="17" t="str">
        <f>IF(Master[[#This Row],[Quantity On Hand]]="","",Master[[#This Row],[Quantity On Hand]])</f>
        <v/>
      </c>
      <c r="G134" s="17" t="str">
        <f>IF(Master[[#This Row],[Quantity On Hand Units -''count'' or ''packet'']]="count","count",IF(Master[[#This Row],[Quantity On Hand Units -''count'' or ''packet'']]="packet","packet",""))</f>
        <v/>
      </c>
      <c r="H134" s="45" t="str">
        <f>IF(Master[[#This Row],[Inventory Type - Lookup Picker]]="","",Master[[#This Row],[Inventory Type - Lookup Picker]])</f>
        <v>SD</v>
      </c>
      <c r="I134" t="str">
        <f>IF(Master[[#This Row],[Cooperator (Collector) 1 -full record]]="","",Master[[#This Row],[Cooperator (Collector) 1 -full record]])</f>
        <v/>
      </c>
    </row>
    <row r="135" spans="2:9" x14ac:dyDescent="0.25">
      <c r="B135" s="45" t="str">
        <f>Master[[#This Row],[Inventory Prefix]]&amp;" "&amp;Master[[#This Row],[Inventory Number]]&amp;" "&amp;Master[[#This Row],[Inventory Suffix]]&amp;" "&amp;Master[[#This Row],[Inventory Type - Lookup Picker]]</f>
        <v>W6   SD</v>
      </c>
      <c r="C135" t="str">
        <f t="shared" si="9"/>
        <v>Collected</v>
      </c>
      <c r="D135" t="str">
        <f t="shared" si="8"/>
        <v>mm/dd/yyyy</v>
      </c>
      <c r="E135" s="77">
        <f>IF(Master[[#This Row],[Date Collected or Developed]]="","",Master[[#This Row],[Date Collected or Developed]])</f>
        <v>44070</v>
      </c>
      <c r="F135" s="17" t="str">
        <f>IF(Master[[#This Row],[Quantity On Hand]]="","",Master[[#This Row],[Quantity On Hand]])</f>
        <v/>
      </c>
      <c r="G135" s="17" t="str">
        <f>IF(Master[[#This Row],[Quantity On Hand Units -''count'' or ''packet'']]="count","count",IF(Master[[#This Row],[Quantity On Hand Units -''count'' or ''packet'']]="packet","packet",""))</f>
        <v/>
      </c>
      <c r="H135" s="45" t="str">
        <f>IF(Master[[#This Row],[Inventory Type - Lookup Picker]]="","",Master[[#This Row],[Inventory Type - Lookup Picker]])</f>
        <v>SD</v>
      </c>
      <c r="I135" t="str">
        <f>IF(Master[[#This Row],[Cooperator (Collector) 1 -full record]]="","",Master[[#This Row],[Cooperator (Collector) 1 -full record]])</f>
        <v/>
      </c>
    </row>
    <row r="136" spans="2:9" x14ac:dyDescent="0.25">
      <c r="B136" s="45" t="str">
        <f>Master[[#This Row],[Inventory Prefix]]&amp;" "&amp;Master[[#This Row],[Inventory Number]]&amp;" "&amp;Master[[#This Row],[Inventory Suffix]]&amp;" "&amp;Master[[#This Row],[Inventory Type - Lookup Picker]]</f>
        <v>W6   SD</v>
      </c>
      <c r="C136" t="str">
        <f t="shared" si="9"/>
        <v>Collected</v>
      </c>
      <c r="D136" t="str">
        <f t="shared" si="8"/>
        <v>mm/dd/yyyy</v>
      </c>
      <c r="E136" s="77">
        <f>IF(Master[[#This Row],[Date Collected or Developed]]="","",Master[[#This Row],[Date Collected or Developed]])</f>
        <v>44083</v>
      </c>
      <c r="F136" s="17" t="str">
        <f>IF(Master[[#This Row],[Quantity On Hand]]="","",Master[[#This Row],[Quantity On Hand]])</f>
        <v/>
      </c>
      <c r="G136" s="17" t="str">
        <f>IF(Master[[#This Row],[Quantity On Hand Units -''count'' or ''packet'']]="count","count",IF(Master[[#This Row],[Quantity On Hand Units -''count'' or ''packet'']]="packet","packet",""))</f>
        <v/>
      </c>
      <c r="H136" s="45" t="str">
        <f>IF(Master[[#This Row],[Inventory Type - Lookup Picker]]="","",Master[[#This Row],[Inventory Type - Lookup Picker]])</f>
        <v>SD</v>
      </c>
      <c r="I136" t="str">
        <f>IF(Master[[#This Row],[Cooperator (Collector) 1 -full record]]="","",Master[[#This Row],[Cooperator (Collector) 1 -full record]])</f>
        <v/>
      </c>
    </row>
    <row r="137" spans="2:9" x14ac:dyDescent="0.25">
      <c r="B137" s="45" t="str">
        <f>Master[[#This Row],[Inventory Prefix]]&amp;" "&amp;Master[[#This Row],[Inventory Number]]&amp;" "&amp;Master[[#This Row],[Inventory Suffix]]&amp;" "&amp;Master[[#This Row],[Inventory Type - Lookup Picker]]</f>
        <v>W6   SD</v>
      </c>
      <c r="C137" t="str">
        <f t="shared" si="9"/>
        <v>Collected</v>
      </c>
      <c r="D137" t="str">
        <f t="shared" si="8"/>
        <v>mm/dd/yyyy</v>
      </c>
      <c r="E137" s="77">
        <f>IF(Master[[#This Row],[Date Collected or Developed]]="","",Master[[#This Row],[Date Collected or Developed]])</f>
        <v>44084</v>
      </c>
      <c r="F137" s="17" t="str">
        <f>IF(Master[[#This Row],[Quantity On Hand]]="","",Master[[#This Row],[Quantity On Hand]])</f>
        <v/>
      </c>
      <c r="G137" s="17" t="str">
        <f>IF(Master[[#This Row],[Quantity On Hand Units -''count'' or ''packet'']]="count","count",IF(Master[[#This Row],[Quantity On Hand Units -''count'' or ''packet'']]="packet","packet",""))</f>
        <v/>
      </c>
      <c r="H137" s="45" t="str">
        <f>IF(Master[[#This Row],[Inventory Type - Lookup Picker]]="","",Master[[#This Row],[Inventory Type - Lookup Picker]])</f>
        <v>SD</v>
      </c>
      <c r="I137" t="str">
        <f>IF(Master[[#This Row],[Cooperator (Collector) 1 -full record]]="","",Master[[#This Row],[Cooperator (Collector) 1 -full record]])</f>
        <v/>
      </c>
    </row>
    <row r="138" spans="2:9" x14ac:dyDescent="0.25">
      <c r="B138" s="45" t="str">
        <f>Master[[#This Row],[Inventory Prefix]]&amp;" "&amp;Master[[#This Row],[Inventory Number]]&amp;" "&amp;Master[[#This Row],[Inventory Suffix]]&amp;" "&amp;Master[[#This Row],[Inventory Type - Lookup Picker]]</f>
        <v>W6   SD</v>
      </c>
      <c r="C138" t="str">
        <f t="shared" si="9"/>
        <v>Collected</v>
      </c>
      <c r="D138" t="str">
        <f t="shared" si="8"/>
        <v>mm/dd/yyyy</v>
      </c>
      <c r="E138" s="77">
        <f>IF(Master[[#This Row],[Date Collected or Developed]]="","",Master[[#This Row],[Date Collected or Developed]])</f>
        <v>44084</v>
      </c>
      <c r="F138" s="17" t="str">
        <f>IF(Master[[#This Row],[Quantity On Hand]]="","",Master[[#This Row],[Quantity On Hand]])</f>
        <v/>
      </c>
      <c r="G138" s="17" t="str">
        <f>IF(Master[[#This Row],[Quantity On Hand Units -''count'' or ''packet'']]="count","count",IF(Master[[#This Row],[Quantity On Hand Units -''count'' or ''packet'']]="packet","packet",""))</f>
        <v/>
      </c>
      <c r="H138" s="45" t="str">
        <f>IF(Master[[#This Row],[Inventory Type - Lookup Picker]]="","",Master[[#This Row],[Inventory Type - Lookup Picker]])</f>
        <v>SD</v>
      </c>
      <c r="I138" t="str">
        <f>IF(Master[[#This Row],[Cooperator (Collector) 1 -full record]]="","",Master[[#This Row],[Cooperator (Collector) 1 -full record]])</f>
        <v/>
      </c>
    </row>
    <row r="139" spans="2:9" x14ac:dyDescent="0.25">
      <c r="B139" s="45" t="str">
        <f>Master[[#This Row],[Inventory Prefix]]&amp;" "&amp;Master[[#This Row],[Inventory Number]]&amp;" "&amp;Master[[#This Row],[Inventory Suffix]]&amp;" "&amp;Master[[#This Row],[Inventory Type - Lookup Picker]]</f>
        <v>W6   SD</v>
      </c>
      <c r="C139" t="str">
        <f t="shared" si="9"/>
        <v>Collected</v>
      </c>
      <c r="D139" t="str">
        <f t="shared" si="8"/>
        <v>mm/dd/yyyy</v>
      </c>
      <c r="E139" s="77">
        <f>IF(Master[[#This Row],[Date Collected or Developed]]="","",Master[[#This Row],[Date Collected or Developed]])</f>
        <v>44089</v>
      </c>
      <c r="F139" s="17" t="str">
        <f>IF(Master[[#This Row],[Quantity On Hand]]="","",Master[[#This Row],[Quantity On Hand]])</f>
        <v/>
      </c>
      <c r="G139" s="17" t="str">
        <f>IF(Master[[#This Row],[Quantity On Hand Units -''count'' or ''packet'']]="count","count",IF(Master[[#This Row],[Quantity On Hand Units -''count'' or ''packet'']]="packet","packet",""))</f>
        <v/>
      </c>
      <c r="H139" s="45" t="str">
        <f>IF(Master[[#This Row],[Inventory Type - Lookup Picker]]="","",Master[[#This Row],[Inventory Type - Lookup Picker]])</f>
        <v>SD</v>
      </c>
      <c r="I139" t="str">
        <f>IF(Master[[#This Row],[Cooperator (Collector) 1 -full record]]="","",Master[[#This Row],[Cooperator (Collector) 1 -full record]])</f>
        <v/>
      </c>
    </row>
    <row r="140" spans="2:9" x14ac:dyDescent="0.25">
      <c r="B140" s="45" t="str">
        <f>Master[[#This Row],[Inventory Prefix]]&amp;" "&amp;Master[[#This Row],[Inventory Number]]&amp;" "&amp;Master[[#This Row],[Inventory Suffix]]&amp;" "&amp;Master[[#This Row],[Inventory Type - Lookup Picker]]</f>
        <v>W6   SD</v>
      </c>
      <c r="C140" t="str">
        <f t="shared" si="9"/>
        <v>Collected</v>
      </c>
      <c r="D140" t="str">
        <f t="shared" si="8"/>
        <v>mm/dd/yyyy</v>
      </c>
      <c r="E140" s="77">
        <f>IF(Master[[#This Row],[Date Collected or Developed]]="","",Master[[#This Row],[Date Collected or Developed]])</f>
        <v>44091</v>
      </c>
      <c r="F140" s="17" t="str">
        <f>IF(Master[[#This Row],[Quantity On Hand]]="","",Master[[#This Row],[Quantity On Hand]])</f>
        <v/>
      </c>
      <c r="G140" s="17" t="str">
        <f>IF(Master[[#This Row],[Quantity On Hand Units -''count'' or ''packet'']]="count","count",IF(Master[[#This Row],[Quantity On Hand Units -''count'' or ''packet'']]="packet","packet",""))</f>
        <v/>
      </c>
      <c r="H140" s="45" t="str">
        <f>IF(Master[[#This Row],[Inventory Type - Lookup Picker]]="","",Master[[#This Row],[Inventory Type - Lookup Picker]])</f>
        <v>SD</v>
      </c>
      <c r="I140" t="str">
        <f>IF(Master[[#This Row],[Cooperator (Collector) 1 -full record]]="","",Master[[#This Row],[Cooperator (Collector) 1 -full record]])</f>
        <v/>
      </c>
    </row>
    <row r="141" spans="2:9" x14ac:dyDescent="0.25">
      <c r="B141" s="45" t="str">
        <f>Master[[#This Row],[Inventory Prefix]]&amp;" "&amp;Master[[#This Row],[Inventory Number]]&amp;" "&amp;Master[[#This Row],[Inventory Suffix]]&amp;" "&amp;Master[[#This Row],[Inventory Type - Lookup Picker]]</f>
        <v>W6   SD</v>
      </c>
      <c r="C141" t="str">
        <f t="shared" si="9"/>
        <v>Collected</v>
      </c>
      <c r="D141" t="str">
        <f t="shared" si="8"/>
        <v>mm/dd/yyyy</v>
      </c>
      <c r="E141" s="77">
        <f>IF(Master[[#This Row],[Date Collected or Developed]]="","",Master[[#This Row],[Date Collected or Developed]])</f>
        <v>44091</v>
      </c>
      <c r="F141" s="17" t="str">
        <f>IF(Master[[#This Row],[Quantity On Hand]]="","",Master[[#This Row],[Quantity On Hand]])</f>
        <v/>
      </c>
      <c r="G141" s="17" t="str">
        <f>IF(Master[[#This Row],[Quantity On Hand Units -''count'' or ''packet'']]="count","count",IF(Master[[#This Row],[Quantity On Hand Units -''count'' or ''packet'']]="packet","packet",""))</f>
        <v/>
      </c>
      <c r="H141" s="45" t="str">
        <f>IF(Master[[#This Row],[Inventory Type - Lookup Picker]]="","",Master[[#This Row],[Inventory Type - Lookup Picker]])</f>
        <v>SD</v>
      </c>
      <c r="I141" t="str">
        <f>IF(Master[[#This Row],[Cooperator (Collector) 1 -full record]]="","",Master[[#This Row],[Cooperator (Collector) 1 -full record]])</f>
        <v/>
      </c>
    </row>
    <row r="142" spans="2:9" x14ac:dyDescent="0.25">
      <c r="B142" s="45" t="str">
        <f>Master[[#This Row],[Inventory Prefix]]&amp;" "&amp;Master[[#This Row],[Inventory Number]]&amp;" "&amp;Master[[#This Row],[Inventory Suffix]]&amp;" "&amp;Master[[#This Row],[Inventory Type - Lookup Picker]]</f>
        <v>W6   SD</v>
      </c>
      <c r="C142" t="str">
        <f t="shared" si="9"/>
        <v>Collected</v>
      </c>
      <c r="D142" t="str">
        <f t="shared" si="8"/>
        <v>mm/dd/yyyy</v>
      </c>
      <c r="E142" s="77">
        <f>IF(Master[[#This Row],[Date Collected or Developed]]="","",Master[[#This Row],[Date Collected or Developed]])</f>
        <v>44095</v>
      </c>
      <c r="F142" s="17" t="str">
        <f>IF(Master[[#This Row],[Quantity On Hand]]="","",Master[[#This Row],[Quantity On Hand]])</f>
        <v/>
      </c>
      <c r="G142" s="17" t="str">
        <f>IF(Master[[#This Row],[Quantity On Hand Units -''count'' or ''packet'']]="count","count",IF(Master[[#This Row],[Quantity On Hand Units -''count'' or ''packet'']]="packet","packet",""))</f>
        <v/>
      </c>
      <c r="H142" s="45" t="str">
        <f>IF(Master[[#This Row],[Inventory Type - Lookup Picker]]="","",Master[[#This Row],[Inventory Type - Lookup Picker]])</f>
        <v>SD</v>
      </c>
      <c r="I142" t="str">
        <f>IF(Master[[#This Row],[Cooperator (Collector) 1 -full record]]="","",Master[[#This Row],[Cooperator (Collector) 1 -full record]])</f>
        <v/>
      </c>
    </row>
    <row r="143" spans="2:9" x14ac:dyDescent="0.25">
      <c r="B143" s="45" t="str">
        <f>Master[[#This Row],[Inventory Prefix]]&amp;" "&amp;Master[[#This Row],[Inventory Number]]&amp;" "&amp;Master[[#This Row],[Inventory Suffix]]&amp;" "&amp;Master[[#This Row],[Inventory Type - Lookup Picker]]</f>
        <v>W6   SD</v>
      </c>
      <c r="C143" t="str">
        <f t="shared" si="9"/>
        <v>Collected</v>
      </c>
      <c r="D143" t="str">
        <f t="shared" si="8"/>
        <v>mm/dd/yyyy</v>
      </c>
      <c r="E143" s="77">
        <f>IF(Master[[#This Row],[Date Collected or Developed]]="","",Master[[#This Row],[Date Collected or Developed]])</f>
        <v>44097</v>
      </c>
      <c r="F143" s="17" t="str">
        <f>IF(Master[[#This Row],[Quantity On Hand]]="","",Master[[#This Row],[Quantity On Hand]])</f>
        <v/>
      </c>
      <c r="G143" s="17" t="str">
        <f>IF(Master[[#This Row],[Quantity On Hand Units -''count'' or ''packet'']]="count","count",IF(Master[[#This Row],[Quantity On Hand Units -''count'' or ''packet'']]="packet","packet",""))</f>
        <v/>
      </c>
      <c r="H143" s="45" t="str">
        <f>IF(Master[[#This Row],[Inventory Type - Lookup Picker]]="","",Master[[#This Row],[Inventory Type - Lookup Picker]])</f>
        <v>SD</v>
      </c>
      <c r="I143" t="str">
        <f>IF(Master[[#This Row],[Cooperator (Collector) 1 -full record]]="","",Master[[#This Row],[Cooperator (Collector) 1 -full record]])</f>
        <v/>
      </c>
    </row>
    <row r="144" spans="2:9" x14ac:dyDescent="0.25">
      <c r="B144" s="45" t="str">
        <f>Master[[#This Row],[Inventory Prefix]]&amp;" "&amp;Master[[#This Row],[Inventory Number]]&amp;" "&amp;Master[[#This Row],[Inventory Suffix]]&amp;" "&amp;Master[[#This Row],[Inventory Type - Lookup Picker]]</f>
        <v>W6   SD</v>
      </c>
      <c r="C144" t="str">
        <f t="shared" si="9"/>
        <v>Collected</v>
      </c>
      <c r="D144" t="str">
        <f t="shared" si="8"/>
        <v>mm/dd/yyyy</v>
      </c>
      <c r="E144" s="77">
        <f>IF(Master[[#This Row],[Date Collected or Developed]]="","",Master[[#This Row],[Date Collected or Developed]])</f>
        <v>44098</v>
      </c>
      <c r="F144" s="17" t="str">
        <f>IF(Master[[#This Row],[Quantity On Hand]]="","",Master[[#This Row],[Quantity On Hand]])</f>
        <v/>
      </c>
      <c r="G144" s="17" t="str">
        <f>IF(Master[[#This Row],[Quantity On Hand Units -''count'' or ''packet'']]="count","count",IF(Master[[#This Row],[Quantity On Hand Units -''count'' or ''packet'']]="packet","packet",""))</f>
        <v/>
      </c>
      <c r="H144" s="45" t="str">
        <f>IF(Master[[#This Row],[Inventory Type - Lookup Picker]]="","",Master[[#This Row],[Inventory Type - Lookup Picker]])</f>
        <v>SD</v>
      </c>
      <c r="I144" t="str">
        <f>IF(Master[[#This Row],[Cooperator (Collector) 1 -full record]]="","",Master[[#This Row],[Cooperator (Collector) 1 -full record]])</f>
        <v/>
      </c>
    </row>
    <row r="145" spans="2:9" x14ac:dyDescent="0.25">
      <c r="B145" s="45" t="str">
        <f>Master[[#This Row],[Inventory Prefix]]&amp;" "&amp;Master[[#This Row],[Inventory Number]]&amp;" "&amp;Master[[#This Row],[Inventory Suffix]]&amp;" "&amp;Master[[#This Row],[Inventory Type - Lookup Picker]]</f>
        <v>W6   SD</v>
      </c>
      <c r="C145" t="str">
        <f t="shared" si="9"/>
        <v>Collected</v>
      </c>
      <c r="D145" t="str">
        <f t="shared" si="8"/>
        <v>mm/dd/yyyy</v>
      </c>
      <c r="E145" s="77">
        <f>IF(Master[[#This Row],[Date Collected or Developed]]="","",Master[[#This Row],[Date Collected or Developed]])</f>
        <v>44105</v>
      </c>
      <c r="F145" s="17" t="str">
        <f>IF(Master[[#This Row],[Quantity On Hand]]="","",Master[[#This Row],[Quantity On Hand]])</f>
        <v/>
      </c>
      <c r="G145" s="17" t="str">
        <f>IF(Master[[#This Row],[Quantity On Hand Units -''count'' or ''packet'']]="count","count",IF(Master[[#This Row],[Quantity On Hand Units -''count'' or ''packet'']]="packet","packet",""))</f>
        <v/>
      </c>
      <c r="H145" s="45" t="str">
        <f>IF(Master[[#This Row],[Inventory Type - Lookup Picker]]="","",Master[[#This Row],[Inventory Type - Lookup Picker]])</f>
        <v>SD</v>
      </c>
      <c r="I145" t="str">
        <f>IF(Master[[#This Row],[Cooperator (Collector) 1 -full record]]="","",Master[[#This Row],[Cooperator (Collector) 1 -full record]])</f>
        <v/>
      </c>
    </row>
    <row r="146" spans="2:9" x14ac:dyDescent="0.25">
      <c r="B146" s="45" t="str">
        <f>Master[[#This Row],[Inventory Prefix]]&amp;" "&amp;Master[[#This Row],[Inventory Number]]&amp;" "&amp;Master[[#This Row],[Inventory Suffix]]&amp;" "&amp;Master[[#This Row],[Inventory Type - Lookup Picker]]</f>
        <v>W6   SD</v>
      </c>
      <c r="C146" t="str">
        <f t="shared" si="9"/>
        <v>Collected</v>
      </c>
      <c r="D146" t="str">
        <f t="shared" si="8"/>
        <v>mm/dd/yyyy</v>
      </c>
      <c r="E146" s="77">
        <f>IF(Master[[#This Row],[Date Collected or Developed]]="","",Master[[#This Row],[Date Collected or Developed]])</f>
        <v>44106</v>
      </c>
      <c r="F146" s="17" t="str">
        <f>IF(Master[[#This Row],[Quantity On Hand]]="","",Master[[#This Row],[Quantity On Hand]])</f>
        <v/>
      </c>
      <c r="G146" s="17" t="str">
        <f>IF(Master[[#This Row],[Quantity On Hand Units -''count'' or ''packet'']]="count","count",IF(Master[[#This Row],[Quantity On Hand Units -''count'' or ''packet'']]="packet","packet",""))</f>
        <v/>
      </c>
      <c r="H146" s="45" t="str">
        <f>IF(Master[[#This Row],[Inventory Type - Lookup Picker]]="","",Master[[#This Row],[Inventory Type - Lookup Picker]])</f>
        <v>SD</v>
      </c>
      <c r="I146" t="str">
        <f>IF(Master[[#This Row],[Cooperator (Collector) 1 -full record]]="","",Master[[#This Row],[Cooperator (Collector) 1 -full record]])</f>
        <v/>
      </c>
    </row>
    <row r="147" spans="2:9" x14ac:dyDescent="0.25">
      <c r="B147" s="45" t="str">
        <f>Master[[#This Row],[Inventory Prefix]]&amp;" "&amp;Master[[#This Row],[Inventory Number]]&amp;" "&amp;Master[[#This Row],[Inventory Suffix]]&amp;" "&amp;Master[[#This Row],[Inventory Type - Lookup Picker]]</f>
        <v>W6   SD</v>
      </c>
      <c r="C147" t="str">
        <f t="shared" si="9"/>
        <v>Collected</v>
      </c>
      <c r="D147" t="str">
        <f t="shared" si="8"/>
        <v>mm/dd/yyyy</v>
      </c>
      <c r="E147" s="77">
        <f>IF(Master[[#This Row],[Date Collected or Developed]]="","",Master[[#This Row],[Date Collected or Developed]])</f>
        <v>44109</v>
      </c>
      <c r="F147" s="17" t="str">
        <f>IF(Master[[#This Row],[Quantity On Hand]]="","",Master[[#This Row],[Quantity On Hand]])</f>
        <v/>
      </c>
      <c r="G147" s="17" t="str">
        <f>IF(Master[[#This Row],[Quantity On Hand Units -''count'' or ''packet'']]="count","count",IF(Master[[#This Row],[Quantity On Hand Units -''count'' or ''packet'']]="packet","packet",""))</f>
        <v/>
      </c>
      <c r="H147" s="45" t="str">
        <f>IF(Master[[#This Row],[Inventory Type - Lookup Picker]]="","",Master[[#This Row],[Inventory Type - Lookup Picker]])</f>
        <v>SD</v>
      </c>
      <c r="I147" t="str">
        <f>IF(Master[[#This Row],[Cooperator (Collector) 1 -full record]]="","",Master[[#This Row],[Cooperator (Collector) 1 -full record]])</f>
        <v/>
      </c>
    </row>
    <row r="148" spans="2:9" x14ac:dyDescent="0.25">
      <c r="B148" s="45" t="str">
        <f>Master[[#This Row],[Inventory Prefix]]&amp;" "&amp;Master[[#This Row],[Inventory Number]]&amp;" "&amp;Master[[#This Row],[Inventory Suffix]]&amp;" "&amp;Master[[#This Row],[Inventory Type - Lookup Picker]]</f>
        <v>W6   SD</v>
      </c>
      <c r="C148" t="str">
        <f t="shared" si="9"/>
        <v>Collected</v>
      </c>
      <c r="D148" t="str">
        <f t="shared" si="8"/>
        <v>mm/dd/yyyy</v>
      </c>
      <c r="E148" s="77">
        <f>IF(Master[[#This Row],[Date Collected or Developed]]="","",Master[[#This Row],[Date Collected or Developed]])</f>
        <v>44109</v>
      </c>
      <c r="F148" s="17" t="str">
        <f>IF(Master[[#This Row],[Quantity On Hand]]="","",Master[[#This Row],[Quantity On Hand]])</f>
        <v/>
      </c>
      <c r="G148" s="17" t="str">
        <f>IF(Master[[#This Row],[Quantity On Hand Units -''count'' or ''packet'']]="count","count",IF(Master[[#This Row],[Quantity On Hand Units -''count'' or ''packet'']]="packet","packet",""))</f>
        <v/>
      </c>
      <c r="H148" s="45" t="str">
        <f>IF(Master[[#This Row],[Inventory Type - Lookup Picker]]="","",Master[[#This Row],[Inventory Type - Lookup Picker]])</f>
        <v>SD</v>
      </c>
      <c r="I148" t="str">
        <f>IF(Master[[#This Row],[Cooperator (Collector) 1 -full record]]="","",Master[[#This Row],[Cooperator (Collector) 1 -full record]])</f>
        <v/>
      </c>
    </row>
    <row r="149" spans="2:9" x14ac:dyDescent="0.25">
      <c r="B149" s="45" t="str">
        <f>Master[[#This Row],[Inventory Prefix]]&amp;" "&amp;Master[[#This Row],[Inventory Number]]&amp;" "&amp;Master[[#This Row],[Inventory Suffix]]&amp;" "&amp;Master[[#This Row],[Inventory Type - Lookup Picker]]</f>
        <v>W6   SD</v>
      </c>
      <c r="C149" t="str">
        <f t="shared" si="9"/>
        <v>Collected</v>
      </c>
      <c r="D149" t="str">
        <f t="shared" si="8"/>
        <v>mm/dd/yyyy</v>
      </c>
      <c r="E149" s="77">
        <f>IF(Master[[#This Row],[Date Collected or Developed]]="","",Master[[#This Row],[Date Collected or Developed]])</f>
        <v>44041</v>
      </c>
      <c r="F149" s="17" t="str">
        <f>IF(Master[[#This Row],[Quantity On Hand]]="","",Master[[#This Row],[Quantity On Hand]])</f>
        <v/>
      </c>
      <c r="G149" s="17" t="str">
        <f>IF(Master[[#This Row],[Quantity On Hand Units -''count'' or ''packet'']]="count","count",IF(Master[[#This Row],[Quantity On Hand Units -''count'' or ''packet'']]="packet","packet",""))</f>
        <v/>
      </c>
      <c r="H149" s="45" t="str">
        <f>IF(Master[[#This Row],[Inventory Type - Lookup Picker]]="","",Master[[#This Row],[Inventory Type - Lookup Picker]])</f>
        <v>SD</v>
      </c>
      <c r="I149" t="str">
        <f>IF(Master[[#This Row],[Cooperator (Collector) 1 -full record]]="","",Master[[#This Row],[Cooperator (Collector) 1 -full record]])</f>
        <v/>
      </c>
    </row>
    <row r="150" spans="2:9" x14ac:dyDescent="0.25">
      <c r="B150" s="45" t="str">
        <f>Master[[#This Row],[Inventory Prefix]]&amp;" "&amp;Master[[#This Row],[Inventory Number]]&amp;" "&amp;Master[[#This Row],[Inventory Suffix]]&amp;" "&amp;Master[[#This Row],[Inventory Type - Lookup Picker]]</f>
        <v>W6   SD</v>
      </c>
      <c r="C150" t="str">
        <f t="shared" si="9"/>
        <v>Collected</v>
      </c>
      <c r="D150" t="str">
        <f t="shared" ref="D150:D181" si="10">"mm/dd/yyyy"</f>
        <v>mm/dd/yyyy</v>
      </c>
      <c r="E150" s="77">
        <f>IF(Master[[#This Row],[Date Collected or Developed]]="","",Master[[#This Row],[Date Collected or Developed]])</f>
        <v>44111</v>
      </c>
      <c r="F150" s="17" t="str">
        <f>IF(Master[[#This Row],[Quantity On Hand]]="","",Master[[#This Row],[Quantity On Hand]])</f>
        <v/>
      </c>
      <c r="G150" s="17" t="str">
        <f>IF(Master[[#This Row],[Quantity On Hand Units -''count'' or ''packet'']]="count","count",IF(Master[[#This Row],[Quantity On Hand Units -''count'' or ''packet'']]="packet","packet",""))</f>
        <v/>
      </c>
      <c r="H150" s="45" t="str">
        <f>IF(Master[[#This Row],[Inventory Type - Lookup Picker]]="","",Master[[#This Row],[Inventory Type - Lookup Picker]])</f>
        <v>SD</v>
      </c>
      <c r="I150" t="str">
        <f>IF(Master[[#This Row],[Cooperator (Collector) 1 -full record]]="","",Master[[#This Row],[Cooperator (Collector) 1 -full record]])</f>
        <v/>
      </c>
    </row>
    <row r="151" spans="2:9" x14ac:dyDescent="0.25">
      <c r="B151" s="45" t="str">
        <f>Master[[#This Row],[Inventory Prefix]]&amp;" "&amp;Master[[#This Row],[Inventory Number]]&amp;" "&amp;Master[[#This Row],[Inventory Suffix]]&amp;" "&amp;Master[[#This Row],[Inventory Type - Lookup Picker]]</f>
        <v>W6   SD</v>
      </c>
      <c r="C151" t="str">
        <f t="shared" si="9"/>
        <v>Collected</v>
      </c>
      <c r="D151" t="str">
        <f t="shared" si="10"/>
        <v>mm/dd/yyyy</v>
      </c>
      <c r="E151" s="77">
        <f>IF(Master[[#This Row],[Date Collected or Developed]]="","",Master[[#This Row],[Date Collected or Developed]])</f>
        <v>44061</v>
      </c>
      <c r="F151" s="17" t="str">
        <f>IF(Master[[#This Row],[Quantity On Hand]]="","",Master[[#This Row],[Quantity On Hand]])</f>
        <v/>
      </c>
      <c r="G151" s="17" t="str">
        <f>IF(Master[[#This Row],[Quantity On Hand Units -''count'' or ''packet'']]="count","count",IF(Master[[#This Row],[Quantity On Hand Units -''count'' or ''packet'']]="packet","packet",""))</f>
        <v/>
      </c>
      <c r="H151" s="45" t="str">
        <f>IF(Master[[#This Row],[Inventory Type - Lookup Picker]]="","",Master[[#This Row],[Inventory Type - Lookup Picker]])</f>
        <v>SD</v>
      </c>
      <c r="I151" t="str">
        <f>IF(Master[[#This Row],[Cooperator (Collector) 1 -full record]]="","",Master[[#This Row],[Cooperator (Collector) 1 -full record]])</f>
        <v/>
      </c>
    </row>
    <row r="152" spans="2:9" x14ac:dyDescent="0.25">
      <c r="B152" s="45" t="str">
        <f>Master[[#This Row],[Inventory Prefix]]&amp;" "&amp;Master[[#This Row],[Inventory Number]]&amp;" "&amp;Master[[#This Row],[Inventory Suffix]]&amp;" "&amp;Master[[#This Row],[Inventory Type - Lookup Picker]]</f>
        <v xml:space="preserve">   </v>
      </c>
      <c r="C152" t="str">
        <f t="shared" si="9"/>
        <v>Collected</v>
      </c>
      <c r="D152" t="str">
        <f t="shared" si="10"/>
        <v>mm/dd/yyyy</v>
      </c>
      <c r="E152" s="77" t="str">
        <f>IF(Master[[#This Row],[Date Collected or Developed]]="","",Master[[#This Row],[Date Collected or Developed]])</f>
        <v/>
      </c>
      <c r="F152" s="17" t="str">
        <f>IF(Master[[#This Row],[Quantity On Hand]]="","",Master[[#This Row],[Quantity On Hand]])</f>
        <v/>
      </c>
      <c r="G152" s="17" t="str">
        <f>IF(Master[[#This Row],[Quantity On Hand Units -''count'' or ''packet'']]="count","count",IF(Master[[#This Row],[Quantity On Hand Units -''count'' or ''packet'']]="packet","packet",""))</f>
        <v/>
      </c>
      <c r="H152" s="45" t="str">
        <f>IF(Master[[#This Row],[Inventory Type - Lookup Picker]]="","",Master[[#This Row],[Inventory Type - Lookup Picker]])</f>
        <v/>
      </c>
      <c r="I152" t="str">
        <f>IF(Master[[#This Row],[Cooperator (Collector) 1 -full record]]="","",Master[[#This Row],[Cooperator (Collector) 1 -full record]])</f>
        <v/>
      </c>
    </row>
    <row r="153" spans="2:9" x14ac:dyDescent="0.25">
      <c r="B153" s="45" t="str">
        <f>Master[[#This Row],[Inventory Prefix]]&amp;" "&amp;Master[[#This Row],[Inventory Number]]&amp;" "&amp;Master[[#This Row],[Inventory Suffix]]&amp;" "&amp;Master[[#This Row],[Inventory Type - Lookup Picker]]</f>
        <v xml:space="preserve">   </v>
      </c>
      <c r="C153" t="str">
        <f t="shared" si="9"/>
        <v>Collected</v>
      </c>
      <c r="D153" t="str">
        <f t="shared" si="10"/>
        <v>mm/dd/yyyy</v>
      </c>
      <c r="E153" s="77" t="str">
        <f>IF(Master[[#This Row],[Date Collected or Developed]]="","",Master[[#This Row],[Date Collected or Developed]])</f>
        <v/>
      </c>
      <c r="F153" s="17" t="str">
        <f>IF(Master[[#This Row],[Quantity On Hand]]="","",Master[[#This Row],[Quantity On Hand]])</f>
        <v/>
      </c>
      <c r="G153" s="17" t="str">
        <f>IF(Master[[#This Row],[Quantity On Hand Units -''count'' or ''packet'']]="count","count",IF(Master[[#This Row],[Quantity On Hand Units -''count'' or ''packet'']]="packet","packet",""))</f>
        <v/>
      </c>
      <c r="H153" s="45" t="str">
        <f>IF(Master[[#This Row],[Inventory Type - Lookup Picker]]="","",Master[[#This Row],[Inventory Type - Lookup Picker]])</f>
        <v/>
      </c>
      <c r="I153" t="str">
        <f>IF(Master[[#This Row],[Cooperator (Collector) 1 -full record]]="","",Master[[#This Row],[Cooperator (Collector) 1 -full record]])</f>
        <v/>
      </c>
    </row>
    <row r="154" spans="2:9" x14ac:dyDescent="0.25">
      <c r="B154" s="45" t="str">
        <f>Master[[#This Row],[Inventory Prefix]]&amp;" "&amp;Master[[#This Row],[Inventory Number]]&amp;" "&amp;Master[[#This Row],[Inventory Suffix]]&amp;" "&amp;Master[[#This Row],[Inventory Type - Lookup Picker]]</f>
        <v xml:space="preserve">   </v>
      </c>
      <c r="C154" t="str">
        <f t="shared" si="9"/>
        <v>Collected</v>
      </c>
      <c r="D154" t="str">
        <f t="shared" si="10"/>
        <v>mm/dd/yyyy</v>
      </c>
      <c r="E154" s="77" t="str">
        <f>IF(Master[[#This Row],[Date Collected or Developed]]="","",Master[[#This Row],[Date Collected or Developed]])</f>
        <v/>
      </c>
      <c r="F154" s="17" t="str">
        <f>IF(Master[[#This Row],[Quantity On Hand]]="","",Master[[#This Row],[Quantity On Hand]])</f>
        <v/>
      </c>
      <c r="G154" s="17" t="str">
        <f>IF(Master[[#This Row],[Quantity On Hand Units -''count'' or ''packet'']]="count","count",IF(Master[[#This Row],[Quantity On Hand Units -''count'' or ''packet'']]="packet","packet",""))</f>
        <v/>
      </c>
      <c r="H154" s="45" t="str">
        <f>IF(Master[[#This Row],[Inventory Type - Lookup Picker]]="","",Master[[#This Row],[Inventory Type - Lookup Picker]])</f>
        <v/>
      </c>
      <c r="I154" t="str">
        <f>IF(Master[[#This Row],[Cooperator (Collector) 1 -full record]]="","",Master[[#This Row],[Cooperator (Collector) 1 -full record]])</f>
        <v/>
      </c>
    </row>
    <row r="155" spans="2:9" x14ac:dyDescent="0.25">
      <c r="B155" s="45" t="str">
        <f>Master[[#This Row],[Inventory Prefix]]&amp;" "&amp;Master[[#This Row],[Inventory Number]]&amp;" "&amp;Master[[#This Row],[Inventory Suffix]]&amp;" "&amp;Master[[#This Row],[Inventory Type - Lookup Picker]]</f>
        <v xml:space="preserve">   </v>
      </c>
      <c r="C155" t="str">
        <f t="shared" si="9"/>
        <v>Collected</v>
      </c>
      <c r="D155" t="str">
        <f t="shared" si="10"/>
        <v>mm/dd/yyyy</v>
      </c>
      <c r="E155" s="77" t="str">
        <f>IF(Master[[#This Row],[Date Collected or Developed]]="","",Master[[#This Row],[Date Collected or Developed]])</f>
        <v/>
      </c>
      <c r="F155" s="17" t="str">
        <f>IF(Master[[#This Row],[Quantity On Hand]]="","",Master[[#This Row],[Quantity On Hand]])</f>
        <v/>
      </c>
      <c r="G155" s="17" t="str">
        <f>IF(Master[[#This Row],[Quantity On Hand Units -''count'' or ''packet'']]="count","count",IF(Master[[#This Row],[Quantity On Hand Units -''count'' or ''packet'']]="packet","packet",""))</f>
        <v/>
      </c>
      <c r="H155" s="45" t="str">
        <f>IF(Master[[#This Row],[Inventory Type - Lookup Picker]]="","",Master[[#This Row],[Inventory Type - Lookup Picker]])</f>
        <v/>
      </c>
      <c r="I155" t="str">
        <f>IF(Master[[#This Row],[Cooperator (Collector) 1 -full record]]="","",Master[[#This Row],[Cooperator (Collector) 1 -full record]])</f>
        <v/>
      </c>
    </row>
    <row r="156" spans="2:9" x14ac:dyDescent="0.25">
      <c r="B156" s="45" t="str">
        <f>Master[[#This Row],[Inventory Prefix]]&amp;" "&amp;Master[[#This Row],[Inventory Number]]&amp;" "&amp;Master[[#This Row],[Inventory Suffix]]&amp;" "&amp;Master[[#This Row],[Inventory Type - Lookup Picker]]</f>
        <v xml:space="preserve">   </v>
      </c>
      <c r="C156" t="str">
        <f t="shared" si="9"/>
        <v>Collected</v>
      </c>
      <c r="D156" t="str">
        <f t="shared" si="10"/>
        <v>mm/dd/yyyy</v>
      </c>
      <c r="E156" s="77" t="str">
        <f>IF(Master[[#This Row],[Date Collected or Developed]]="","",Master[[#This Row],[Date Collected or Developed]])</f>
        <v/>
      </c>
      <c r="F156" s="17" t="str">
        <f>IF(Master[[#This Row],[Quantity On Hand]]="","",Master[[#This Row],[Quantity On Hand]])</f>
        <v/>
      </c>
      <c r="G156" s="17" t="str">
        <f>IF(Master[[#This Row],[Quantity On Hand Units -''count'' or ''packet'']]="count","count",IF(Master[[#This Row],[Quantity On Hand Units -''count'' or ''packet'']]="packet","packet",""))</f>
        <v/>
      </c>
      <c r="H156" s="45" t="str">
        <f>IF(Master[[#This Row],[Inventory Type - Lookup Picker]]="","",Master[[#This Row],[Inventory Type - Lookup Picker]])</f>
        <v/>
      </c>
      <c r="I156" t="str">
        <f>IF(Master[[#This Row],[Cooperator (Collector) 1 -full record]]="","",Master[[#This Row],[Cooperator (Collector) 1 -full record]])</f>
        <v/>
      </c>
    </row>
    <row r="157" spans="2:9" x14ac:dyDescent="0.25">
      <c r="B157" s="45" t="str">
        <f>Master[[#This Row],[Inventory Prefix]]&amp;" "&amp;Master[[#This Row],[Inventory Number]]&amp;" "&amp;Master[[#This Row],[Inventory Suffix]]&amp;" "&amp;Master[[#This Row],[Inventory Type - Lookup Picker]]</f>
        <v xml:space="preserve">   </v>
      </c>
      <c r="C157" t="str">
        <f t="shared" si="9"/>
        <v>Collected</v>
      </c>
      <c r="D157" t="str">
        <f t="shared" si="10"/>
        <v>mm/dd/yyyy</v>
      </c>
      <c r="E157" s="77" t="str">
        <f>IF(Master[[#This Row],[Date Collected or Developed]]="","",Master[[#This Row],[Date Collected or Developed]])</f>
        <v/>
      </c>
      <c r="F157" s="17" t="str">
        <f>IF(Master[[#This Row],[Quantity On Hand]]="","",Master[[#This Row],[Quantity On Hand]])</f>
        <v/>
      </c>
      <c r="G157" s="17" t="str">
        <f>IF(Master[[#This Row],[Quantity On Hand Units -''count'' or ''packet'']]="count","count",IF(Master[[#This Row],[Quantity On Hand Units -''count'' or ''packet'']]="packet","packet",""))</f>
        <v/>
      </c>
      <c r="H157" s="45" t="str">
        <f>IF(Master[[#This Row],[Inventory Type - Lookup Picker]]="","",Master[[#This Row],[Inventory Type - Lookup Picker]])</f>
        <v/>
      </c>
      <c r="I157" t="str">
        <f>IF(Master[[#This Row],[Cooperator (Collector) 1 -full record]]="","",Master[[#This Row],[Cooperator (Collector) 1 -full record]])</f>
        <v/>
      </c>
    </row>
    <row r="158" spans="2:9" x14ac:dyDescent="0.25">
      <c r="B158" s="45" t="str">
        <f>Master[[#This Row],[Inventory Prefix]]&amp;" "&amp;Master[[#This Row],[Inventory Number]]&amp;" "&amp;Master[[#This Row],[Inventory Suffix]]&amp;" "&amp;Master[[#This Row],[Inventory Type - Lookup Picker]]</f>
        <v xml:space="preserve">   </v>
      </c>
      <c r="C158" t="str">
        <f t="shared" si="9"/>
        <v>Collected</v>
      </c>
      <c r="D158" t="str">
        <f t="shared" si="10"/>
        <v>mm/dd/yyyy</v>
      </c>
      <c r="E158" s="77" t="str">
        <f>IF(Master[[#This Row],[Date Collected or Developed]]="","",Master[[#This Row],[Date Collected or Developed]])</f>
        <v/>
      </c>
      <c r="F158" s="17" t="str">
        <f>IF(Master[[#This Row],[Quantity On Hand]]="","",Master[[#This Row],[Quantity On Hand]])</f>
        <v/>
      </c>
      <c r="G158" s="17" t="str">
        <f>IF(Master[[#This Row],[Quantity On Hand Units -''count'' or ''packet'']]="count","count",IF(Master[[#This Row],[Quantity On Hand Units -''count'' or ''packet'']]="packet","packet",""))</f>
        <v/>
      </c>
      <c r="H158" s="45" t="str">
        <f>IF(Master[[#This Row],[Inventory Type - Lookup Picker]]="","",Master[[#This Row],[Inventory Type - Lookup Picker]])</f>
        <v/>
      </c>
      <c r="I158" t="str">
        <f>IF(Master[[#This Row],[Cooperator (Collector) 1 -full record]]="","",Master[[#This Row],[Cooperator (Collector) 1 -full record]])</f>
        <v/>
      </c>
    </row>
    <row r="159" spans="2:9" x14ac:dyDescent="0.25">
      <c r="B159" s="45" t="str">
        <f>Master[[#This Row],[Inventory Prefix]]&amp;" "&amp;Master[[#This Row],[Inventory Number]]&amp;" "&amp;Master[[#This Row],[Inventory Suffix]]&amp;" "&amp;Master[[#This Row],[Inventory Type - Lookup Picker]]</f>
        <v xml:space="preserve">   </v>
      </c>
      <c r="C159" t="str">
        <f t="shared" si="9"/>
        <v>Collected</v>
      </c>
      <c r="D159" t="str">
        <f t="shared" si="10"/>
        <v>mm/dd/yyyy</v>
      </c>
      <c r="E159" s="77" t="str">
        <f>IF(Master[[#This Row],[Date Collected or Developed]]="","",Master[[#This Row],[Date Collected or Developed]])</f>
        <v/>
      </c>
      <c r="F159" s="17" t="str">
        <f>IF(Master[[#This Row],[Quantity On Hand]]="","",Master[[#This Row],[Quantity On Hand]])</f>
        <v/>
      </c>
      <c r="G159" s="17" t="str">
        <f>IF(Master[[#This Row],[Quantity On Hand Units -''count'' or ''packet'']]="count","count",IF(Master[[#This Row],[Quantity On Hand Units -''count'' or ''packet'']]="packet","packet",""))</f>
        <v/>
      </c>
      <c r="H159" s="45" t="str">
        <f>IF(Master[[#This Row],[Inventory Type - Lookup Picker]]="","",Master[[#This Row],[Inventory Type - Lookup Picker]])</f>
        <v/>
      </c>
      <c r="I159" t="str">
        <f>IF(Master[[#This Row],[Cooperator (Collector) 1 -full record]]="","",Master[[#This Row],[Cooperator (Collector) 1 -full record]])</f>
        <v/>
      </c>
    </row>
    <row r="160" spans="2:9" x14ac:dyDescent="0.25">
      <c r="B160" s="45" t="str">
        <f>Master[[#This Row],[Inventory Prefix]]&amp;" "&amp;Master[[#This Row],[Inventory Number]]&amp;" "&amp;Master[[#This Row],[Inventory Suffix]]&amp;" "&amp;Master[[#This Row],[Inventory Type - Lookup Picker]]</f>
        <v xml:space="preserve">   </v>
      </c>
      <c r="C160" t="str">
        <f t="shared" si="9"/>
        <v>Collected</v>
      </c>
      <c r="D160" t="str">
        <f t="shared" si="10"/>
        <v>mm/dd/yyyy</v>
      </c>
      <c r="E160" s="77" t="str">
        <f>IF(Master[[#This Row],[Date Collected or Developed]]="","",Master[[#This Row],[Date Collected or Developed]])</f>
        <v/>
      </c>
      <c r="F160" s="17" t="str">
        <f>IF(Master[[#This Row],[Quantity On Hand]]="","",Master[[#This Row],[Quantity On Hand]])</f>
        <v/>
      </c>
      <c r="G160" s="17" t="str">
        <f>IF(Master[[#This Row],[Quantity On Hand Units -''count'' or ''packet'']]="count","count",IF(Master[[#This Row],[Quantity On Hand Units -''count'' or ''packet'']]="packet","packet",""))</f>
        <v/>
      </c>
      <c r="H160" s="45" t="str">
        <f>IF(Master[[#This Row],[Inventory Type - Lookup Picker]]="","",Master[[#This Row],[Inventory Type - Lookup Picker]])</f>
        <v/>
      </c>
      <c r="I160" t="str">
        <f>IF(Master[[#This Row],[Cooperator (Collector) 1 -full record]]="","",Master[[#This Row],[Cooperator (Collector) 1 -full record]])</f>
        <v/>
      </c>
    </row>
    <row r="161" spans="2:9" x14ac:dyDescent="0.25">
      <c r="B161" s="45" t="str">
        <f>Master[[#This Row],[Inventory Prefix]]&amp;" "&amp;Master[[#This Row],[Inventory Number]]&amp;" "&amp;Master[[#This Row],[Inventory Suffix]]&amp;" "&amp;Master[[#This Row],[Inventory Type - Lookup Picker]]</f>
        <v xml:space="preserve">   </v>
      </c>
      <c r="C161" t="str">
        <f t="shared" si="9"/>
        <v>Collected</v>
      </c>
      <c r="D161" t="str">
        <f t="shared" si="10"/>
        <v>mm/dd/yyyy</v>
      </c>
      <c r="E161" s="77" t="str">
        <f>IF(Master[[#This Row],[Date Collected or Developed]]="","",Master[[#This Row],[Date Collected or Developed]])</f>
        <v/>
      </c>
      <c r="F161" s="17" t="str">
        <f>IF(Master[[#This Row],[Quantity On Hand]]="","",Master[[#This Row],[Quantity On Hand]])</f>
        <v/>
      </c>
      <c r="G161" s="17" t="str">
        <f>IF(Master[[#This Row],[Quantity On Hand Units -''count'' or ''packet'']]="count","count",IF(Master[[#This Row],[Quantity On Hand Units -''count'' or ''packet'']]="packet","packet",""))</f>
        <v/>
      </c>
      <c r="H161" s="45" t="str">
        <f>IF(Master[[#This Row],[Inventory Type - Lookup Picker]]="","",Master[[#This Row],[Inventory Type - Lookup Picker]])</f>
        <v/>
      </c>
      <c r="I161" t="str">
        <f>IF(Master[[#This Row],[Cooperator (Collector) 1 -full record]]="","",Master[[#This Row],[Cooperator (Collector) 1 -full record]])</f>
        <v/>
      </c>
    </row>
    <row r="162" spans="2:9" x14ac:dyDescent="0.25">
      <c r="B162" s="45" t="str">
        <f>Master[[#This Row],[Inventory Prefix]]&amp;" "&amp;Master[[#This Row],[Inventory Number]]&amp;" "&amp;Master[[#This Row],[Inventory Suffix]]&amp;" "&amp;Master[[#This Row],[Inventory Type - Lookup Picker]]</f>
        <v xml:space="preserve">   </v>
      </c>
      <c r="C162" t="str">
        <f t="shared" ref="C162:C193" si="11">"Collected"</f>
        <v>Collected</v>
      </c>
      <c r="D162" t="str">
        <f t="shared" si="10"/>
        <v>mm/dd/yyyy</v>
      </c>
      <c r="E162" s="77" t="str">
        <f>IF(Master[[#This Row],[Date Collected or Developed]]="","",Master[[#This Row],[Date Collected or Developed]])</f>
        <v/>
      </c>
      <c r="F162" s="17" t="str">
        <f>IF(Master[[#This Row],[Quantity On Hand]]="","",Master[[#This Row],[Quantity On Hand]])</f>
        <v/>
      </c>
      <c r="G162" s="17" t="str">
        <f>IF(Master[[#This Row],[Quantity On Hand Units -''count'' or ''packet'']]="count","count",IF(Master[[#This Row],[Quantity On Hand Units -''count'' or ''packet'']]="packet","packet",""))</f>
        <v/>
      </c>
      <c r="H162" s="45" t="str">
        <f>IF(Master[[#This Row],[Inventory Type - Lookup Picker]]="","",Master[[#This Row],[Inventory Type - Lookup Picker]])</f>
        <v/>
      </c>
      <c r="I162" t="str">
        <f>IF(Master[[#This Row],[Cooperator (Collector) 1 -full record]]="","",Master[[#This Row],[Cooperator (Collector) 1 -full record]])</f>
        <v/>
      </c>
    </row>
    <row r="163" spans="2:9" x14ac:dyDescent="0.25">
      <c r="B163" s="45" t="str">
        <f>Master[[#This Row],[Inventory Prefix]]&amp;" "&amp;Master[[#This Row],[Inventory Number]]&amp;" "&amp;Master[[#This Row],[Inventory Suffix]]&amp;" "&amp;Master[[#This Row],[Inventory Type - Lookup Picker]]</f>
        <v xml:space="preserve">   </v>
      </c>
      <c r="C163" t="str">
        <f t="shared" si="11"/>
        <v>Collected</v>
      </c>
      <c r="D163" t="str">
        <f t="shared" si="10"/>
        <v>mm/dd/yyyy</v>
      </c>
      <c r="E163" s="77" t="str">
        <f>IF(Master[[#This Row],[Date Collected or Developed]]="","",Master[[#This Row],[Date Collected or Developed]])</f>
        <v/>
      </c>
      <c r="F163" s="17" t="str">
        <f>IF(Master[[#This Row],[Quantity On Hand]]="","",Master[[#This Row],[Quantity On Hand]])</f>
        <v/>
      </c>
      <c r="G163" s="17" t="str">
        <f>IF(Master[[#This Row],[Quantity On Hand Units -''count'' or ''packet'']]="count","count",IF(Master[[#This Row],[Quantity On Hand Units -''count'' or ''packet'']]="packet","packet",""))</f>
        <v/>
      </c>
      <c r="H163" s="45" t="str">
        <f>IF(Master[[#This Row],[Inventory Type - Lookup Picker]]="","",Master[[#This Row],[Inventory Type - Lookup Picker]])</f>
        <v/>
      </c>
      <c r="I163" t="str">
        <f>IF(Master[[#This Row],[Cooperator (Collector) 1 -full record]]="","",Master[[#This Row],[Cooperator (Collector) 1 -full record]])</f>
        <v/>
      </c>
    </row>
    <row r="164" spans="2:9" x14ac:dyDescent="0.25">
      <c r="B164" s="45" t="str">
        <f>Master[[#This Row],[Inventory Prefix]]&amp;" "&amp;Master[[#This Row],[Inventory Number]]&amp;" "&amp;Master[[#This Row],[Inventory Suffix]]&amp;" "&amp;Master[[#This Row],[Inventory Type - Lookup Picker]]</f>
        <v xml:space="preserve">   </v>
      </c>
      <c r="C164" t="str">
        <f t="shared" si="11"/>
        <v>Collected</v>
      </c>
      <c r="D164" t="str">
        <f t="shared" si="10"/>
        <v>mm/dd/yyyy</v>
      </c>
      <c r="E164" s="77" t="str">
        <f>IF(Master[[#This Row],[Date Collected or Developed]]="","",Master[[#This Row],[Date Collected or Developed]])</f>
        <v/>
      </c>
      <c r="F164" s="17" t="str">
        <f>IF(Master[[#This Row],[Quantity On Hand]]="","",Master[[#This Row],[Quantity On Hand]])</f>
        <v/>
      </c>
      <c r="G164" s="17" t="str">
        <f>IF(Master[[#This Row],[Quantity On Hand Units -''count'' or ''packet'']]="count","count",IF(Master[[#This Row],[Quantity On Hand Units -''count'' or ''packet'']]="packet","packet",""))</f>
        <v/>
      </c>
      <c r="H164" s="45" t="str">
        <f>IF(Master[[#This Row],[Inventory Type - Lookup Picker]]="","",Master[[#This Row],[Inventory Type - Lookup Picker]])</f>
        <v/>
      </c>
      <c r="I164" t="str">
        <f>IF(Master[[#This Row],[Cooperator (Collector) 1 -full record]]="","",Master[[#This Row],[Cooperator (Collector) 1 -full record]])</f>
        <v/>
      </c>
    </row>
    <row r="165" spans="2:9" x14ac:dyDescent="0.25">
      <c r="B165" s="45" t="str">
        <f>Master[[#This Row],[Inventory Prefix]]&amp;" "&amp;Master[[#This Row],[Inventory Number]]&amp;" "&amp;Master[[#This Row],[Inventory Suffix]]&amp;" "&amp;Master[[#This Row],[Inventory Type - Lookup Picker]]</f>
        <v xml:space="preserve">   </v>
      </c>
      <c r="C165" t="str">
        <f t="shared" si="11"/>
        <v>Collected</v>
      </c>
      <c r="D165" t="str">
        <f t="shared" si="10"/>
        <v>mm/dd/yyyy</v>
      </c>
      <c r="E165" s="77" t="str">
        <f>IF(Master[[#This Row],[Date Collected or Developed]]="","",Master[[#This Row],[Date Collected or Developed]])</f>
        <v/>
      </c>
      <c r="F165" s="17" t="str">
        <f>IF(Master[[#This Row],[Quantity On Hand]]="","",Master[[#This Row],[Quantity On Hand]])</f>
        <v/>
      </c>
      <c r="G165" s="17" t="str">
        <f>IF(Master[[#This Row],[Quantity On Hand Units -''count'' or ''packet'']]="count","count",IF(Master[[#This Row],[Quantity On Hand Units -''count'' or ''packet'']]="packet","packet",""))</f>
        <v/>
      </c>
      <c r="H165" s="45" t="str">
        <f>IF(Master[[#This Row],[Inventory Type - Lookup Picker]]="","",Master[[#This Row],[Inventory Type - Lookup Picker]])</f>
        <v/>
      </c>
      <c r="I165" t="str">
        <f>IF(Master[[#This Row],[Cooperator (Collector) 1 -full record]]="","",Master[[#This Row],[Cooperator (Collector) 1 -full record]])</f>
        <v/>
      </c>
    </row>
    <row r="166" spans="2:9" x14ac:dyDescent="0.25">
      <c r="B166" s="45" t="str">
        <f>Master[[#This Row],[Inventory Prefix]]&amp;" "&amp;Master[[#This Row],[Inventory Number]]&amp;" "&amp;Master[[#This Row],[Inventory Suffix]]&amp;" "&amp;Master[[#This Row],[Inventory Type - Lookup Picker]]</f>
        <v xml:space="preserve">   </v>
      </c>
      <c r="C166" t="str">
        <f t="shared" si="11"/>
        <v>Collected</v>
      </c>
      <c r="D166" t="str">
        <f t="shared" si="10"/>
        <v>mm/dd/yyyy</v>
      </c>
      <c r="E166" s="77" t="str">
        <f>IF(Master[[#This Row],[Date Collected or Developed]]="","",Master[[#This Row],[Date Collected or Developed]])</f>
        <v/>
      </c>
      <c r="F166" s="17" t="str">
        <f>IF(Master[[#This Row],[Quantity On Hand]]="","",Master[[#This Row],[Quantity On Hand]])</f>
        <v/>
      </c>
      <c r="G166" s="17" t="str">
        <f>IF(Master[[#This Row],[Quantity On Hand Units -''count'' or ''packet'']]="count","count",IF(Master[[#This Row],[Quantity On Hand Units -''count'' or ''packet'']]="packet","packet",""))</f>
        <v/>
      </c>
      <c r="H166" s="45" t="str">
        <f>IF(Master[[#This Row],[Inventory Type - Lookup Picker]]="","",Master[[#This Row],[Inventory Type - Lookup Picker]])</f>
        <v/>
      </c>
      <c r="I166" t="str">
        <f>IF(Master[[#This Row],[Cooperator (Collector) 1 -full record]]="","",Master[[#This Row],[Cooperator (Collector) 1 -full record]])</f>
        <v/>
      </c>
    </row>
    <row r="167" spans="2:9" x14ac:dyDescent="0.25">
      <c r="B167" s="45" t="str">
        <f>Master[[#This Row],[Inventory Prefix]]&amp;" "&amp;Master[[#This Row],[Inventory Number]]&amp;" "&amp;Master[[#This Row],[Inventory Suffix]]&amp;" "&amp;Master[[#This Row],[Inventory Type - Lookup Picker]]</f>
        <v xml:space="preserve">   </v>
      </c>
      <c r="C167" t="str">
        <f t="shared" si="11"/>
        <v>Collected</v>
      </c>
      <c r="D167" t="str">
        <f t="shared" si="10"/>
        <v>mm/dd/yyyy</v>
      </c>
      <c r="E167" s="77" t="str">
        <f>IF(Master[[#This Row],[Date Collected or Developed]]="","",Master[[#This Row],[Date Collected or Developed]])</f>
        <v/>
      </c>
      <c r="F167" s="17" t="str">
        <f>IF(Master[[#This Row],[Quantity On Hand]]="","",Master[[#This Row],[Quantity On Hand]])</f>
        <v/>
      </c>
      <c r="G167" s="17" t="str">
        <f>IF(Master[[#This Row],[Quantity On Hand Units -''count'' or ''packet'']]="count","count",IF(Master[[#This Row],[Quantity On Hand Units -''count'' or ''packet'']]="packet","packet",""))</f>
        <v/>
      </c>
      <c r="H167" s="45" t="str">
        <f>IF(Master[[#This Row],[Inventory Type - Lookup Picker]]="","",Master[[#This Row],[Inventory Type - Lookup Picker]])</f>
        <v/>
      </c>
      <c r="I167" t="str">
        <f>IF(Master[[#This Row],[Cooperator (Collector) 1 -full record]]="","",Master[[#This Row],[Cooperator (Collector) 1 -full record]])</f>
        <v/>
      </c>
    </row>
    <row r="168" spans="2:9" x14ac:dyDescent="0.25">
      <c r="B168" s="45" t="str">
        <f>Master[[#This Row],[Inventory Prefix]]&amp;" "&amp;Master[[#This Row],[Inventory Number]]&amp;" "&amp;Master[[#This Row],[Inventory Suffix]]&amp;" "&amp;Master[[#This Row],[Inventory Type - Lookup Picker]]</f>
        <v xml:space="preserve">   </v>
      </c>
      <c r="C168" t="str">
        <f t="shared" si="11"/>
        <v>Collected</v>
      </c>
      <c r="D168" t="str">
        <f t="shared" si="10"/>
        <v>mm/dd/yyyy</v>
      </c>
      <c r="E168" s="77" t="str">
        <f>IF(Master[[#This Row],[Date Collected or Developed]]="","",Master[[#This Row],[Date Collected or Developed]])</f>
        <v/>
      </c>
      <c r="F168" s="17" t="str">
        <f>IF(Master[[#This Row],[Quantity On Hand]]="","",Master[[#This Row],[Quantity On Hand]])</f>
        <v/>
      </c>
      <c r="G168" s="17" t="str">
        <f>IF(Master[[#This Row],[Quantity On Hand Units -''count'' or ''packet'']]="count","count",IF(Master[[#This Row],[Quantity On Hand Units -''count'' or ''packet'']]="packet","packet",""))</f>
        <v/>
      </c>
      <c r="H168" s="45" t="str">
        <f>IF(Master[[#This Row],[Inventory Type - Lookup Picker]]="","",Master[[#This Row],[Inventory Type - Lookup Picker]])</f>
        <v/>
      </c>
      <c r="I168" t="str">
        <f>IF(Master[[#This Row],[Cooperator (Collector) 1 -full record]]="","",Master[[#This Row],[Cooperator (Collector) 1 -full record]])</f>
        <v/>
      </c>
    </row>
    <row r="169" spans="2:9" x14ac:dyDescent="0.25">
      <c r="B169" s="45" t="str">
        <f>Master[[#This Row],[Inventory Prefix]]&amp;" "&amp;Master[[#This Row],[Inventory Number]]&amp;" "&amp;Master[[#This Row],[Inventory Suffix]]&amp;" "&amp;Master[[#This Row],[Inventory Type - Lookup Picker]]</f>
        <v xml:space="preserve">   </v>
      </c>
      <c r="C169" t="str">
        <f t="shared" si="11"/>
        <v>Collected</v>
      </c>
      <c r="D169" t="str">
        <f t="shared" si="10"/>
        <v>mm/dd/yyyy</v>
      </c>
      <c r="E169" s="77" t="str">
        <f>IF(Master[[#This Row],[Date Collected or Developed]]="","",Master[[#This Row],[Date Collected or Developed]])</f>
        <v/>
      </c>
      <c r="F169" s="17" t="str">
        <f>IF(Master[[#This Row],[Quantity On Hand]]="","",Master[[#This Row],[Quantity On Hand]])</f>
        <v/>
      </c>
      <c r="G169" s="17" t="str">
        <f>IF(Master[[#This Row],[Quantity On Hand Units -''count'' or ''packet'']]="count","count",IF(Master[[#This Row],[Quantity On Hand Units -''count'' or ''packet'']]="packet","packet",""))</f>
        <v/>
      </c>
      <c r="H169" s="45" t="str">
        <f>IF(Master[[#This Row],[Inventory Type - Lookup Picker]]="","",Master[[#This Row],[Inventory Type - Lookup Picker]])</f>
        <v/>
      </c>
      <c r="I169" t="str">
        <f>IF(Master[[#This Row],[Cooperator (Collector) 1 -full record]]="","",Master[[#This Row],[Cooperator (Collector) 1 -full record]])</f>
        <v/>
      </c>
    </row>
    <row r="170" spans="2:9" x14ac:dyDescent="0.25">
      <c r="B170" s="45" t="str">
        <f>Master[[#This Row],[Inventory Prefix]]&amp;" "&amp;Master[[#This Row],[Inventory Number]]&amp;" "&amp;Master[[#This Row],[Inventory Suffix]]&amp;" "&amp;Master[[#This Row],[Inventory Type - Lookup Picker]]</f>
        <v xml:space="preserve">   </v>
      </c>
      <c r="C170" t="str">
        <f t="shared" si="11"/>
        <v>Collected</v>
      </c>
      <c r="D170" t="str">
        <f t="shared" si="10"/>
        <v>mm/dd/yyyy</v>
      </c>
      <c r="E170" s="77" t="str">
        <f>IF(Master[[#This Row],[Date Collected or Developed]]="","",Master[[#This Row],[Date Collected or Developed]])</f>
        <v/>
      </c>
      <c r="F170" s="17" t="str">
        <f>IF(Master[[#This Row],[Quantity On Hand]]="","",Master[[#This Row],[Quantity On Hand]])</f>
        <v/>
      </c>
      <c r="G170" s="17" t="str">
        <f>IF(Master[[#This Row],[Quantity On Hand Units -''count'' or ''packet'']]="count","count",IF(Master[[#This Row],[Quantity On Hand Units -''count'' or ''packet'']]="packet","packet",""))</f>
        <v/>
      </c>
      <c r="H170" s="45" t="str">
        <f>IF(Master[[#This Row],[Inventory Type - Lookup Picker]]="","",Master[[#This Row],[Inventory Type - Lookup Picker]])</f>
        <v/>
      </c>
      <c r="I170" t="str">
        <f>IF(Master[[#This Row],[Cooperator (Collector) 1 -full record]]="","",Master[[#This Row],[Cooperator (Collector) 1 -full record]])</f>
        <v/>
      </c>
    </row>
    <row r="171" spans="2:9" x14ac:dyDescent="0.25">
      <c r="B171" s="45" t="str">
        <f>Master[[#This Row],[Inventory Prefix]]&amp;" "&amp;Master[[#This Row],[Inventory Number]]&amp;" "&amp;Master[[#This Row],[Inventory Suffix]]&amp;" "&amp;Master[[#This Row],[Inventory Type - Lookup Picker]]</f>
        <v xml:space="preserve">   </v>
      </c>
      <c r="C171" t="str">
        <f t="shared" si="11"/>
        <v>Collected</v>
      </c>
      <c r="D171" t="str">
        <f t="shared" si="10"/>
        <v>mm/dd/yyyy</v>
      </c>
      <c r="E171" s="77" t="str">
        <f>IF(Master[[#This Row],[Date Collected or Developed]]="","",Master[[#This Row],[Date Collected or Developed]])</f>
        <v/>
      </c>
      <c r="F171" s="17" t="str">
        <f>IF(Master[[#This Row],[Quantity On Hand]]="","",Master[[#This Row],[Quantity On Hand]])</f>
        <v/>
      </c>
      <c r="G171" s="17" t="str">
        <f>IF(Master[[#This Row],[Quantity On Hand Units -''count'' or ''packet'']]="count","count",IF(Master[[#This Row],[Quantity On Hand Units -''count'' or ''packet'']]="packet","packet",""))</f>
        <v/>
      </c>
      <c r="H171" s="45" t="str">
        <f>IF(Master[[#This Row],[Inventory Type - Lookup Picker]]="","",Master[[#This Row],[Inventory Type - Lookup Picker]])</f>
        <v/>
      </c>
      <c r="I171" t="str">
        <f>IF(Master[[#This Row],[Cooperator (Collector) 1 -full record]]="","",Master[[#This Row],[Cooperator (Collector) 1 -full record]])</f>
        <v/>
      </c>
    </row>
    <row r="172" spans="2:9" x14ac:dyDescent="0.25">
      <c r="B172" s="45" t="str">
        <f>Master[[#This Row],[Inventory Prefix]]&amp;" "&amp;Master[[#This Row],[Inventory Number]]&amp;" "&amp;Master[[#This Row],[Inventory Suffix]]&amp;" "&amp;Master[[#This Row],[Inventory Type - Lookup Picker]]</f>
        <v xml:space="preserve">   </v>
      </c>
      <c r="C172" t="str">
        <f t="shared" si="11"/>
        <v>Collected</v>
      </c>
      <c r="D172" t="str">
        <f t="shared" si="10"/>
        <v>mm/dd/yyyy</v>
      </c>
      <c r="E172" s="77" t="str">
        <f>IF(Master[[#This Row],[Date Collected or Developed]]="","",Master[[#This Row],[Date Collected or Developed]])</f>
        <v/>
      </c>
      <c r="F172" s="17" t="str">
        <f>IF(Master[[#This Row],[Quantity On Hand]]="","",Master[[#This Row],[Quantity On Hand]])</f>
        <v/>
      </c>
      <c r="G172" s="17" t="str">
        <f>IF(Master[[#This Row],[Quantity On Hand Units -''count'' or ''packet'']]="count","count",IF(Master[[#This Row],[Quantity On Hand Units -''count'' or ''packet'']]="packet","packet",""))</f>
        <v/>
      </c>
      <c r="H172" s="45" t="str">
        <f>IF(Master[[#This Row],[Inventory Type - Lookup Picker]]="","",Master[[#This Row],[Inventory Type - Lookup Picker]])</f>
        <v/>
      </c>
      <c r="I172" t="str">
        <f>IF(Master[[#This Row],[Cooperator (Collector) 1 -full record]]="","",Master[[#This Row],[Cooperator (Collector) 1 -full record]])</f>
        <v/>
      </c>
    </row>
    <row r="173" spans="2:9" x14ac:dyDescent="0.25">
      <c r="B173" s="45" t="str">
        <f>Master[[#This Row],[Inventory Prefix]]&amp;" "&amp;Master[[#This Row],[Inventory Number]]&amp;" "&amp;Master[[#This Row],[Inventory Suffix]]&amp;" "&amp;Master[[#This Row],[Inventory Type - Lookup Picker]]</f>
        <v xml:space="preserve">   </v>
      </c>
      <c r="C173" t="str">
        <f t="shared" si="11"/>
        <v>Collected</v>
      </c>
      <c r="D173" t="str">
        <f t="shared" si="10"/>
        <v>mm/dd/yyyy</v>
      </c>
      <c r="E173" s="77" t="str">
        <f>IF(Master[[#This Row],[Date Collected or Developed]]="","",Master[[#This Row],[Date Collected or Developed]])</f>
        <v/>
      </c>
      <c r="F173" s="17" t="str">
        <f>IF(Master[[#This Row],[Quantity On Hand]]="","",Master[[#This Row],[Quantity On Hand]])</f>
        <v/>
      </c>
      <c r="G173" s="17" t="str">
        <f>IF(Master[[#This Row],[Quantity On Hand Units -''count'' or ''packet'']]="count","count",IF(Master[[#This Row],[Quantity On Hand Units -''count'' or ''packet'']]="packet","packet",""))</f>
        <v/>
      </c>
      <c r="H173" s="45" t="str">
        <f>IF(Master[[#This Row],[Inventory Type - Lookup Picker]]="","",Master[[#This Row],[Inventory Type - Lookup Picker]])</f>
        <v/>
      </c>
      <c r="I173" t="str">
        <f>IF(Master[[#This Row],[Cooperator (Collector) 1 -full record]]="","",Master[[#This Row],[Cooperator (Collector) 1 -full record]])</f>
        <v/>
      </c>
    </row>
    <row r="174" spans="2:9" x14ac:dyDescent="0.25">
      <c r="B174" s="45" t="str">
        <f>Master[[#This Row],[Inventory Prefix]]&amp;" "&amp;Master[[#This Row],[Inventory Number]]&amp;" "&amp;Master[[#This Row],[Inventory Suffix]]&amp;" "&amp;Master[[#This Row],[Inventory Type - Lookup Picker]]</f>
        <v xml:space="preserve">   </v>
      </c>
      <c r="C174" t="str">
        <f t="shared" si="11"/>
        <v>Collected</v>
      </c>
      <c r="D174" t="str">
        <f t="shared" si="10"/>
        <v>mm/dd/yyyy</v>
      </c>
      <c r="E174" s="77" t="str">
        <f>IF(Master[[#This Row],[Date Collected or Developed]]="","",Master[[#This Row],[Date Collected or Developed]])</f>
        <v/>
      </c>
      <c r="F174" s="17" t="str">
        <f>IF(Master[[#This Row],[Quantity On Hand]]="","",Master[[#This Row],[Quantity On Hand]])</f>
        <v/>
      </c>
      <c r="G174" s="17" t="str">
        <f>IF(Master[[#This Row],[Quantity On Hand Units -''count'' or ''packet'']]="count","count",IF(Master[[#This Row],[Quantity On Hand Units -''count'' or ''packet'']]="packet","packet",""))</f>
        <v/>
      </c>
      <c r="H174" s="45" t="str">
        <f>IF(Master[[#This Row],[Inventory Type - Lookup Picker]]="","",Master[[#This Row],[Inventory Type - Lookup Picker]])</f>
        <v/>
      </c>
      <c r="I174" t="str">
        <f>IF(Master[[#This Row],[Cooperator (Collector) 1 -full record]]="","",Master[[#This Row],[Cooperator (Collector) 1 -full record]])</f>
        <v/>
      </c>
    </row>
    <row r="175" spans="2:9" x14ac:dyDescent="0.25">
      <c r="B175" s="45" t="str">
        <f>Master[[#This Row],[Inventory Prefix]]&amp;" "&amp;Master[[#This Row],[Inventory Number]]&amp;" "&amp;Master[[#This Row],[Inventory Suffix]]&amp;" "&amp;Master[[#This Row],[Inventory Type - Lookup Picker]]</f>
        <v xml:space="preserve">   </v>
      </c>
      <c r="C175" t="str">
        <f t="shared" si="11"/>
        <v>Collected</v>
      </c>
      <c r="D175" t="str">
        <f t="shared" si="10"/>
        <v>mm/dd/yyyy</v>
      </c>
      <c r="E175" s="77" t="str">
        <f>IF(Master[[#This Row],[Date Collected or Developed]]="","",Master[[#This Row],[Date Collected or Developed]])</f>
        <v/>
      </c>
      <c r="F175" s="17" t="str">
        <f>IF(Master[[#This Row],[Quantity On Hand]]="","",Master[[#This Row],[Quantity On Hand]])</f>
        <v/>
      </c>
      <c r="G175" s="17" t="str">
        <f>IF(Master[[#This Row],[Quantity On Hand Units -''count'' or ''packet'']]="count","count",IF(Master[[#This Row],[Quantity On Hand Units -''count'' or ''packet'']]="packet","packet",""))</f>
        <v/>
      </c>
      <c r="H175" s="45" t="str">
        <f>IF(Master[[#This Row],[Inventory Type - Lookup Picker]]="","",Master[[#This Row],[Inventory Type - Lookup Picker]])</f>
        <v/>
      </c>
      <c r="I175" t="str">
        <f>IF(Master[[#This Row],[Cooperator (Collector) 1 -full record]]="","",Master[[#This Row],[Cooperator (Collector) 1 -full record]])</f>
        <v/>
      </c>
    </row>
    <row r="176" spans="2:9" x14ac:dyDescent="0.25">
      <c r="B176" s="45" t="str">
        <f>Master[[#This Row],[Inventory Prefix]]&amp;" "&amp;Master[[#This Row],[Inventory Number]]&amp;" "&amp;Master[[#This Row],[Inventory Suffix]]&amp;" "&amp;Master[[#This Row],[Inventory Type - Lookup Picker]]</f>
        <v xml:space="preserve">   </v>
      </c>
      <c r="C176" t="str">
        <f t="shared" si="11"/>
        <v>Collected</v>
      </c>
      <c r="D176" t="str">
        <f t="shared" si="10"/>
        <v>mm/dd/yyyy</v>
      </c>
      <c r="E176" s="77" t="str">
        <f>IF(Master[[#This Row],[Date Collected or Developed]]="","",Master[[#This Row],[Date Collected or Developed]])</f>
        <v/>
      </c>
      <c r="F176" s="17" t="str">
        <f>IF(Master[[#This Row],[Quantity On Hand]]="","",Master[[#This Row],[Quantity On Hand]])</f>
        <v/>
      </c>
      <c r="G176" s="17" t="str">
        <f>IF(Master[[#This Row],[Quantity On Hand Units -''count'' or ''packet'']]="count","count",IF(Master[[#This Row],[Quantity On Hand Units -''count'' or ''packet'']]="packet","packet",""))</f>
        <v/>
      </c>
      <c r="H176" s="45" t="str">
        <f>IF(Master[[#This Row],[Inventory Type - Lookup Picker]]="","",Master[[#This Row],[Inventory Type - Lookup Picker]])</f>
        <v/>
      </c>
      <c r="I176" t="str">
        <f>IF(Master[[#This Row],[Cooperator (Collector) 1 -full record]]="","",Master[[#This Row],[Cooperator (Collector) 1 -full record]])</f>
        <v/>
      </c>
    </row>
    <row r="177" spans="2:9" x14ac:dyDescent="0.25">
      <c r="B177" s="45" t="str">
        <f>Master[[#This Row],[Inventory Prefix]]&amp;" "&amp;Master[[#This Row],[Inventory Number]]&amp;" "&amp;Master[[#This Row],[Inventory Suffix]]&amp;" "&amp;Master[[#This Row],[Inventory Type - Lookup Picker]]</f>
        <v xml:space="preserve">   </v>
      </c>
      <c r="C177" t="str">
        <f t="shared" si="11"/>
        <v>Collected</v>
      </c>
      <c r="D177" t="str">
        <f t="shared" si="10"/>
        <v>mm/dd/yyyy</v>
      </c>
      <c r="E177" s="77" t="str">
        <f>IF(Master[[#This Row],[Date Collected or Developed]]="","",Master[[#This Row],[Date Collected or Developed]])</f>
        <v/>
      </c>
      <c r="F177" s="17" t="str">
        <f>IF(Master[[#This Row],[Quantity On Hand]]="","",Master[[#This Row],[Quantity On Hand]])</f>
        <v/>
      </c>
      <c r="G177" s="17" t="str">
        <f>IF(Master[[#This Row],[Quantity On Hand Units -''count'' or ''packet'']]="count","count",IF(Master[[#This Row],[Quantity On Hand Units -''count'' or ''packet'']]="packet","packet",""))</f>
        <v/>
      </c>
      <c r="H177" s="45" t="str">
        <f>IF(Master[[#This Row],[Inventory Type - Lookup Picker]]="","",Master[[#This Row],[Inventory Type - Lookup Picker]])</f>
        <v/>
      </c>
      <c r="I177" t="str">
        <f>IF(Master[[#This Row],[Cooperator (Collector) 1 -full record]]="","",Master[[#This Row],[Cooperator (Collector) 1 -full record]])</f>
        <v/>
      </c>
    </row>
    <row r="178" spans="2:9" x14ac:dyDescent="0.25">
      <c r="B178" s="45" t="str">
        <f>Master[[#This Row],[Inventory Prefix]]&amp;" "&amp;Master[[#This Row],[Inventory Number]]&amp;" "&amp;Master[[#This Row],[Inventory Suffix]]&amp;" "&amp;Master[[#This Row],[Inventory Type - Lookup Picker]]</f>
        <v xml:space="preserve">   </v>
      </c>
      <c r="C178" t="str">
        <f t="shared" si="11"/>
        <v>Collected</v>
      </c>
      <c r="D178" t="str">
        <f t="shared" si="10"/>
        <v>mm/dd/yyyy</v>
      </c>
      <c r="E178" s="77" t="str">
        <f>IF(Master[[#This Row],[Date Collected or Developed]]="","",Master[[#This Row],[Date Collected or Developed]])</f>
        <v/>
      </c>
      <c r="F178" s="17" t="str">
        <f>IF(Master[[#This Row],[Quantity On Hand]]="","",Master[[#This Row],[Quantity On Hand]])</f>
        <v/>
      </c>
      <c r="G178" s="17" t="str">
        <f>IF(Master[[#This Row],[Quantity On Hand Units -''count'' or ''packet'']]="count","count",IF(Master[[#This Row],[Quantity On Hand Units -''count'' or ''packet'']]="packet","packet",""))</f>
        <v/>
      </c>
      <c r="H178" s="45" t="str">
        <f>IF(Master[[#This Row],[Inventory Type - Lookup Picker]]="","",Master[[#This Row],[Inventory Type - Lookup Picker]])</f>
        <v/>
      </c>
      <c r="I178" t="str">
        <f>IF(Master[[#This Row],[Cooperator (Collector) 1 -full record]]="","",Master[[#This Row],[Cooperator (Collector) 1 -full record]])</f>
        <v/>
      </c>
    </row>
    <row r="179" spans="2:9" x14ac:dyDescent="0.25">
      <c r="B179" s="45" t="str">
        <f>Master[[#This Row],[Inventory Prefix]]&amp;" "&amp;Master[[#This Row],[Inventory Number]]&amp;" "&amp;Master[[#This Row],[Inventory Suffix]]&amp;" "&amp;Master[[#This Row],[Inventory Type - Lookup Picker]]</f>
        <v xml:space="preserve">   </v>
      </c>
      <c r="C179" t="str">
        <f t="shared" si="11"/>
        <v>Collected</v>
      </c>
      <c r="D179" t="str">
        <f t="shared" si="10"/>
        <v>mm/dd/yyyy</v>
      </c>
      <c r="E179" s="77" t="str">
        <f>IF(Master[[#This Row],[Date Collected or Developed]]="","",Master[[#This Row],[Date Collected or Developed]])</f>
        <v/>
      </c>
      <c r="F179" s="17" t="str">
        <f>IF(Master[[#This Row],[Quantity On Hand]]="","",Master[[#This Row],[Quantity On Hand]])</f>
        <v/>
      </c>
      <c r="G179" s="17" t="str">
        <f>IF(Master[[#This Row],[Quantity On Hand Units -''count'' or ''packet'']]="count","count",IF(Master[[#This Row],[Quantity On Hand Units -''count'' or ''packet'']]="packet","packet",""))</f>
        <v/>
      </c>
      <c r="H179" s="45" t="str">
        <f>IF(Master[[#This Row],[Inventory Type - Lookup Picker]]="","",Master[[#This Row],[Inventory Type - Lookup Picker]])</f>
        <v/>
      </c>
      <c r="I179" t="str">
        <f>IF(Master[[#This Row],[Cooperator (Collector) 1 -full record]]="","",Master[[#This Row],[Cooperator (Collector) 1 -full record]])</f>
        <v/>
      </c>
    </row>
    <row r="180" spans="2:9" x14ac:dyDescent="0.25">
      <c r="B180" s="45" t="str">
        <f>Master[[#This Row],[Inventory Prefix]]&amp;" "&amp;Master[[#This Row],[Inventory Number]]&amp;" "&amp;Master[[#This Row],[Inventory Suffix]]&amp;" "&amp;Master[[#This Row],[Inventory Type - Lookup Picker]]</f>
        <v xml:space="preserve">   </v>
      </c>
      <c r="C180" t="str">
        <f t="shared" si="11"/>
        <v>Collected</v>
      </c>
      <c r="D180" t="str">
        <f t="shared" si="10"/>
        <v>mm/dd/yyyy</v>
      </c>
      <c r="E180" s="77" t="str">
        <f>IF(Master[[#This Row],[Date Collected or Developed]]="","",Master[[#This Row],[Date Collected or Developed]])</f>
        <v/>
      </c>
      <c r="F180" s="17" t="str">
        <f>IF(Master[[#This Row],[Quantity On Hand]]="","",Master[[#This Row],[Quantity On Hand]])</f>
        <v/>
      </c>
      <c r="G180" s="17" t="str">
        <f>IF(Master[[#This Row],[Quantity On Hand Units -''count'' or ''packet'']]="count","count",IF(Master[[#This Row],[Quantity On Hand Units -''count'' or ''packet'']]="packet","packet",""))</f>
        <v/>
      </c>
      <c r="H180" s="45" t="str">
        <f>IF(Master[[#This Row],[Inventory Type - Lookup Picker]]="","",Master[[#This Row],[Inventory Type - Lookup Picker]])</f>
        <v/>
      </c>
      <c r="I180" t="str">
        <f>IF(Master[[#This Row],[Cooperator (Collector) 1 -full record]]="","",Master[[#This Row],[Cooperator (Collector) 1 -full record]])</f>
        <v/>
      </c>
    </row>
    <row r="181" spans="2:9" x14ac:dyDescent="0.25">
      <c r="B181" s="45" t="str">
        <f>Master[[#This Row],[Inventory Prefix]]&amp;" "&amp;Master[[#This Row],[Inventory Number]]&amp;" "&amp;Master[[#This Row],[Inventory Suffix]]&amp;" "&amp;Master[[#This Row],[Inventory Type - Lookup Picker]]</f>
        <v xml:space="preserve">   </v>
      </c>
      <c r="C181" t="str">
        <f t="shared" si="11"/>
        <v>Collected</v>
      </c>
      <c r="D181" t="str">
        <f t="shared" si="10"/>
        <v>mm/dd/yyyy</v>
      </c>
      <c r="E181" s="77" t="str">
        <f>IF(Master[[#This Row],[Date Collected or Developed]]="","",Master[[#This Row],[Date Collected or Developed]])</f>
        <v/>
      </c>
      <c r="F181" s="17" t="str">
        <f>IF(Master[[#This Row],[Quantity On Hand]]="","",Master[[#This Row],[Quantity On Hand]])</f>
        <v/>
      </c>
      <c r="G181" s="17" t="str">
        <f>IF(Master[[#This Row],[Quantity On Hand Units -''count'' or ''packet'']]="count","count",IF(Master[[#This Row],[Quantity On Hand Units -''count'' or ''packet'']]="packet","packet",""))</f>
        <v/>
      </c>
      <c r="H181" s="45" t="str">
        <f>IF(Master[[#This Row],[Inventory Type - Lookup Picker]]="","",Master[[#This Row],[Inventory Type - Lookup Picker]])</f>
        <v/>
      </c>
      <c r="I181" t="str">
        <f>IF(Master[[#This Row],[Cooperator (Collector) 1 -full record]]="","",Master[[#This Row],[Cooperator (Collector) 1 -full record]])</f>
        <v/>
      </c>
    </row>
    <row r="182" spans="2:9" x14ac:dyDescent="0.25">
      <c r="B182" s="45" t="str">
        <f>Master[[#This Row],[Inventory Prefix]]&amp;" "&amp;Master[[#This Row],[Inventory Number]]&amp;" "&amp;Master[[#This Row],[Inventory Suffix]]&amp;" "&amp;Master[[#This Row],[Inventory Type - Lookup Picker]]</f>
        <v xml:space="preserve">   </v>
      </c>
      <c r="C182" t="str">
        <f t="shared" si="11"/>
        <v>Collected</v>
      </c>
      <c r="D182" t="str">
        <f t="shared" ref="D182:D201" si="12">"mm/dd/yyyy"</f>
        <v>mm/dd/yyyy</v>
      </c>
      <c r="E182" s="77" t="str">
        <f>IF(Master[[#This Row],[Date Collected or Developed]]="","",Master[[#This Row],[Date Collected or Developed]])</f>
        <v/>
      </c>
      <c r="F182" s="17" t="str">
        <f>IF(Master[[#This Row],[Quantity On Hand]]="","",Master[[#This Row],[Quantity On Hand]])</f>
        <v/>
      </c>
      <c r="G182" s="17" t="str">
        <f>IF(Master[[#This Row],[Quantity On Hand Units -''count'' or ''packet'']]="count","count",IF(Master[[#This Row],[Quantity On Hand Units -''count'' or ''packet'']]="packet","packet",""))</f>
        <v/>
      </c>
      <c r="H182" s="45" t="str">
        <f>IF(Master[[#This Row],[Inventory Type - Lookup Picker]]="","",Master[[#This Row],[Inventory Type - Lookup Picker]])</f>
        <v/>
      </c>
      <c r="I182" t="str">
        <f>IF(Master[[#This Row],[Cooperator (Collector) 1 -full record]]="","",Master[[#This Row],[Cooperator (Collector) 1 -full record]])</f>
        <v/>
      </c>
    </row>
    <row r="183" spans="2:9" x14ac:dyDescent="0.25">
      <c r="B183" s="45" t="str">
        <f>Master[[#This Row],[Inventory Prefix]]&amp;" "&amp;Master[[#This Row],[Inventory Number]]&amp;" "&amp;Master[[#This Row],[Inventory Suffix]]&amp;" "&amp;Master[[#This Row],[Inventory Type - Lookup Picker]]</f>
        <v xml:space="preserve">   </v>
      </c>
      <c r="C183" t="str">
        <f t="shared" si="11"/>
        <v>Collected</v>
      </c>
      <c r="D183" t="str">
        <f t="shared" si="12"/>
        <v>mm/dd/yyyy</v>
      </c>
      <c r="E183" s="77" t="str">
        <f>IF(Master[[#This Row],[Date Collected or Developed]]="","",Master[[#This Row],[Date Collected or Developed]])</f>
        <v/>
      </c>
      <c r="F183" s="17" t="str">
        <f>IF(Master[[#This Row],[Quantity On Hand]]="","",Master[[#This Row],[Quantity On Hand]])</f>
        <v/>
      </c>
      <c r="G183" s="17" t="str">
        <f>IF(Master[[#This Row],[Quantity On Hand Units -''count'' or ''packet'']]="count","count",IF(Master[[#This Row],[Quantity On Hand Units -''count'' or ''packet'']]="packet","packet",""))</f>
        <v/>
      </c>
      <c r="H183" s="45" t="str">
        <f>IF(Master[[#This Row],[Inventory Type - Lookup Picker]]="","",Master[[#This Row],[Inventory Type - Lookup Picker]])</f>
        <v/>
      </c>
      <c r="I183" t="str">
        <f>IF(Master[[#This Row],[Cooperator (Collector) 1 -full record]]="","",Master[[#This Row],[Cooperator (Collector) 1 -full record]])</f>
        <v/>
      </c>
    </row>
    <row r="184" spans="2:9" x14ac:dyDescent="0.25">
      <c r="B184" s="45" t="str">
        <f>Master[[#This Row],[Inventory Prefix]]&amp;" "&amp;Master[[#This Row],[Inventory Number]]&amp;" "&amp;Master[[#This Row],[Inventory Suffix]]&amp;" "&amp;Master[[#This Row],[Inventory Type - Lookup Picker]]</f>
        <v xml:space="preserve">   </v>
      </c>
      <c r="C184" t="str">
        <f t="shared" si="11"/>
        <v>Collected</v>
      </c>
      <c r="D184" t="str">
        <f t="shared" si="12"/>
        <v>mm/dd/yyyy</v>
      </c>
      <c r="E184" s="77" t="str">
        <f>IF(Master[[#This Row],[Date Collected or Developed]]="","",Master[[#This Row],[Date Collected or Developed]])</f>
        <v/>
      </c>
      <c r="F184" s="17" t="str">
        <f>IF(Master[[#This Row],[Quantity On Hand]]="","",Master[[#This Row],[Quantity On Hand]])</f>
        <v/>
      </c>
      <c r="G184" s="17" t="str">
        <f>IF(Master[[#This Row],[Quantity On Hand Units -''count'' or ''packet'']]="count","count",IF(Master[[#This Row],[Quantity On Hand Units -''count'' or ''packet'']]="packet","packet",""))</f>
        <v/>
      </c>
      <c r="H184" s="45" t="str">
        <f>IF(Master[[#This Row],[Inventory Type - Lookup Picker]]="","",Master[[#This Row],[Inventory Type - Lookup Picker]])</f>
        <v/>
      </c>
      <c r="I184" t="str">
        <f>IF(Master[[#This Row],[Cooperator (Collector) 1 -full record]]="","",Master[[#This Row],[Cooperator (Collector) 1 -full record]])</f>
        <v/>
      </c>
    </row>
    <row r="185" spans="2:9" x14ac:dyDescent="0.25">
      <c r="B185" s="45" t="str">
        <f>Master[[#This Row],[Inventory Prefix]]&amp;" "&amp;Master[[#This Row],[Inventory Number]]&amp;" "&amp;Master[[#This Row],[Inventory Suffix]]&amp;" "&amp;Master[[#This Row],[Inventory Type - Lookup Picker]]</f>
        <v xml:space="preserve">   </v>
      </c>
      <c r="C185" t="str">
        <f t="shared" si="11"/>
        <v>Collected</v>
      </c>
      <c r="D185" t="str">
        <f t="shared" si="12"/>
        <v>mm/dd/yyyy</v>
      </c>
      <c r="E185" s="77" t="str">
        <f>IF(Master[[#This Row],[Date Collected or Developed]]="","",Master[[#This Row],[Date Collected or Developed]])</f>
        <v/>
      </c>
      <c r="F185" s="17" t="str">
        <f>IF(Master[[#This Row],[Quantity On Hand]]="","",Master[[#This Row],[Quantity On Hand]])</f>
        <v/>
      </c>
      <c r="G185" s="17" t="str">
        <f>IF(Master[[#This Row],[Quantity On Hand Units -''count'' or ''packet'']]="count","count",IF(Master[[#This Row],[Quantity On Hand Units -''count'' or ''packet'']]="packet","packet",""))</f>
        <v/>
      </c>
      <c r="H185" s="45" t="str">
        <f>IF(Master[[#This Row],[Inventory Type - Lookup Picker]]="","",Master[[#This Row],[Inventory Type - Lookup Picker]])</f>
        <v/>
      </c>
      <c r="I185" t="str">
        <f>IF(Master[[#This Row],[Cooperator (Collector) 1 -full record]]="","",Master[[#This Row],[Cooperator (Collector) 1 -full record]])</f>
        <v/>
      </c>
    </row>
    <row r="186" spans="2:9" x14ac:dyDescent="0.25">
      <c r="B186" s="45" t="str">
        <f>Master[[#This Row],[Inventory Prefix]]&amp;" "&amp;Master[[#This Row],[Inventory Number]]&amp;" "&amp;Master[[#This Row],[Inventory Suffix]]&amp;" "&amp;Master[[#This Row],[Inventory Type - Lookup Picker]]</f>
        <v xml:space="preserve">   </v>
      </c>
      <c r="C186" t="str">
        <f t="shared" si="11"/>
        <v>Collected</v>
      </c>
      <c r="D186" t="str">
        <f t="shared" si="12"/>
        <v>mm/dd/yyyy</v>
      </c>
      <c r="E186" s="77" t="str">
        <f>IF(Master[[#This Row],[Date Collected or Developed]]="","",Master[[#This Row],[Date Collected or Developed]])</f>
        <v/>
      </c>
      <c r="F186" s="17" t="str">
        <f>IF(Master[[#This Row],[Quantity On Hand]]="","",Master[[#This Row],[Quantity On Hand]])</f>
        <v/>
      </c>
      <c r="G186" s="17" t="str">
        <f>IF(Master[[#This Row],[Quantity On Hand Units -''count'' or ''packet'']]="count","count",IF(Master[[#This Row],[Quantity On Hand Units -''count'' or ''packet'']]="packet","packet",""))</f>
        <v/>
      </c>
      <c r="H186" s="45" t="str">
        <f>IF(Master[[#This Row],[Inventory Type - Lookup Picker]]="","",Master[[#This Row],[Inventory Type - Lookup Picker]])</f>
        <v/>
      </c>
      <c r="I186" t="str">
        <f>IF(Master[[#This Row],[Cooperator (Collector) 1 -full record]]="","",Master[[#This Row],[Cooperator (Collector) 1 -full record]])</f>
        <v/>
      </c>
    </row>
    <row r="187" spans="2:9" x14ac:dyDescent="0.25">
      <c r="B187" s="45" t="str">
        <f>Master[[#This Row],[Inventory Prefix]]&amp;" "&amp;Master[[#This Row],[Inventory Number]]&amp;" "&amp;Master[[#This Row],[Inventory Suffix]]&amp;" "&amp;Master[[#This Row],[Inventory Type - Lookup Picker]]</f>
        <v xml:space="preserve">   </v>
      </c>
      <c r="C187" t="str">
        <f t="shared" si="11"/>
        <v>Collected</v>
      </c>
      <c r="D187" t="str">
        <f t="shared" si="12"/>
        <v>mm/dd/yyyy</v>
      </c>
      <c r="E187" s="77" t="str">
        <f>IF(Master[[#This Row],[Date Collected or Developed]]="","",Master[[#This Row],[Date Collected or Developed]])</f>
        <v/>
      </c>
      <c r="F187" s="17" t="str">
        <f>IF(Master[[#This Row],[Quantity On Hand]]="","",Master[[#This Row],[Quantity On Hand]])</f>
        <v/>
      </c>
      <c r="G187" s="17" t="str">
        <f>IF(Master[[#This Row],[Quantity On Hand Units -''count'' or ''packet'']]="count","count",IF(Master[[#This Row],[Quantity On Hand Units -''count'' or ''packet'']]="packet","packet",""))</f>
        <v/>
      </c>
      <c r="H187" s="45" t="str">
        <f>IF(Master[[#This Row],[Inventory Type - Lookup Picker]]="","",Master[[#This Row],[Inventory Type - Lookup Picker]])</f>
        <v/>
      </c>
      <c r="I187" t="str">
        <f>IF(Master[[#This Row],[Cooperator (Collector) 1 -full record]]="","",Master[[#This Row],[Cooperator (Collector) 1 -full record]])</f>
        <v/>
      </c>
    </row>
    <row r="188" spans="2:9" x14ac:dyDescent="0.25">
      <c r="B188" s="45" t="str">
        <f>Master[[#This Row],[Inventory Prefix]]&amp;" "&amp;Master[[#This Row],[Inventory Number]]&amp;" "&amp;Master[[#This Row],[Inventory Suffix]]&amp;" "&amp;Master[[#This Row],[Inventory Type - Lookup Picker]]</f>
        <v xml:space="preserve">   </v>
      </c>
      <c r="C188" t="str">
        <f t="shared" si="11"/>
        <v>Collected</v>
      </c>
      <c r="D188" t="str">
        <f t="shared" si="12"/>
        <v>mm/dd/yyyy</v>
      </c>
      <c r="E188" s="77" t="str">
        <f>IF(Master[[#This Row],[Date Collected or Developed]]="","",Master[[#This Row],[Date Collected or Developed]])</f>
        <v/>
      </c>
      <c r="F188" s="17" t="str">
        <f>IF(Master[[#This Row],[Quantity On Hand]]="","",Master[[#This Row],[Quantity On Hand]])</f>
        <v/>
      </c>
      <c r="G188" s="17" t="str">
        <f>IF(Master[[#This Row],[Quantity On Hand Units -''count'' or ''packet'']]="count","count",IF(Master[[#This Row],[Quantity On Hand Units -''count'' or ''packet'']]="packet","packet",""))</f>
        <v/>
      </c>
      <c r="H188" s="45" t="str">
        <f>IF(Master[[#This Row],[Inventory Type - Lookup Picker]]="","",Master[[#This Row],[Inventory Type - Lookup Picker]])</f>
        <v/>
      </c>
      <c r="I188" t="str">
        <f>IF(Master[[#This Row],[Cooperator (Collector) 1 -full record]]="","",Master[[#This Row],[Cooperator (Collector) 1 -full record]])</f>
        <v/>
      </c>
    </row>
    <row r="189" spans="2:9" x14ac:dyDescent="0.25">
      <c r="B189" s="45" t="str">
        <f>Master[[#This Row],[Inventory Prefix]]&amp;" "&amp;Master[[#This Row],[Inventory Number]]&amp;" "&amp;Master[[#This Row],[Inventory Suffix]]&amp;" "&amp;Master[[#This Row],[Inventory Type - Lookup Picker]]</f>
        <v xml:space="preserve">   </v>
      </c>
      <c r="C189" t="str">
        <f t="shared" si="11"/>
        <v>Collected</v>
      </c>
      <c r="D189" t="str">
        <f t="shared" si="12"/>
        <v>mm/dd/yyyy</v>
      </c>
      <c r="E189" s="77" t="str">
        <f>IF(Master[[#This Row],[Date Collected or Developed]]="","",Master[[#This Row],[Date Collected or Developed]])</f>
        <v/>
      </c>
      <c r="F189" s="17" t="str">
        <f>IF(Master[[#This Row],[Quantity On Hand]]="","",Master[[#This Row],[Quantity On Hand]])</f>
        <v/>
      </c>
      <c r="G189" s="17" t="str">
        <f>IF(Master[[#This Row],[Quantity On Hand Units -''count'' or ''packet'']]="count","count",IF(Master[[#This Row],[Quantity On Hand Units -''count'' or ''packet'']]="packet","packet",""))</f>
        <v/>
      </c>
      <c r="H189" s="45" t="str">
        <f>IF(Master[[#This Row],[Inventory Type - Lookup Picker]]="","",Master[[#This Row],[Inventory Type - Lookup Picker]])</f>
        <v/>
      </c>
      <c r="I189" t="str">
        <f>IF(Master[[#This Row],[Cooperator (Collector) 1 -full record]]="","",Master[[#This Row],[Cooperator (Collector) 1 -full record]])</f>
        <v/>
      </c>
    </row>
    <row r="190" spans="2:9" x14ac:dyDescent="0.25">
      <c r="B190" s="45" t="str">
        <f>Master[[#This Row],[Inventory Prefix]]&amp;" "&amp;Master[[#This Row],[Inventory Number]]&amp;" "&amp;Master[[#This Row],[Inventory Suffix]]&amp;" "&amp;Master[[#This Row],[Inventory Type - Lookup Picker]]</f>
        <v xml:space="preserve">   </v>
      </c>
      <c r="C190" t="str">
        <f t="shared" si="11"/>
        <v>Collected</v>
      </c>
      <c r="D190" t="str">
        <f t="shared" si="12"/>
        <v>mm/dd/yyyy</v>
      </c>
      <c r="E190" s="77" t="str">
        <f>IF(Master[[#This Row],[Date Collected or Developed]]="","",Master[[#This Row],[Date Collected or Developed]])</f>
        <v/>
      </c>
      <c r="F190" s="17" t="str">
        <f>IF(Master[[#This Row],[Quantity On Hand]]="","",Master[[#This Row],[Quantity On Hand]])</f>
        <v/>
      </c>
      <c r="G190" s="17" t="str">
        <f>IF(Master[[#This Row],[Quantity On Hand Units -''count'' or ''packet'']]="count","count",IF(Master[[#This Row],[Quantity On Hand Units -''count'' or ''packet'']]="packet","packet",""))</f>
        <v/>
      </c>
      <c r="H190" s="45" t="str">
        <f>IF(Master[[#This Row],[Inventory Type - Lookup Picker]]="","",Master[[#This Row],[Inventory Type - Lookup Picker]])</f>
        <v/>
      </c>
      <c r="I190" t="str">
        <f>IF(Master[[#This Row],[Cooperator (Collector) 1 -full record]]="","",Master[[#This Row],[Cooperator (Collector) 1 -full record]])</f>
        <v/>
      </c>
    </row>
    <row r="191" spans="2:9" x14ac:dyDescent="0.25">
      <c r="B191" s="45" t="str">
        <f>Master[[#This Row],[Inventory Prefix]]&amp;" "&amp;Master[[#This Row],[Inventory Number]]&amp;" "&amp;Master[[#This Row],[Inventory Suffix]]&amp;" "&amp;Master[[#This Row],[Inventory Type - Lookup Picker]]</f>
        <v xml:space="preserve">   </v>
      </c>
      <c r="C191" t="str">
        <f t="shared" si="11"/>
        <v>Collected</v>
      </c>
      <c r="D191" t="str">
        <f t="shared" si="12"/>
        <v>mm/dd/yyyy</v>
      </c>
      <c r="E191" s="77" t="str">
        <f>IF(Master[[#This Row],[Date Collected or Developed]]="","",Master[[#This Row],[Date Collected or Developed]])</f>
        <v/>
      </c>
      <c r="F191" s="17" t="str">
        <f>IF(Master[[#This Row],[Quantity On Hand]]="","",Master[[#This Row],[Quantity On Hand]])</f>
        <v/>
      </c>
      <c r="G191" s="17" t="str">
        <f>IF(Master[[#This Row],[Quantity On Hand Units -''count'' or ''packet'']]="count","count",IF(Master[[#This Row],[Quantity On Hand Units -''count'' or ''packet'']]="packet","packet",""))</f>
        <v/>
      </c>
      <c r="H191" s="45" t="str">
        <f>IF(Master[[#This Row],[Inventory Type - Lookup Picker]]="","",Master[[#This Row],[Inventory Type - Lookup Picker]])</f>
        <v/>
      </c>
      <c r="I191" t="str">
        <f>IF(Master[[#This Row],[Cooperator (Collector) 1 -full record]]="","",Master[[#This Row],[Cooperator (Collector) 1 -full record]])</f>
        <v/>
      </c>
    </row>
    <row r="192" spans="2:9" x14ac:dyDescent="0.25">
      <c r="B192" s="45" t="str">
        <f>Master[[#This Row],[Inventory Prefix]]&amp;" "&amp;Master[[#This Row],[Inventory Number]]&amp;" "&amp;Master[[#This Row],[Inventory Suffix]]&amp;" "&amp;Master[[#This Row],[Inventory Type - Lookup Picker]]</f>
        <v xml:space="preserve">   </v>
      </c>
      <c r="C192" t="str">
        <f t="shared" si="11"/>
        <v>Collected</v>
      </c>
      <c r="D192" t="str">
        <f t="shared" si="12"/>
        <v>mm/dd/yyyy</v>
      </c>
      <c r="E192" s="77" t="str">
        <f>IF(Master[[#This Row],[Date Collected or Developed]]="","",Master[[#This Row],[Date Collected or Developed]])</f>
        <v/>
      </c>
      <c r="F192" s="17" t="str">
        <f>IF(Master[[#This Row],[Quantity On Hand]]="","",Master[[#This Row],[Quantity On Hand]])</f>
        <v/>
      </c>
      <c r="G192" s="17" t="str">
        <f>IF(Master[[#This Row],[Quantity On Hand Units -''count'' or ''packet'']]="count","count",IF(Master[[#This Row],[Quantity On Hand Units -''count'' or ''packet'']]="packet","packet",""))</f>
        <v/>
      </c>
      <c r="H192" s="45" t="str">
        <f>IF(Master[[#This Row],[Inventory Type - Lookup Picker]]="","",Master[[#This Row],[Inventory Type - Lookup Picker]])</f>
        <v/>
      </c>
      <c r="I192" t="str">
        <f>IF(Master[[#This Row],[Cooperator (Collector) 1 -full record]]="","",Master[[#This Row],[Cooperator (Collector) 1 -full record]])</f>
        <v/>
      </c>
    </row>
    <row r="193" spans="2:9" x14ac:dyDescent="0.25">
      <c r="B193" s="45" t="str">
        <f>Master[[#This Row],[Inventory Prefix]]&amp;" "&amp;Master[[#This Row],[Inventory Number]]&amp;" "&amp;Master[[#This Row],[Inventory Suffix]]&amp;" "&amp;Master[[#This Row],[Inventory Type - Lookup Picker]]</f>
        <v xml:space="preserve">   </v>
      </c>
      <c r="C193" t="str">
        <f t="shared" si="11"/>
        <v>Collected</v>
      </c>
      <c r="D193" t="str">
        <f t="shared" si="12"/>
        <v>mm/dd/yyyy</v>
      </c>
      <c r="E193" s="77" t="str">
        <f>IF(Master[[#This Row],[Date Collected or Developed]]="","",Master[[#This Row],[Date Collected or Developed]])</f>
        <v/>
      </c>
      <c r="F193" s="17" t="str">
        <f>IF(Master[[#This Row],[Quantity On Hand]]="","",Master[[#This Row],[Quantity On Hand]])</f>
        <v/>
      </c>
      <c r="G193" s="17" t="str">
        <f>IF(Master[[#This Row],[Quantity On Hand Units -''count'' or ''packet'']]="count","count",IF(Master[[#This Row],[Quantity On Hand Units -''count'' or ''packet'']]="packet","packet",""))</f>
        <v/>
      </c>
      <c r="H193" s="45" t="str">
        <f>IF(Master[[#This Row],[Inventory Type - Lookup Picker]]="","",Master[[#This Row],[Inventory Type - Lookup Picker]])</f>
        <v/>
      </c>
      <c r="I193" t="str">
        <f>IF(Master[[#This Row],[Cooperator (Collector) 1 -full record]]="","",Master[[#This Row],[Cooperator (Collector) 1 -full record]])</f>
        <v/>
      </c>
    </row>
    <row r="194" spans="2:9" x14ac:dyDescent="0.25">
      <c r="B194" s="45" t="str">
        <f>Master[[#This Row],[Inventory Prefix]]&amp;" "&amp;Master[[#This Row],[Inventory Number]]&amp;" "&amp;Master[[#This Row],[Inventory Suffix]]&amp;" "&amp;Master[[#This Row],[Inventory Type - Lookup Picker]]</f>
        <v xml:space="preserve">   </v>
      </c>
      <c r="C194" t="str">
        <f t="shared" ref="C194:C201" si="13">"Collected"</f>
        <v>Collected</v>
      </c>
      <c r="D194" t="str">
        <f t="shared" si="12"/>
        <v>mm/dd/yyyy</v>
      </c>
      <c r="E194" s="77" t="str">
        <f>IF(Master[[#This Row],[Date Collected or Developed]]="","",Master[[#This Row],[Date Collected or Developed]])</f>
        <v/>
      </c>
      <c r="F194" s="17" t="str">
        <f>IF(Master[[#This Row],[Quantity On Hand]]="","",Master[[#This Row],[Quantity On Hand]])</f>
        <v/>
      </c>
      <c r="G194" s="17" t="str">
        <f>IF(Master[[#This Row],[Quantity On Hand Units -''count'' or ''packet'']]="count","count",IF(Master[[#This Row],[Quantity On Hand Units -''count'' or ''packet'']]="packet","packet",""))</f>
        <v/>
      </c>
      <c r="H194" s="45" t="str">
        <f>IF(Master[[#This Row],[Inventory Type - Lookup Picker]]="","",Master[[#This Row],[Inventory Type - Lookup Picker]])</f>
        <v/>
      </c>
      <c r="I194" t="str">
        <f>IF(Master[[#This Row],[Cooperator (Collector) 1 -full record]]="","",Master[[#This Row],[Cooperator (Collector) 1 -full record]])</f>
        <v/>
      </c>
    </row>
    <row r="195" spans="2:9" x14ac:dyDescent="0.25">
      <c r="B195" s="45" t="str">
        <f>Master[[#This Row],[Inventory Prefix]]&amp;" "&amp;Master[[#This Row],[Inventory Number]]&amp;" "&amp;Master[[#This Row],[Inventory Suffix]]&amp;" "&amp;Master[[#This Row],[Inventory Type - Lookup Picker]]</f>
        <v xml:space="preserve">   </v>
      </c>
      <c r="C195" t="str">
        <f t="shared" si="13"/>
        <v>Collected</v>
      </c>
      <c r="D195" t="str">
        <f t="shared" si="12"/>
        <v>mm/dd/yyyy</v>
      </c>
      <c r="E195" s="77" t="str">
        <f>IF(Master[[#This Row],[Date Collected or Developed]]="","",Master[[#This Row],[Date Collected or Developed]])</f>
        <v/>
      </c>
      <c r="F195" s="17" t="str">
        <f>IF(Master[[#This Row],[Quantity On Hand]]="","",Master[[#This Row],[Quantity On Hand]])</f>
        <v/>
      </c>
      <c r="G195" s="17" t="str">
        <f>IF(Master[[#This Row],[Quantity On Hand Units -''count'' or ''packet'']]="count","count",IF(Master[[#This Row],[Quantity On Hand Units -''count'' or ''packet'']]="packet","packet",""))</f>
        <v/>
      </c>
      <c r="H195" s="45" t="str">
        <f>IF(Master[[#This Row],[Inventory Type - Lookup Picker]]="","",Master[[#This Row],[Inventory Type - Lookup Picker]])</f>
        <v/>
      </c>
      <c r="I195" t="str">
        <f>IF(Master[[#This Row],[Cooperator (Collector) 1 -full record]]="","",Master[[#This Row],[Cooperator (Collector) 1 -full record]])</f>
        <v/>
      </c>
    </row>
    <row r="196" spans="2:9" x14ac:dyDescent="0.25">
      <c r="B196" s="45" t="str">
        <f>Master[[#This Row],[Inventory Prefix]]&amp;" "&amp;Master[[#This Row],[Inventory Number]]&amp;" "&amp;Master[[#This Row],[Inventory Suffix]]&amp;" "&amp;Master[[#This Row],[Inventory Type - Lookup Picker]]</f>
        <v xml:space="preserve">   </v>
      </c>
      <c r="C196" t="str">
        <f t="shared" si="13"/>
        <v>Collected</v>
      </c>
      <c r="D196" t="str">
        <f t="shared" si="12"/>
        <v>mm/dd/yyyy</v>
      </c>
      <c r="E196" s="77" t="str">
        <f>IF(Master[[#This Row],[Date Collected or Developed]]="","",Master[[#This Row],[Date Collected or Developed]])</f>
        <v/>
      </c>
      <c r="F196" s="17" t="str">
        <f>IF(Master[[#This Row],[Quantity On Hand]]="","",Master[[#This Row],[Quantity On Hand]])</f>
        <v/>
      </c>
      <c r="G196" s="17" t="str">
        <f>IF(Master[[#This Row],[Quantity On Hand Units -''count'' or ''packet'']]="count","count",IF(Master[[#This Row],[Quantity On Hand Units -''count'' or ''packet'']]="packet","packet",""))</f>
        <v/>
      </c>
      <c r="H196" s="45" t="str">
        <f>IF(Master[[#This Row],[Inventory Type - Lookup Picker]]="","",Master[[#This Row],[Inventory Type - Lookup Picker]])</f>
        <v/>
      </c>
      <c r="I196" t="str">
        <f>IF(Master[[#This Row],[Cooperator (Collector) 1 -full record]]="","",Master[[#This Row],[Cooperator (Collector) 1 -full record]])</f>
        <v/>
      </c>
    </row>
    <row r="197" spans="2:9" x14ac:dyDescent="0.25">
      <c r="B197" s="45" t="str">
        <f>Master[[#This Row],[Inventory Prefix]]&amp;" "&amp;Master[[#This Row],[Inventory Number]]&amp;" "&amp;Master[[#This Row],[Inventory Suffix]]&amp;" "&amp;Master[[#This Row],[Inventory Type - Lookup Picker]]</f>
        <v xml:space="preserve">   </v>
      </c>
      <c r="C197" t="str">
        <f t="shared" si="13"/>
        <v>Collected</v>
      </c>
      <c r="D197" t="str">
        <f t="shared" si="12"/>
        <v>mm/dd/yyyy</v>
      </c>
      <c r="E197" s="77" t="str">
        <f>IF(Master[[#This Row],[Date Collected or Developed]]="","",Master[[#This Row],[Date Collected or Developed]])</f>
        <v/>
      </c>
      <c r="F197" s="17" t="str">
        <f>IF(Master[[#This Row],[Quantity On Hand]]="","",Master[[#This Row],[Quantity On Hand]])</f>
        <v/>
      </c>
      <c r="G197" s="17" t="str">
        <f>IF(Master[[#This Row],[Quantity On Hand Units -''count'' or ''packet'']]="count","count",IF(Master[[#This Row],[Quantity On Hand Units -''count'' or ''packet'']]="packet","packet",""))</f>
        <v/>
      </c>
      <c r="H197" s="45" t="str">
        <f>IF(Master[[#This Row],[Inventory Type - Lookup Picker]]="","",Master[[#This Row],[Inventory Type - Lookup Picker]])</f>
        <v/>
      </c>
      <c r="I197" t="str">
        <f>IF(Master[[#This Row],[Cooperator (Collector) 1 -full record]]="","",Master[[#This Row],[Cooperator (Collector) 1 -full record]])</f>
        <v/>
      </c>
    </row>
    <row r="198" spans="2:9" x14ac:dyDescent="0.25">
      <c r="B198" s="45" t="str">
        <f>Master[[#This Row],[Inventory Prefix]]&amp;" "&amp;Master[[#This Row],[Inventory Number]]&amp;" "&amp;Master[[#This Row],[Inventory Suffix]]&amp;" "&amp;Master[[#This Row],[Inventory Type - Lookup Picker]]</f>
        <v xml:space="preserve">   </v>
      </c>
      <c r="C198" t="str">
        <f t="shared" si="13"/>
        <v>Collected</v>
      </c>
      <c r="D198" t="str">
        <f t="shared" si="12"/>
        <v>mm/dd/yyyy</v>
      </c>
      <c r="E198" s="77" t="str">
        <f>IF(Master[[#This Row],[Date Collected or Developed]]="","",Master[[#This Row],[Date Collected or Developed]])</f>
        <v/>
      </c>
      <c r="F198" s="17" t="str">
        <f>IF(Master[[#This Row],[Quantity On Hand]]="","",Master[[#This Row],[Quantity On Hand]])</f>
        <v/>
      </c>
      <c r="G198" s="17" t="str">
        <f>IF(Master[[#This Row],[Quantity On Hand Units -''count'' or ''packet'']]="count","count",IF(Master[[#This Row],[Quantity On Hand Units -''count'' or ''packet'']]="packet","packet",""))</f>
        <v/>
      </c>
      <c r="H198" s="45" t="str">
        <f>IF(Master[[#This Row],[Inventory Type - Lookup Picker]]="","",Master[[#This Row],[Inventory Type - Lookup Picker]])</f>
        <v/>
      </c>
      <c r="I198" t="str">
        <f>IF(Master[[#This Row],[Cooperator (Collector) 1 -full record]]="","",Master[[#This Row],[Cooperator (Collector) 1 -full record]])</f>
        <v/>
      </c>
    </row>
    <row r="199" spans="2:9" x14ac:dyDescent="0.25">
      <c r="B199" s="45" t="str">
        <f>Master[[#This Row],[Inventory Prefix]]&amp;" "&amp;Master[[#This Row],[Inventory Number]]&amp;" "&amp;Master[[#This Row],[Inventory Suffix]]&amp;" "&amp;Master[[#This Row],[Inventory Type - Lookup Picker]]</f>
        <v xml:space="preserve">   </v>
      </c>
      <c r="C199" t="str">
        <f t="shared" si="13"/>
        <v>Collected</v>
      </c>
      <c r="D199" t="str">
        <f t="shared" si="12"/>
        <v>mm/dd/yyyy</v>
      </c>
      <c r="E199" s="77" t="str">
        <f>IF(Master[[#This Row],[Date Collected or Developed]]="","",Master[[#This Row],[Date Collected or Developed]])</f>
        <v/>
      </c>
      <c r="F199" s="17" t="str">
        <f>IF(Master[[#This Row],[Quantity On Hand]]="","",Master[[#This Row],[Quantity On Hand]])</f>
        <v/>
      </c>
      <c r="G199" s="17" t="str">
        <f>IF(Master[[#This Row],[Quantity On Hand Units -''count'' or ''packet'']]="count","count",IF(Master[[#This Row],[Quantity On Hand Units -''count'' or ''packet'']]="packet","packet",""))</f>
        <v/>
      </c>
      <c r="H199" s="45" t="str">
        <f>IF(Master[[#This Row],[Inventory Type - Lookup Picker]]="","",Master[[#This Row],[Inventory Type - Lookup Picker]])</f>
        <v/>
      </c>
      <c r="I199" t="str">
        <f>IF(Master[[#This Row],[Cooperator (Collector) 1 -full record]]="","",Master[[#This Row],[Cooperator (Collector) 1 -full record]])</f>
        <v/>
      </c>
    </row>
    <row r="200" spans="2:9" x14ac:dyDescent="0.25">
      <c r="B200" s="45" t="str">
        <f>Master[[#This Row],[Inventory Prefix]]&amp;" "&amp;Master[[#This Row],[Inventory Number]]&amp;" "&amp;Master[[#This Row],[Inventory Suffix]]&amp;" "&amp;Master[[#This Row],[Inventory Type - Lookup Picker]]</f>
        <v xml:space="preserve">   </v>
      </c>
      <c r="C200" t="str">
        <f t="shared" si="13"/>
        <v>Collected</v>
      </c>
      <c r="D200" t="str">
        <f t="shared" si="12"/>
        <v>mm/dd/yyyy</v>
      </c>
      <c r="E200" s="77" t="str">
        <f>IF(Master[[#This Row],[Date Collected or Developed]]="","",Master[[#This Row],[Date Collected or Developed]])</f>
        <v/>
      </c>
      <c r="F200" s="17" t="str">
        <f>IF(Master[[#This Row],[Quantity On Hand]]="","",Master[[#This Row],[Quantity On Hand]])</f>
        <v/>
      </c>
      <c r="G200" s="17" t="str">
        <f>IF(Master[[#This Row],[Quantity On Hand Units -''count'' or ''packet'']]="count","count",IF(Master[[#This Row],[Quantity On Hand Units -''count'' or ''packet'']]="packet","packet",""))</f>
        <v/>
      </c>
      <c r="H200" s="45" t="str">
        <f>IF(Master[[#This Row],[Inventory Type - Lookup Picker]]="","",Master[[#This Row],[Inventory Type - Lookup Picker]])</f>
        <v/>
      </c>
      <c r="I200" t="str">
        <f>IF(Master[[#This Row],[Cooperator (Collector) 1 -full record]]="","",Master[[#This Row],[Cooperator (Collector) 1 -full record]])</f>
        <v/>
      </c>
    </row>
    <row r="201" spans="2:9" x14ac:dyDescent="0.25">
      <c r="B201" s="45" t="str">
        <f>Master[[#This Row],[Inventory Prefix]]&amp;" "&amp;Master[[#This Row],[Inventory Number]]&amp;" "&amp;Master[[#This Row],[Inventory Suffix]]&amp;" "&amp;Master[[#This Row],[Inventory Type - Lookup Picker]]</f>
        <v xml:space="preserve">   </v>
      </c>
      <c r="C201" t="str">
        <f t="shared" si="13"/>
        <v>Collected</v>
      </c>
      <c r="D201" t="str">
        <f t="shared" si="12"/>
        <v>mm/dd/yyyy</v>
      </c>
      <c r="E201" s="77" t="str">
        <f>IF(Master[[#This Row],[Date Collected or Developed]]="","",Master[[#This Row],[Date Collected or Developed]])</f>
        <v/>
      </c>
      <c r="F201" s="17" t="str">
        <f>IF(Master[[#This Row],[Quantity On Hand]]="","",Master[[#This Row],[Quantity On Hand]])</f>
        <v/>
      </c>
      <c r="G201" s="17" t="str">
        <f>IF(Master[[#This Row],[Quantity On Hand Units -''count'' or ''packet'']]="count","count",IF(Master[[#This Row],[Quantity On Hand Units -''count'' or ''packet'']]="packet","packet",""))</f>
        <v/>
      </c>
      <c r="H201" s="45" t="str">
        <f>IF(Master[[#This Row],[Inventory Type - Lookup Picker]]="","",Master[[#This Row],[Inventory Type - Lookup Picker]])</f>
        <v/>
      </c>
      <c r="I201" t="str">
        <f>IF(Master[[#This Row],[Cooperator (Collector) 1 -full record]]="","",Master[[#This Row],[Cooperator (Collector) 1 -full record]])</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tabColor theme="4" tint="0.59999389629810485"/>
  </sheetPr>
  <dimension ref="A1:D201"/>
  <sheetViews>
    <sheetView workbookViewId="0">
      <selection activeCell="A2" sqref="A2"/>
    </sheetView>
  </sheetViews>
  <sheetFormatPr defaultRowHeight="15" x14ac:dyDescent="0.25"/>
  <cols>
    <col min="1" max="1" width="10.5703125" customWidth="1"/>
    <col min="2" max="2" width="33.140625" customWidth="1"/>
    <col min="3" max="3" width="39.85546875" customWidth="1"/>
    <col min="4" max="4" width="9.7109375" bestFit="1" customWidth="1"/>
  </cols>
  <sheetData>
    <row r="1" spans="1:4" s="116" customFormat="1" ht="45" x14ac:dyDescent="0.25">
      <c r="A1" s="116" t="s">
        <v>73</v>
      </c>
      <c r="B1" s="118" t="s">
        <v>74</v>
      </c>
      <c r="C1" s="118" t="s">
        <v>55</v>
      </c>
    </row>
    <row r="2" spans="1:4" ht="15.75" x14ac:dyDescent="0.25">
      <c r="A2" s="1"/>
      <c r="B2" t="str">
        <f>Master[[#This Row],[Accession Prefix (NPGS)]]&amp;" "&amp;Master[[#This Row],[Accession Number -Assigned]]&amp;" COLLECTED "&amp;TEXT(SourceCollector[[#This Row],[Source Date]], "MM/DD/YYYY")</f>
        <v>W6 57036 COLLECTED 07/09/2018</v>
      </c>
      <c r="C2" s="17" t="str">
        <f>IF(Master[[#This Row],[Cooperator (Collector) 1 -full record]]="","",Master[[#This Row],[Cooperator (Collector) 1 -full record]])</f>
        <v>Bureau of Land Management, SOS project</v>
      </c>
      <c r="D2" s="2"/>
    </row>
    <row r="3" spans="1:4" x14ac:dyDescent="0.25">
      <c r="A3" s="7"/>
      <c r="B3" s="7" t="str">
        <f>Master[[#This Row],[Accession Prefix (NPGS)]]&amp;" "&amp;Master[[#This Row],[Accession Number -Assigned]]&amp;" COLLECTED "&amp;TEXT(SourceCollector[[#This Row],[Source Date]], "MM/DD/YYYY")</f>
        <v>W6  COLLECTED COLL_DT</v>
      </c>
      <c r="C3" s="17" t="str">
        <f>IF(Master[[#This Row],[Cooperator (Collector) 1 -full record]]="","",Master[[#This Row],[Cooperator (Collector) 1 -full record]])</f>
        <v/>
      </c>
      <c r="D3" s="2"/>
    </row>
    <row r="4" spans="1:4" x14ac:dyDescent="0.25">
      <c r="A4" s="7"/>
      <c r="B4" s="7" t="str">
        <f>Master[[#This Row],[Accession Prefix (NPGS)]]&amp;" "&amp;Master[[#This Row],[Accession Number -Assigned]]&amp;" COLLECTED "&amp;TEXT(SourceCollector[[#This Row],[Source Date]], "MM/DD/YYYY")</f>
        <v>W6 59590 COLLECTED 07/01/2020</v>
      </c>
      <c r="C4" s="17" t="str">
        <f>IF(Master[[#This Row],[Cooperator (Collector) 1 -full record]]="","",Master[[#This Row],[Cooperator (Collector) 1 -full record]])</f>
        <v/>
      </c>
      <c r="D4" s="2"/>
    </row>
    <row r="5" spans="1:4" x14ac:dyDescent="0.25">
      <c r="A5" s="7"/>
      <c r="B5" s="7" t="str">
        <f>Master[[#This Row],[Accession Prefix (NPGS)]]&amp;" "&amp;Master[[#This Row],[Accession Number -Assigned]]&amp;" COLLECTED "&amp;TEXT(SourceCollector[[#This Row],[Source Date]], "MM/DD/YYYY")</f>
        <v>W6 59591 COLLECTED 07/14/2020</v>
      </c>
      <c r="C5" s="17" t="str">
        <f>IF(Master[[#This Row],[Cooperator (Collector) 1 -full record]]="","",Master[[#This Row],[Cooperator (Collector) 1 -full record]])</f>
        <v/>
      </c>
      <c r="D5" s="2"/>
    </row>
    <row r="6" spans="1:4" x14ac:dyDescent="0.25">
      <c r="A6" s="7"/>
      <c r="B6" s="7" t="str">
        <f>Master[[#This Row],[Accession Prefix (NPGS)]]&amp;" "&amp;Master[[#This Row],[Accession Number -Assigned]]&amp;" COLLECTED "&amp;TEXT(SourceCollector[[#This Row],[Source Date]], "MM/DD/YYYY")</f>
        <v>W6 59592 COLLECTED 07/29/2020</v>
      </c>
      <c r="C6" s="17" t="str">
        <f>IF(Master[[#This Row],[Cooperator (Collector) 1 -full record]]="","",Master[[#This Row],[Cooperator (Collector) 1 -full record]])</f>
        <v/>
      </c>
      <c r="D6" s="2"/>
    </row>
    <row r="7" spans="1:4" x14ac:dyDescent="0.25">
      <c r="A7" s="7"/>
      <c r="B7" s="7" t="str">
        <f>Master[[#This Row],[Accession Prefix (NPGS)]]&amp;" "&amp;Master[[#This Row],[Accession Number -Assigned]]&amp;" COLLECTED "&amp;TEXT(SourceCollector[[#This Row],[Source Date]], "MM/DD/YYYY")</f>
        <v>W6 59593 COLLECTED 08/04/2020</v>
      </c>
      <c r="C7" s="17" t="str">
        <f>IF(Master[[#This Row],[Cooperator (Collector) 1 -full record]]="","",Master[[#This Row],[Cooperator (Collector) 1 -full record]])</f>
        <v/>
      </c>
      <c r="D7" s="2"/>
    </row>
    <row r="8" spans="1:4" x14ac:dyDescent="0.25">
      <c r="A8" s="7"/>
      <c r="B8" s="7" t="str">
        <f>Master[[#This Row],[Accession Prefix (NPGS)]]&amp;" "&amp;Master[[#This Row],[Accession Number -Assigned]]&amp;" COLLECTED "&amp;TEXT(SourceCollector[[#This Row],[Source Date]], "MM/DD/YYYY")</f>
        <v>W6 59594 COLLECTED 08/10/2020</v>
      </c>
      <c r="C8" s="17" t="str">
        <f>IF(Master[[#This Row],[Cooperator (Collector) 1 -full record]]="","",Master[[#This Row],[Cooperator (Collector) 1 -full record]])</f>
        <v/>
      </c>
      <c r="D8" s="2"/>
    </row>
    <row r="9" spans="1:4" x14ac:dyDescent="0.25">
      <c r="A9" s="7"/>
      <c r="B9" s="7" t="str">
        <f>Master[[#This Row],[Accession Prefix (NPGS)]]&amp;" "&amp;Master[[#This Row],[Accession Number -Assigned]]&amp;" COLLECTED "&amp;TEXT(SourceCollector[[#This Row],[Source Date]], "MM/DD/YYYY")</f>
        <v>W6 59595 COLLECTED 08/12/2020</v>
      </c>
      <c r="C9" s="17" t="str">
        <f>IF(Master[[#This Row],[Cooperator (Collector) 1 -full record]]="","",Master[[#This Row],[Cooperator (Collector) 1 -full record]])</f>
        <v/>
      </c>
      <c r="D9" s="2"/>
    </row>
    <row r="10" spans="1:4" x14ac:dyDescent="0.25">
      <c r="A10" s="7"/>
      <c r="B10" s="7" t="str">
        <f>Master[[#This Row],[Accession Prefix (NPGS)]]&amp;" "&amp;Master[[#This Row],[Accession Number -Assigned]]&amp;" COLLECTED "&amp;TEXT(SourceCollector[[#This Row],[Source Date]], "MM/DD/YYYY")</f>
        <v>W6 59596 COLLECTED 08/13/2020</v>
      </c>
      <c r="C10" s="17" t="str">
        <f>IF(Master[[#This Row],[Cooperator (Collector) 1 -full record]]="","",Master[[#This Row],[Cooperator (Collector) 1 -full record]])</f>
        <v/>
      </c>
      <c r="D10" s="2"/>
    </row>
    <row r="11" spans="1:4" x14ac:dyDescent="0.25">
      <c r="A11" s="7"/>
      <c r="B11" s="7" t="str">
        <f>Master[[#This Row],[Accession Prefix (NPGS)]]&amp;" "&amp;Master[[#This Row],[Accession Number -Assigned]]&amp;" COLLECTED "&amp;TEXT(SourceCollector[[#This Row],[Source Date]], "MM/DD/YYYY")</f>
        <v>W6 59597 COLLECTED 08/18/2020</v>
      </c>
      <c r="C11" s="17" t="str">
        <f>IF(Master[[#This Row],[Cooperator (Collector) 1 -full record]]="","",Master[[#This Row],[Cooperator (Collector) 1 -full record]])</f>
        <v/>
      </c>
      <c r="D11" s="2"/>
    </row>
    <row r="12" spans="1:4" x14ac:dyDescent="0.25">
      <c r="A12" s="7"/>
      <c r="B12" s="7" t="str">
        <f>Master[[#This Row],[Accession Prefix (NPGS)]]&amp;" "&amp;Master[[#This Row],[Accession Number -Assigned]]&amp;" COLLECTED "&amp;TEXT(SourceCollector[[#This Row],[Source Date]], "MM/DD/YYYY")</f>
        <v>W6 59598 COLLECTED 08/18/2020</v>
      </c>
      <c r="C12" s="17" t="str">
        <f>IF(Master[[#This Row],[Cooperator (Collector) 1 -full record]]="","",Master[[#This Row],[Cooperator (Collector) 1 -full record]])</f>
        <v/>
      </c>
      <c r="D12" s="2"/>
    </row>
    <row r="13" spans="1:4" x14ac:dyDescent="0.25">
      <c r="A13" s="7"/>
      <c r="B13" s="7" t="str">
        <f>Master[[#This Row],[Accession Prefix (NPGS)]]&amp;" "&amp;Master[[#This Row],[Accession Number -Assigned]]&amp;" COLLECTED "&amp;TEXT(SourceCollector[[#This Row],[Source Date]], "MM/DD/YYYY")</f>
        <v>W6 59599 COLLECTED 08/19/2020</v>
      </c>
      <c r="C13" s="17" t="str">
        <f>IF(Master[[#This Row],[Cooperator (Collector) 1 -full record]]="","",Master[[#This Row],[Cooperator (Collector) 1 -full record]])</f>
        <v/>
      </c>
      <c r="D13" s="2"/>
    </row>
    <row r="14" spans="1:4" x14ac:dyDescent="0.25">
      <c r="A14" s="7"/>
      <c r="B14" s="7" t="str">
        <f>Master[[#This Row],[Accession Prefix (NPGS)]]&amp;" "&amp;Master[[#This Row],[Accession Number -Assigned]]&amp;" COLLECTED "&amp;TEXT(SourceCollector[[#This Row],[Source Date]], "MM/DD/YYYY")</f>
        <v>W6 59600 COLLECTED 08/20/2020</v>
      </c>
      <c r="C14" s="17" t="str">
        <f>IF(Master[[#This Row],[Cooperator (Collector) 1 -full record]]="","",Master[[#This Row],[Cooperator (Collector) 1 -full record]])</f>
        <v/>
      </c>
      <c r="D14" s="2"/>
    </row>
    <row r="15" spans="1:4" x14ac:dyDescent="0.25">
      <c r="A15" s="7"/>
      <c r="B15" s="7" t="str">
        <f>Master[[#This Row],[Accession Prefix (NPGS)]]&amp;" "&amp;Master[[#This Row],[Accession Number -Assigned]]&amp;" COLLECTED "&amp;TEXT(SourceCollector[[#This Row],[Source Date]], "MM/DD/YYYY")</f>
        <v>W6 59601 COLLECTED 08/26/2020</v>
      </c>
      <c r="C15" s="17" t="str">
        <f>IF(Master[[#This Row],[Cooperator (Collector) 1 -full record]]="","",Master[[#This Row],[Cooperator (Collector) 1 -full record]])</f>
        <v/>
      </c>
      <c r="D15" s="2"/>
    </row>
    <row r="16" spans="1:4" x14ac:dyDescent="0.25">
      <c r="A16" s="7"/>
      <c r="B16" s="7" t="str">
        <f>Master[[#This Row],[Accession Prefix (NPGS)]]&amp;" "&amp;Master[[#This Row],[Accession Number -Assigned]]&amp;" COLLECTED "&amp;TEXT(SourceCollector[[#This Row],[Source Date]], "MM/DD/YYYY")</f>
        <v>W6 59602 COLLECTED 08/27/2020</v>
      </c>
      <c r="C16" s="17" t="str">
        <f>IF(Master[[#This Row],[Cooperator (Collector) 1 -full record]]="","",Master[[#This Row],[Cooperator (Collector) 1 -full record]])</f>
        <v/>
      </c>
      <c r="D16" s="2"/>
    </row>
    <row r="17" spans="1:4" x14ac:dyDescent="0.25">
      <c r="A17" s="7"/>
      <c r="B17" s="7" t="str">
        <f>Master[[#This Row],[Accession Prefix (NPGS)]]&amp;" "&amp;Master[[#This Row],[Accession Number -Assigned]]&amp;" COLLECTED "&amp;TEXT(SourceCollector[[#This Row],[Source Date]], "MM/DD/YYYY")</f>
        <v>W6 59603 COLLECTED 09/02/2020</v>
      </c>
      <c r="C17" s="17" t="str">
        <f>IF(Master[[#This Row],[Cooperator (Collector) 1 -full record]]="","",Master[[#This Row],[Cooperator (Collector) 1 -full record]])</f>
        <v/>
      </c>
      <c r="D17" s="2"/>
    </row>
    <row r="18" spans="1:4" x14ac:dyDescent="0.25">
      <c r="A18" s="7"/>
      <c r="B18" s="7" t="str">
        <f>Master[[#This Row],[Accession Prefix (NPGS)]]&amp;" "&amp;Master[[#This Row],[Accession Number -Assigned]]&amp;" COLLECTED "&amp;TEXT(SourceCollector[[#This Row],[Source Date]], "MM/DD/YYYY")</f>
        <v>W6 59604 COLLECTED 09/03/2020</v>
      </c>
      <c r="C18" s="17" t="str">
        <f>IF(Master[[#This Row],[Cooperator (Collector) 1 -full record]]="","",Master[[#This Row],[Cooperator (Collector) 1 -full record]])</f>
        <v/>
      </c>
      <c r="D18" s="2"/>
    </row>
    <row r="19" spans="1:4" x14ac:dyDescent="0.25">
      <c r="A19" s="7"/>
      <c r="B19" s="7" t="str">
        <f>Master[[#This Row],[Accession Prefix (NPGS)]]&amp;" "&amp;Master[[#This Row],[Accession Number -Assigned]]&amp;" COLLECTED "&amp;TEXT(SourceCollector[[#This Row],[Source Date]], "MM/DD/YYYY")</f>
        <v>W6 59605 COLLECTED 09/10/2020</v>
      </c>
      <c r="C19" s="17" t="str">
        <f>IF(Master[[#This Row],[Cooperator (Collector) 1 -full record]]="","",Master[[#This Row],[Cooperator (Collector) 1 -full record]])</f>
        <v/>
      </c>
      <c r="D19" s="2"/>
    </row>
    <row r="20" spans="1:4" x14ac:dyDescent="0.25">
      <c r="A20" s="7"/>
      <c r="B20" s="7" t="str">
        <f>Master[[#This Row],[Accession Prefix (NPGS)]]&amp;" "&amp;Master[[#This Row],[Accession Number -Assigned]]&amp;" COLLECTED "&amp;TEXT(SourceCollector[[#This Row],[Source Date]], "MM/DD/YYYY")</f>
        <v>W6 59606 COLLECTED 09/15/2020</v>
      </c>
      <c r="C20" s="17" t="str">
        <f>IF(Master[[#This Row],[Cooperator (Collector) 1 -full record]]="","",Master[[#This Row],[Cooperator (Collector) 1 -full record]])</f>
        <v/>
      </c>
      <c r="D20" s="2"/>
    </row>
    <row r="21" spans="1:4" x14ac:dyDescent="0.25">
      <c r="A21" s="7"/>
      <c r="B21" s="7" t="str">
        <f>Master[[#This Row],[Accession Prefix (NPGS)]]&amp;" "&amp;Master[[#This Row],[Accession Number -Assigned]]&amp;" COLLECTED "&amp;TEXT(SourceCollector[[#This Row],[Source Date]], "MM/DD/YYYY")</f>
        <v>W6 59607 COLLECTED 09/15/2020</v>
      </c>
      <c r="C21" s="17" t="str">
        <f>IF(Master[[#This Row],[Cooperator (Collector) 1 -full record]]="","",Master[[#This Row],[Cooperator (Collector) 1 -full record]])</f>
        <v/>
      </c>
      <c r="D21" s="2"/>
    </row>
    <row r="22" spans="1:4" x14ac:dyDescent="0.25">
      <c r="B22" t="str">
        <f>Master[[#This Row],[Accession Prefix (NPGS)]]&amp;" "&amp;Master[[#This Row],[Accession Number -Assigned]]&amp;" COLLECTED "&amp;TEXT(SourceCollector[[#This Row],[Source Date]], "MM/DD/YYYY")</f>
        <v>W6 59608 COLLECTED 09/16/2020</v>
      </c>
      <c r="C22" s="17" t="str">
        <f>IF(Master[[#This Row],[Cooperator (Collector) 1 -full record]]="","",Master[[#This Row],[Cooperator (Collector) 1 -full record]])</f>
        <v/>
      </c>
      <c r="D22" s="2"/>
    </row>
    <row r="23" spans="1:4" x14ac:dyDescent="0.25">
      <c r="B23" t="str">
        <f>Master[[#This Row],[Accession Prefix (NPGS)]]&amp;" "&amp;Master[[#This Row],[Accession Number -Assigned]]&amp;" COLLECTED "&amp;TEXT(SourceCollector[[#This Row],[Source Date]], "MM/DD/YYYY")</f>
        <v>W6 59609 COLLECTED 09/16/2020</v>
      </c>
      <c r="C23" s="17" t="str">
        <f>IF(Master[[#This Row],[Cooperator (Collector) 1 -full record]]="","",Master[[#This Row],[Cooperator (Collector) 1 -full record]])</f>
        <v/>
      </c>
      <c r="D23" s="2"/>
    </row>
    <row r="24" spans="1:4" x14ac:dyDescent="0.25">
      <c r="B24" t="str">
        <f>Master[[#This Row],[Accession Prefix (NPGS)]]&amp;" "&amp;Master[[#This Row],[Accession Number -Assigned]]&amp;" COLLECTED "&amp;TEXT(SourceCollector[[#This Row],[Source Date]], "MM/DD/YYYY")</f>
        <v>W6 59610 COLLECTED 09/17/2020</v>
      </c>
      <c r="C24" s="17" t="str">
        <f>IF(Master[[#This Row],[Cooperator (Collector) 1 -full record]]="","",Master[[#This Row],[Cooperator (Collector) 1 -full record]])</f>
        <v/>
      </c>
      <c r="D24" s="2"/>
    </row>
    <row r="25" spans="1:4" x14ac:dyDescent="0.25">
      <c r="B25" t="str">
        <f>Master[[#This Row],[Accession Prefix (NPGS)]]&amp;" "&amp;Master[[#This Row],[Accession Number -Assigned]]&amp;" COLLECTED "&amp;TEXT(SourceCollector[[#This Row],[Source Date]], "MM/DD/YYYY")</f>
        <v>W6 59611 COLLECTED 09/24/2020</v>
      </c>
      <c r="C25" s="17" t="str">
        <f>IF(Master[[#This Row],[Cooperator (Collector) 1 -full record]]="","",Master[[#This Row],[Cooperator (Collector) 1 -full record]])</f>
        <v/>
      </c>
      <c r="D25" s="2"/>
    </row>
    <row r="26" spans="1:4" x14ac:dyDescent="0.25">
      <c r="B26" t="str">
        <f>Master[[#This Row],[Accession Prefix (NPGS)]]&amp;" "&amp;Master[[#This Row],[Accession Number -Assigned]]&amp;" COLLECTED "&amp;TEXT(SourceCollector[[#This Row],[Source Date]], "MM/DD/YYYY")</f>
        <v>W6 59612 COLLECTED 09/24/2020</v>
      </c>
      <c r="C26" s="17" t="str">
        <f>IF(Master[[#This Row],[Cooperator (Collector) 1 -full record]]="","",Master[[#This Row],[Cooperator (Collector) 1 -full record]])</f>
        <v/>
      </c>
      <c r="D26" s="2"/>
    </row>
    <row r="27" spans="1:4" x14ac:dyDescent="0.25">
      <c r="B27" t="str">
        <f>Master[[#This Row],[Accession Prefix (NPGS)]]&amp;" "&amp;Master[[#This Row],[Accession Number -Assigned]]&amp;" COLLECTED "&amp;TEXT(SourceCollector[[#This Row],[Source Date]], "MM/DD/YYYY")</f>
        <v>W6 59613 COLLECTED 09/30/2020</v>
      </c>
      <c r="C27" s="17" t="str">
        <f>IF(Master[[#This Row],[Cooperator (Collector) 1 -full record]]="","",Master[[#This Row],[Cooperator (Collector) 1 -full record]])</f>
        <v/>
      </c>
      <c r="D27" s="2"/>
    </row>
    <row r="28" spans="1:4" x14ac:dyDescent="0.25">
      <c r="B28" t="str">
        <f>Master[[#This Row],[Accession Prefix (NPGS)]]&amp;" "&amp;Master[[#This Row],[Accession Number -Assigned]]&amp;" COLLECTED "&amp;TEXT(SourceCollector[[#This Row],[Source Date]], "MM/DD/YYYY")</f>
        <v>W6 59614 COLLECTED 09/30/2020</v>
      </c>
      <c r="C28" s="17" t="str">
        <f>IF(Master[[#This Row],[Cooperator (Collector) 1 -full record]]="","",Master[[#This Row],[Cooperator (Collector) 1 -full record]])</f>
        <v/>
      </c>
      <c r="D28" s="2"/>
    </row>
    <row r="29" spans="1:4" x14ac:dyDescent="0.25">
      <c r="B29" t="str">
        <f>Master[[#This Row],[Accession Prefix (NPGS)]]&amp;" "&amp;Master[[#This Row],[Accession Number -Assigned]]&amp;" COLLECTED "&amp;TEXT(SourceCollector[[#This Row],[Source Date]], "MM/DD/YYYY")</f>
        <v>W6 59615 COLLECTED 10/08/2020</v>
      </c>
      <c r="C29" s="17" t="str">
        <f>IF(Master[[#This Row],[Cooperator (Collector) 1 -full record]]="","",Master[[#This Row],[Cooperator (Collector) 1 -full record]])</f>
        <v/>
      </c>
      <c r="D29" s="2"/>
    </row>
    <row r="30" spans="1:4" x14ac:dyDescent="0.25">
      <c r="B30" t="str">
        <f>Master[[#This Row],[Accession Prefix (NPGS)]]&amp;" "&amp;Master[[#This Row],[Accession Number -Assigned]]&amp;" COLLECTED "&amp;TEXT(SourceCollector[[#This Row],[Source Date]], "MM/DD/YYYY")</f>
        <v>W6 59616 COLLECTED 10/22/2020</v>
      </c>
      <c r="C30" s="17" t="str">
        <f>IF(Master[[#This Row],[Cooperator (Collector) 1 -full record]]="","",Master[[#This Row],[Cooperator (Collector) 1 -full record]])</f>
        <v/>
      </c>
      <c r="D30" s="2"/>
    </row>
    <row r="31" spans="1:4" x14ac:dyDescent="0.25">
      <c r="B31" t="str">
        <f>Master[[#This Row],[Accession Prefix (NPGS)]]&amp;" "&amp;Master[[#This Row],[Accession Number -Assigned]]&amp;" COLLECTED "&amp;TEXT(SourceCollector[[#This Row],[Source Date]], "MM/DD/YYYY")</f>
        <v>W6 59617 COLLECTED 08/25/2020</v>
      </c>
      <c r="C31" s="17" t="str">
        <f>IF(Master[[#This Row],[Cooperator (Collector) 1 -full record]]="","",Master[[#This Row],[Cooperator (Collector) 1 -full record]])</f>
        <v/>
      </c>
      <c r="D31" s="2"/>
    </row>
    <row r="32" spans="1:4" x14ac:dyDescent="0.25">
      <c r="B32" t="str">
        <f>Master[[#This Row],[Accession Prefix (NPGS)]]&amp;" "&amp;Master[[#This Row],[Accession Number -Assigned]]&amp;" COLLECTED "&amp;TEXT(SourceCollector[[#This Row],[Source Date]], "MM/DD/YYYY")</f>
        <v>W6 59618 COLLECTED 09/02/2020</v>
      </c>
      <c r="C32" s="17" t="str">
        <f>IF(Master[[#This Row],[Cooperator (Collector) 1 -full record]]="","",Master[[#This Row],[Cooperator (Collector) 1 -full record]])</f>
        <v/>
      </c>
      <c r="D32" s="2"/>
    </row>
    <row r="33" spans="2:4" x14ac:dyDescent="0.25">
      <c r="B33" t="str">
        <f>Master[[#This Row],[Accession Prefix (NPGS)]]&amp;" "&amp;Master[[#This Row],[Accession Number -Assigned]]&amp;" COLLECTED "&amp;TEXT(SourceCollector[[#This Row],[Source Date]], "MM/DD/YYYY")</f>
        <v>W6 59619 COLLECTED 09/03/2020</v>
      </c>
      <c r="C33" s="17" t="str">
        <f>IF(Master[[#This Row],[Cooperator (Collector) 1 -full record]]="","",Master[[#This Row],[Cooperator (Collector) 1 -full record]])</f>
        <v/>
      </c>
      <c r="D33" s="2"/>
    </row>
    <row r="34" spans="2:4" x14ac:dyDescent="0.25">
      <c r="B34" t="str">
        <f>Master[[#This Row],[Accession Prefix (NPGS)]]&amp;" "&amp;Master[[#This Row],[Accession Number -Assigned]]&amp;" COLLECTED "&amp;TEXT(SourceCollector[[#This Row],[Source Date]], "MM/DD/YYYY")</f>
        <v>W6 59620 COLLECTED 09/10/2020</v>
      </c>
      <c r="C34" s="17" t="str">
        <f>IF(Master[[#This Row],[Cooperator (Collector) 1 -full record]]="","",Master[[#This Row],[Cooperator (Collector) 1 -full record]])</f>
        <v/>
      </c>
      <c r="D34" s="2"/>
    </row>
    <row r="35" spans="2:4" x14ac:dyDescent="0.25">
      <c r="B35" t="str">
        <f>Master[[#This Row],[Accession Prefix (NPGS)]]&amp;" "&amp;Master[[#This Row],[Accession Number -Assigned]]&amp;" COLLECTED "&amp;TEXT(SourceCollector[[#This Row],[Source Date]], "MM/DD/YYYY")</f>
        <v>W6 59621 COLLECTED 09/22/2020</v>
      </c>
      <c r="C35" s="17" t="str">
        <f>IF(Master[[#This Row],[Cooperator (Collector) 1 -full record]]="","",Master[[#This Row],[Cooperator (Collector) 1 -full record]])</f>
        <v/>
      </c>
      <c r="D35" s="2"/>
    </row>
    <row r="36" spans="2:4" x14ac:dyDescent="0.25">
      <c r="B36" t="str">
        <f>Master[[#This Row],[Accession Prefix (NPGS)]]&amp;" "&amp;Master[[#This Row],[Accession Number -Assigned]]&amp;" COLLECTED "&amp;TEXT(SourceCollector[[#This Row],[Source Date]], "MM/DD/YYYY")</f>
        <v>W6 59622 COLLECTED 09/22/2020</v>
      </c>
      <c r="C36" s="17" t="str">
        <f>IF(Master[[#This Row],[Cooperator (Collector) 1 -full record]]="","",Master[[#This Row],[Cooperator (Collector) 1 -full record]])</f>
        <v/>
      </c>
      <c r="D36" s="2"/>
    </row>
    <row r="37" spans="2:4" x14ac:dyDescent="0.25">
      <c r="B37" t="str">
        <f>Master[[#This Row],[Accession Prefix (NPGS)]]&amp;" "&amp;Master[[#This Row],[Accession Number -Assigned]]&amp;" COLLECTED "&amp;TEXT(SourceCollector[[#This Row],[Source Date]], "MM/DD/YYYY")</f>
        <v>W6 59623 COLLECTED 10/10/2020</v>
      </c>
      <c r="C37" s="17" t="str">
        <f>IF(Master[[#This Row],[Cooperator (Collector) 1 -full record]]="","",Master[[#This Row],[Cooperator (Collector) 1 -full record]])</f>
        <v/>
      </c>
      <c r="D37" s="2"/>
    </row>
    <row r="38" spans="2:4" x14ac:dyDescent="0.25">
      <c r="B38" t="str">
        <f>Master[[#This Row],[Accession Prefix (NPGS)]]&amp;" "&amp;Master[[#This Row],[Accession Number -Assigned]]&amp;" COLLECTED "&amp;TEXT(SourceCollector[[#This Row],[Source Date]], "MM/DD/YYYY")</f>
        <v>W6 59624 COLLECTED 10/10/2020</v>
      </c>
      <c r="C38" s="17" t="str">
        <f>IF(Master[[#This Row],[Cooperator (Collector) 1 -full record]]="","",Master[[#This Row],[Cooperator (Collector) 1 -full record]])</f>
        <v/>
      </c>
      <c r="D38" s="2"/>
    </row>
    <row r="39" spans="2:4" x14ac:dyDescent="0.25">
      <c r="B39" t="str">
        <f>Master[[#This Row],[Accession Prefix (NPGS)]]&amp;" "&amp;Master[[#This Row],[Accession Number -Assigned]]&amp;" COLLECTED "&amp;TEXT(SourceCollector[[#This Row],[Source Date]], "MM/DD/YYYY")</f>
        <v>W6 59625 COLLECTED 10/10/2020</v>
      </c>
      <c r="C39" s="17" t="str">
        <f>IF(Master[[#This Row],[Cooperator (Collector) 1 -full record]]="","",Master[[#This Row],[Cooperator (Collector) 1 -full record]])</f>
        <v/>
      </c>
      <c r="D39" s="2"/>
    </row>
    <row r="40" spans="2:4" x14ac:dyDescent="0.25">
      <c r="B40" t="str">
        <f>Master[[#This Row],[Accession Prefix (NPGS)]]&amp;" "&amp;Master[[#This Row],[Accession Number -Assigned]]&amp;" COLLECTED "&amp;TEXT(SourceCollector[[#This Row],[Source Date]], "MM/DD/YYYY")</f>
        <v>W6 59626 COLLECTED 10/14/2020</v>
      </c>
      <c r="C40" s="17" t="str">
        <f>IF(Master[[#This Row],[Cooperator (Collector) 1 -full record]]="","",Master[[#This Row],[Cooperator (Collector) 1 -full record]])</f>
        <v/>
      </c>
      <c r="D40" s="2"/>
    </row>
    <row r="41" spans="2:4" x14ac:dyDescent="0.25">
      <c r="B41" t="str">
        <f>Master[[#This Row],[Accession Prefix (NPGS)]]&amp;" "&amp;Master[[#This Row],[Accession Number -Assigned]]&amp;" COLLECTED "&amp;TEXT(SourceCollector[[#This Row],[Source Date]], "MM/DD/YYYY")</f>
        <v>W6 59627 COLLECTED 10/14/2020</v>
      </c>
      <c r="C41" s="17" t="str">
        <f>IF(Master[[#This Row],[Cooperator (Collector) 1 -full record]]="","",Master[[#This Row],[Cooperator (Collector) 1 -full record]])</f>
        <v/>
      </c>
      <c r="D41" s="2"/>
    </row>
    <row r="42" spans="2:4" x14ac:dyDescent="0.25">
      <c r="B42" t="str">
        <f>Master[[#This Row],[Accession Prefix (NPGS)]]&amp;" "&amp;Master[[#This Row],[Accession Number -Assigned]]&amp;" COLLECTED "&amp;TEXT(SourceCollector[[#This Row],[Source Date]], "MM/DD/YYYY")</f>
        <v>W6 59628 COLLECTED 10/14/2020</v>
      </c>
      <c r="C42" s="17" t="str">
        <f>IF(Master[[#This Row],[Cooperator (Collector) 1 -full record]]="","",Master[[#This Row],[Cooperator (Collector) 1 -full record]])</f>
        <v/>
      </c>
      <c r="D42" s="2"/>
    </row>
    <row r="43" spans="2:4" x14ac:dyDescent="0.25">
      <c r="B43" t="str">
        <f>Master[[#This Row],[Accession Prefix (NPGS)]]&amp;" "&amp;Master[[#This Row],[Accession Number -Assigned]]&amp;" COLLECTED "&amp;TEXT(SourceCollector[[#This Row],[Source Date]], "MM/DD/YYYY")</f>
        <v>W6 59629 COLLECTED 10/15/2020</v>
      </c>
      <c r="C43" s="17" t="str">
        <f>IF(Master[[#This Row],[Cooperator (Collector) 1 -full record]]="","",Master[[#This Row],[Cooperator (Collector) 1 -full record]])</f>
        <v/>
      </c>
      <c r="D43" s="2"/>
    </row>
    <row r="44" spans="2:4" x14ac:dyDescent="0.25">
      <c r="B44" t="str">
        <f>Master[[#This Row],[Accession Prefix (NPGS)]]&amp;" "&amp;Master[[#This Row],[Accession Number -Assigned]]&amp;" COLLECTED "&amp;TEXT(SourceCollector[[#This Row],[Source Date]], "MM/DD/YYYY")</f>
        <v>W6 59630 COLLECTED 10/15/2020</v>
      </c>
      <c r="C44" s="17" t="str">
        <f>IF(Master[[#This Row],[Cooperator (Collector) 1 -full record]]="","",Master[[#This Row],[Cooperator (Collector) 1 -full record]])</f>
        <v/>
      </c>
      <c r="D44" s="2"/>
    </row>
    <row r="45" spans="2:4" x14ac:dyDescent="0.25">
      <c r="B45" t="str">
        <f>Master[[#This Row],[Accession Prefix (NPGS)]]&amp;" "&amp;Master[[#This Row],[Accession Number -Assigned]]&amp;" COLLECTED "&amp;TEXT(SourceCollector[[#This Row],[Source Date]], "MM/DD/YYYY")</f>
        <v>W6 59631 COLLECTED 10/20/2020</v>
      </c>
      <c r="C45" s="17" t="str">
        <f>IF(Master[[#This Row],[Cooperator (Collector) 1 -full record]]="","",Master[[#This Row],[Cooperator (Collector) 1 -full record]])</f>
        <v/>
      </c>
      <c r="D45" s="2"/>
    </row>
    <row r="46" spans="2:4" x14ac:dyDescent="0.25">
      <c r="B46" t="str">
        <f>Master[[#This Row],[Accession Prefix (NPGS)]]&amp;" "&amp;Master[[#This Row],[Accession Number -Assigned]]&amp;" COLLECTED "&amp;TEXT(SourceCollector[[#This Row],[Source Date]], "MM/DD/YYYY")</f>
        <v>W6 59632 COLLECTED 10/27/2020</v>
      </c>
      <c r="C46" s="17" t="str">
        <f>IF(Master[[#This Row],[Cooperator (Collector) 1 -full record]]="","",Master[[#This Row],[Cooperator (Collector) 1 -full record]])</f>
        <v/>
      </c>
      <c r="D46" s="2"/>
    </row>
    <row r="47" spans="2:4" x14ac:dyDescent="0.25">
      <c r="B47" t="str">
        <f>Master[[#This Row],[Accession Prefix (NPGS)]]&amp;" "&amp;Master[[#This Row],[Accession Number -Assigned]]&amp;" COLLECTED "&amp;TEXT(SourceCollector[[#This Row],[Source Date]], "MM/DD/YYYY")</f>
        <v>W6 59633 COLLECTED 11/10/2020</v>
      </c>
      <c r="C47" s="17" t="str">
        <f>IF(Master[[#This Row],[Cooperator (Collector) 1 -full record]]="","",Master[[#This Row],[Cooperator (Collector) 1 -full record]])</f>
        <v/>
      </c>
      <c r="D47" s="2"/>
    </row>
    <row r="48" spans="2:4" x14ac:dyDescent="0.25">
      <c r="B48" t="str">
        <f>Master[[#This Row],[Accession Prefix (NPGS)]]&amp;" "&amp;Master[[#This Row],[Accession Number -Assigned]]&amp;" COLLECTED "&amp;TEXT(SourceCollector[[#This Row],[Source Date]], "MM/DD/YYYY")</f>
        <v>W6 59634 COLLECTED 11/10/2020</v>
      </c>
      <c r="C48" s="17" t="str">
        <f>IF(Master[[#This Row],[Cooperator (Collector) 1 -full record]]="","",Master[[#This Row],[Cooperator (Collector) 1 -full record]])</f>
        <v/>
      </c>
      <c r="D48" s="2"/>
    </row>
    <row r="49" spans="2:4" x14ac:dyDescent="0.25">
      <c r="B49" t="str">
        <f>Master[[#This Row],[Accession Prefix (NPGS)]]&amp;" "&amp;Master[[#This Row],[Accession Number -Assigned]]&amp;" COLLECTED "&amp;TEXT(SourceCollector[[#This Row],[Source Date]], "MM/DD/YYYY")</f>
        <v>W6 59635 COLLECTED 11/19/2020</v>
      </c>
      <c r="C49" s="17" t="str">
        <f>IF(Master[[#This Row],[Cooperator (Collector) 1 -full record]]="","",Master[[#This Row],[Cooperator (Collector) 1 -full record]])</f>
        <v/>
      </c>
      <c r="D49" s="2"/>
    </row>
    <row r="50" spans="2:4" x14ac:dyDescent="0.25">
      <c r="B50" t="str">
        <f>Master[[#This Row],[Accession Prefix (NPGS)]]&amp;" "&amp;Master[[#This Row],[Accession Number -Assigned]]&amp;" COLLECTED "&amp;TEXT(SourceCollector[[#This Row],[Source Date]], "MM/DD/YYYY")</f>
        <v>W6 59636 COLLECTED 11/23/2020</v>
      </c>
      <c r="C50" s="17" t="str">
        <f>IF(Master[[#This Row],[Cooperator (Collector) 1 -full record]]="","",Master[[#This Row],[Cooperator (Collector) 1 -full record]])</f>
        <v/>
      </c>
      <c r="D50" s="2"/>
    </row>
    <row r="51" spans="2:4" x14ac:dyDescent="0.25">
      <c r="B51" t="str">
        <f>Master[[#This Row],[Accession Prefix (NPGS)]]&amp;" "&amp;Master[[#This Row],[Accession Number -Assigned]]&amp;" COLLECTED "&amp;TEXT(SourceCollector[[#This Row],[Source Date]], "MM/DD/YYYY")</f>
        <v>W6 59637 COLLECTED 12/03/2020</v>
      </c>
      <c r="C51" s="17" t="str">
        <f>IF(Master[[#This Row],[Cooperator (Collector) 1 -full record]]="","",Master[[#This Row],[Cooperator (Collector) 1 -full record]])</f>
        <v/>
      </c>
      <c r="D51" s="2"/>
    </row>
    <row r="52" spans="2:4" x14ac:dyDescent="0.25">
      <c r="B52" t="str">
        <f>Master[[#This Row],[Accession Prefix (NPGS)]]&amp;" "&amp;Master[[#This Row],[Accession Number -Assigned]]&amp;" COLLECTED "&amp;TEXT(SourceCollector[[#This Row],[Source Date]], "MM/DD/YYYY")</f>
        <v>W6 59638 COLLECTED 12/03/2020</v>
      </c>
      <c r="C52" s="17" t="str">
        <f>IF(Master[[#This Row],[Cooperator (Collector) 1 -full record]]="","",Master[[#This Row],[Cooperator (Collector) 1 -full record]])</f>
        <v/>
      </c>
      <c r="D52" s="2"/>
    </row>
    <row r="53" spans="2:4" x14ac:dyDescent="0.25">
      <c r="B53" t="str">
        <f>Master[[#This Row],[Accession Prefix (NPGS)]]&amp;" "&amp;Master[[#This Row],[Accession Number -Assigned]]&amp;" COLLECTED "&amp;TEXT(SourceCollector[[#This Row],[Source Date]], "MM/DD/YYYY")</f>
        <v>W6 59639 COLLECTED 12/03/2020</v>
      </c>
      <c r="C53" s="17" t="str">
        <f>IF(Master[[#This Row],[Cooperator (Collector) 1 -full record]]="","",Master[[#This Row],[Cooperator (Collector) 1 -full record]])</f>
        <v/>
      </c>
      <c r="D53" s="2"/>
    </row>
    <row r="54" spans="2:4" x14ac:dyDescent="0.25">
      <c r="B54" t="str">
        <f>Master[[#This Row],[Accession Prefix (NPGS)]]&amp;" "&amp;Master[[#This Row],[Accession Number -Assigned]]&amp;" COLLECTED "&amp;TEXT(SourceCollector[[#This Row],[Source Date]], "MM/DD/YYYY")</f>
        <v>W6 59640 COLLECTED 12/15/2020</v>
      </c>
      <c r="C54" s="17" t="str">
        <f>IF(Master[[#This Row],[Cooperator (Collector) 1 -full record]]="","",Master[[#This Row],[Cooperator (Collector) 1 -full record]])</f>
        <v/>
      </c>
      <c r="D54" s="2"/>
    </row>
    <row r="55" spans="2:4" x14ac:dyDescent="0.25">
      <c r="B55" t="str">
        <f>Master[[#This Row],[Accession Prefix (NPGS)]]&amp;" "&amp;Master[[#This Row],[Accession Number -Assigned]]&amp;" COLLECTED "&amp;TEXT(SourceCollector[[#This Row],[Source Date]], "MM/DD/YYYY")</f>
        <v>W6 59641 COLLECTED 08/17/2020</v>
      </c>
      <c r="C55" s="17" t="str">
        <f>IF(Master[[#This Row],[Cooperator (Collector) 1 -full record]]="","",Master[[#This Row],[Cooperator (Collector) 1 -full record]])</f>
        <v/>
      </c>
      <c r="D55" s="2"/>
    </row>
    <row r="56" spans="2:4" x14ac:dyDescent="0.25">
      <c r="B56" t="str">
        <f>Master[[#This Row],[Accession Prefix (NPGS)]]&amp;" "&amp;Master[[#This Row],[Accession Number -Assigned]]&amp;" COLLECTED "&amp;TEXT(SourceCollector[[#This Row],[Source Date]], "MM/DD/YYYY")</f>
        <v>W6 59642 COLLECTED 08/25/2020</v>
      </c>
      <c r="C56" s="17" t="str">
        <f>IF(Master[[#This Row],[Cooperator (Collector) 1 -full record]]="","",Master[[#This Row],[Cooperator (Collector) 1 -full record]])</f>
        <v/>
      </c>
      <c r="D56" s="2"/>
    </row>
    <row r="57" spans="2:4" x14ac:dyDescent="0.25">
      <c r="B57" t="str">
        <f>Master[[#This Row],[Accession Prefix (NPGS)]]&amp;" "&amp;Master[[#This Row],[Accession Number -Assigned]]&amp;" COLLECTED "&amp;TEXT(SourceCollector[[#This Row],[Source Date]], "MM/DD/YYYY")</f>
        <v>W6 59643 COLLECTED 05/26/2020</v>
      </c>
      <c r="C57" s="17" t="str">
        <f>IF(Master[[#This Row],[Cooperator (Collector) 1 -full record]]="","",Master[[#This Row],[Cooperator (Collector) 1 -full record]])</f>
        <v/>
      </c>
      <c r="D57" s="2"/>
    </row>
    <row r="58" spans="2:4" x14ac:dyDescent="0.25">
      <c r="B58" t="str">
        <f>Master[[#This Row],[Accession Prefix (NPGS)]]&amp;" "&amp;Master[[#This Row],[Accession Number -Assigned]]&amp;" COLLECTED "&amp;TEXT(SourceCollector[[#This Row],[Source Date]], "MM/DD/YYYY")</f>
        <v>W6 59644 COLLECTED 05/27/2020</v>
      </c>
      <c r="C58" s="17" t="str">
        <f>IF(Master[[#This Row],[Cooperator (Collector) 1 -full record]]="","",Master[[#This Row],[Cooperator (Collector) 1 -full record]])</f>
        <v/>
      </c>
      <c r="D58" s="2"/>
    </row>
    <row r="59" spans="2:4" x14ac:dyDescent="0.25">
      <c r="B59" t="str">
        <f>Master[[#This Row],[Accession Prefix (NPGS)]]&amp;" "&amp;Master[[#This Row],[Accession Number -Assigned]]&amp;" COLLECTED "&amp;TEXT(SourceCollector[[#This Row],[Source Date]], "MM/DD/YYYY")</f>
        <v>W6 59645 COLLECTED 06/09/2020</v>
      </c>
      <c r="C59" s="17" t="str">
        <f>IF(Master[[#This Row],[Cooperator (Collector) 1 -full record]]="","",Master[[#This Row],[Cooperator (Collector) 1 -full record]])</f>
        <v/>
      </c>
      <c r="D59" s="2"/>
    </row>
    <row r="60" spans="2:4" x14ac:dyDescent="0.25">
      <c r="B60" t="str">
        <f>Master[[#This Row],[Accession Prefix (NPGS)]]&amp;" "&amp;Master[[#This Row],[Accession Number -Assigned]]&amp;" COLLECTED "&amp;TEXT(SourceCollector[[#This Row],[Source Date]], "MM/DD/YYYY")</f>
        <v>W6 59646 COLLECTED 06/24/2020</v>
      </c>
      <c r="C60" s="17" t="str">
        <f>IF(Master[[#This Row],[Cooperator (Collector) 1 -full record]]="","",Master[[#This Row],[Cooperator (Collector) 1 -full record]])</f>
        <v/>
      </c>
      <c r="D60" s="2"/>
    </row>
    <row r="61" spans="2:4" x14ac:dyDescent="0.25">
      <c r="B61" t="str">
        <f>Master[[#This Row],[Accession Prefix (NPGS)]]&amp;" "&amp;Master[[#This Row],[Accession Number -Assigned]]&amp;" COLLECTED "&amp;TEXT(SourceCollector[[#This Row],[Source Date]], "MM/DD/YYYY")</f>
        <v>W6 59647 COLLECTED 07/07/2020</v>
      </c>
      <c r="C61" s="17" t="str">
        <f>IF(Master[[#This Row],[Cooperator (Collector) 1 -full record]]="","",Master[[#This Row],[Cooperator (Collector) 1 -full record]])</f>
        <v/>
      </c>
      <c r="D61" s="2"/>
    </row>
    <row r="62" spans="2:4" x14ac:dyDescent="0.25">
      <c r="B62" t="str">
        <f>Master[[#This Row],[Accession Prefix (NPGS)]]&amp;" "&amp;Master[[#This Row],[Accession Number -Assigned]]&amp;" COLLECTED "&amp;TEXT(SourceCollector[[#This Row],[Source Date]], "MM/DD/YYYY")</f>
        <v>W6 59648 COLLECTED 07/09/2020</v>
      </c>
      <c r="C62" s="17" t="str">
        <f>IF(Master[[#This Row],[Cooperator (Collector) 1 -full record]]="","",Master[[#This Row],[Cooperator (Collector) 1 -full record]])</f>
        <v/>
      </c>
      <c r="D62" s="2"/>
    </row>
    <row r="63" spans="2:4" x14ac:dyDescent="0.25">
      <c r="B63" t="str">
        <f>Master[[#This Row],[Accession Prefix (NPGS)]]&amp;" "&amp;Master[[#This Row],[Accession Number -Assigned]]&amp;" COLLECTED "&amp;TEXT(SourceCollector[[#This Row],[Source Date]], "MM/DD/YYYY")</f>
        <v>W6 59649 COLLECTED 07/13/2020</v>
      </c>
      <c r="C63" s="17" t="str">
        <f>IF(Master[[#This Row],[Cooperator (Collector) 1 -full record]]="","",Master[[#This Row],[Cooperator (Collector) 1 -full record]])</f>
        <v/>
      </c>
      <c r="D63" s="2"/>
    </row>
    <row r="64" spans="2:4" x14ac:dyDescent="0.25">
      <c r="B64" t="str">
        <f>Master[[#This Row],[Accession Prefix (NPGS)]]&amp;" "&amp;Master[[#This Row],[Accession Number -Assigned]]&amp;" COLLECTED "&amp;TEXT(SourceCollector[[#This Row],[Source Date]], "MM/DD/YYYY")</f>
        <v>W6 59650 COLLECTED 08/10/2020</v>
      </c>
      <c r="C64" s="17" t="str">
        <f>IF(Master[[#This Row],[Cooperator (Collector) 1 -full record]]="","",Master[[#This Row],[Cooperator (Collector) 1 -full record]])</f>
        <v/>
      </c>
      <c r="D64" s="2"/>
    </row>
    <row r="65" spans="2:4" x14ac:dyDescent="0.25">
      <c r="B65" t="str">
        <f>Master[[#This Row],[Accession Prefix (NPGS)]]&amp;" "&amp;Master[[#This Row],[Accession Number -Assigned]]&amp;" COLLECTED "&amp;TEXT(SourceCollector[[#This Row],[Source Date]], "MM/DD/YYYY")</f>
        <v>W6 59651 COLLECTED 08/11/2020</v>
      </c>
      <c r="C65" s="17" t="str">
        <f>IF(Master[[#This Row],[Cooperator (Collector) 1 -full record]]="","",Master[[#This Row],[Cooperator (Collector) 1 -full record]])</f>
        <v/>
      </c>
      <c r="D65" s="2"/>
    </row>
    <row r="66" spans="2:4" x14ac:dyDescent="0.25">
      <c r="B66" t="str">
        <f>Master[[#This Row],[Accession Prefix (NPGS)]]&amp;" "&amp;Master[[#This Row],[Accession Number -Assigned]]&amp;" COLLECTED "&amp;TEXT(SourceCollector[[#This Row],[Source Date]], "MM/DD/YYYY")</f>
        <v>W6 59652 COLLECTED 08/11/2020</v>
      </c>
      <c r="C66" s="17" t="str">
        <f>IF(Master[[#This Row],[Cooperator (Collector) 1 -full record]]="","",Master[[#This Row],[Cooperator (Collector) 1 -full record]])</f>
        <v/>
      </c>
      <c r="D66" s="2"/>
    </row>
    <row r="67" spans="2:4" x14ac:dyDescent="0.25">
      <c r="B67" t="str">
        <f>Master[[#This Row],[Accession Prefix (NPGS)]]&amp;" "&amp;Master[[#This Row],[Accession Number -Assigned]]&amp;" COLLECTED "&amp;TEXT(SourceCollector[[#This Row],[Source Date]], "MM/DD/YYYY")</f>
        <v>W6 59653 COLLECTED 08/12/2020</v>
      </c>
      <c r="C67" s="17" t="str">
        <f>IF(Master[[#This Row],[Cooperator (Collector) 1 -full record]]="","",Master[[#This Row],[Cooperator (Collector) 1 -full record]])</f>
        <v/>
      </c>
      <c r="D67" s="2"/>
    </row>
    <row r="68" spans="2:4" x14ac:dyDescent="0.25">
      <c r="B68" t="str">
        <f>Master[[#This Row],[Accession Prefix (NPGS)]]&amp;" "&amp;Master[[#This Row],[Accession Number -Assigned]]&amp;" COLLECTED "&amp;TEXT(SourceCollector[[#This Row],[Source Date]], "MM/DD/YYYY")</f>
        <v>W6 59654 COLLECTED 08/12/2020</v>
      </c>
      <c r="C68" s="17" t="str">
        <f>IF(Master[[#This Row],[Cooperator (Collector) 1 -full record]]="","",Master[[#This Row],[Cooperator (Collector) 1 -full record]])</f>
        <v/>
      </c>
      <c r="D68" s="2"/>
    </row>
    <row r="69" spans="2:4" x14ac:dyDescent="0.25">
      <c r="B69" t="str">
        <f>Master[[#This Row],[Accession Prefix (NPGS)]]&amp;" "&amp;Master[[#This Row],[Accession Number -Assigned]]&amp;" COLLECTED "&amp;TEXT(SourceCollector[[#This Row],[Source Date]], "MM/DD/YYYY")</f>
        <v>W6 59655 COLLECTED 06/11/2020</v>
      </c>
      <c r="C69" s="17" t="str">
        <f>IF(Master[[#This Row],[Cooperator (Collector) 1 -full record]]="","",Master[[#This Row],[Cooperator (Collector) 1 -full record]])</f>
        <v/>
      </c>
      <c r="D69" s="2"/>
    </row>
    <row r="70" spans="2:4" x14ac:dyDescent="0.25">
      <c r="B70" t="str">
        <f>Master[[#This Row],[Accession Prefix (NPGS)]]&amp;" "&amp;Master[[#This Row],[Accession Number -Assigned]]&amp;" COLLECTED "&amp;TEXT(SourceCollector[[#This Row],[Source Date]], "MM/DD/YYYY")</f>
        <v>W6 59656 COLLECTED 06/15/2020</v>
      </c>
      <c r="C70" s="17" t="str">
        <f>IF(Master[[#This Row],[Cooperator (Collector) 1 -full record]]="","",Master[[#This Row],[Cooperator (Collector) 1 -full record]])</f>
        <v/>
      </c>
      <c r="D70" s="2"/>
    </row>
    <row r="71" spans="2:4" x14ac:dyDescent="0.25">
      <c r="B71" t="str">
        <f>Master[[#This Row],[Accession Prefix (NPGS)]]&amp;" "&amp;Master[[#This Row],[Accession Number -Assigned]]&amp;" COLLECTED "&amp;TEXT(SourceCollector[[#This Row],[Source Date]], "MM/DD/YYYY")</f>
        <v>W6 59657 COLLECTED 06/16/2020</v>
      </c>
      <c r="C71" s="17" t="str">
        <f>IF(Master[[#This Row],[Cooperator (Collector) 1 -full record]]="","",Master[[#This Row],[Cooperator (Collector) 1 -full record]])</f>
        <v/>
      </c>
      <c r="D71" s="2"/>
    </row>
    <row r="72" spans="2:4" x14ac:dyDescent="0.25">
      <c r="B72" t="str">
        <f>Master[[#This Row],[Accession Prefix (NPGS)]]&amp;" "&amp;Master[[#This Row],[Accession Number -Assigned]]&amp;" COLLECTED "&amp;TEXT(SourceCollector[[#This Row],[Source Date]], "MM/DD/YYYY")</f>
        <v>W6 59658 COLLECTED 06/16/2020</v>
      </c>
      <c r="C72" s="17" t="str">
        <f>IF(Master[[#This Row],[Cooperator (Collector) 1 -full record]]="","",Master[[#This Row],[Cooperator (Collector) 1 -full record]])</f>
        <v/>
      </c>
      <c r="D72" s="2"/>
    </row>
    <row r="73" spans="2:4" x14ac:dyDescent="0.25">
      <c r="B73" t="str">
        <f>Master[[#This Row],[Accession Prefix (NPGS)]]&amp;" "&amp;Master[[#This Row],[Accession Number -Assigned]]&amp;" COLLECTED "&amp;TEXT(SourceCollector[[#This Row],[Source Date]], "MM/DD/YYYY")</f>
        <v>W6 59659 COLLECTED 06/17/2020</v>
      </c>
      <c r="C73" s="17" t="str">
        <f>IF(Master[[#This Row],[Cooperator (Collector) 1 -full record]]="","",Master[[#This Row],[Cooperator (Collector) 1 -full record]])</f>
        <v/>
      </c>
      <c r="D73" s="2"/>
    </row>
    <row r="74" spans="2:4" x14ac:dyDescent="0.25">
      <c r="B74" t="str">
        <f>Master[[#This Row],[Accession Prefix (NPGS)]]&amp;" "&amp;Master[[#This Row],[Accession Number -Assigned]]&amp;" COLLECTED "&amp;TEXT(SourceCollector[[#This Row],[Source Date]], "MM/DD/YYYY")</f>
        <v>W6 59660 COLLECTED 06/24/2020</v>
      </c>
      <c r="C74" s="17" t="str">
        <f>IF(Master[[#This Row],[Cooperator (Collector) 1 -full record]]="","",Master[[#This Row],[Cooperator (Collector) 1 -full record]])</f>
        <v/>
      </c>
      <c r="D74" s="2"/>
    </row>
    <row r="75" spans="2:4" x14ac:dyDescent="0.25">
      <c r="B75" t="str">
        <f>Master[[#This Row],[Accession Prefix (NPGS)]]&amp;" "&amp;Master[[#This Row],[Accession Number -Assigned]]&amp;" COLLECTED "&amp;TEXT(SourceCollector[[#This Row],[Source Date]], "MM/DD/YYYY")</f>
        <v>W6 59661 COLLECTED 06/24/2020</v>
      </c>
      <c r="C75" s="17" t="str">
        <f>IF(Master[[#This Row],[Cooperator (Collector) 1 -full record]]="","",Master[[#This Row],[Cooperator (Collector) 1 -full record]])</f>
        <v/>
      </c>
      <c r="D75" s="2"/>
    </row>
    <row r="76" spans="2:4" x14ac:dyDescent="0.25">
      <c r="B76" t="str">
        <f>Master[[#This Row],[Accession Prefix (NPGS)]]&amp;" "&amp;Master[[#This Row],[Accession Number -Assigned]]&amp;" COLLECTED "&amp;TEXT(SourceCollector[[#This Row],[Source Date]], "MM/DD/YYYY")</f>
        <v>W6 59662 COLLECTED 07/01/2020</v>
      </c>
      <c r="C76" s="17" t="str">
        <f>IF(Master[[#This Row],[Cooperator (Collector) 1 -full record]]="","",Master[[#This Row],[Cooperator (Collector) 1 -full record]])</f>
        <v/>
      </c>
      <c r="D76" s="2"/>
    </row>
    <row r="77" spans="2:4" x14ac:dyDescent="0.25">
      <c r="B77" t="str">
        <f>Master[[#This Row],[Accession Prefix (NPGS)]]&amp;" "&amp;Master[[#This Row],[Accession Number -Assigned]]&amp;" COLLECTED "&amp;TEXT(SourceCollector[[#This Row],[Source Date]], "MM/DD/YYYY")</f>
        <v>W6 59663 COLLECTED 06/25/2020</v>
      </c>
      <c r="C77" s="17" t="str">
        <f>IF(Master[[#This Row],[Cooperator (Collector) 1 -full record]]="","",Master[[#This Row],[Cooperator (Collector) 1 -full record]])</f>
        <v/>
      </c>
      <c r="D77" s="2"/>
    </row>
    <row r="78" spans="2:4" x14ac:dyDescent="0.25">
      <c r="B78" t="str">
        <f>Master[[#This Row],[Accession Prefix (NPGS)]]&amp;" "&amp;Master[[#This Row],[Accession Number -Assigned]]&amp;" COLLECTED "&amp;TEXT(SourceCollector[[#This Row],[Source Date]], "MM/DD/YYYY")</f>
        <v>W6 59664 COLLECTED 08/11/2020</v>
      </c>
      <c r="C78" s="17" t="str">
        <f>IF(Master[[#This Row],[Cooperator (Collector) 1 -full record]]="","",Master[[#This Row],[Cooperator (Collector) 1 -full record]])</f>
        <v/>
      </c>
      <c r="D78" s="2"/>
    </row>
    <row r="79" spans="2:4" x14ac:dyDescent="0.25">
      <c r="B79" t="str">
        <f>Master[[#This Row],[Accession Prefix (NPGS)]]&amp;" "&amp;Master[[#This Row],[Accession Number -Assigned]]&amp;" COLLECTED "&amp;TEXT(SourceCollector[[#This Row],[Source Date]], "MM/DD/YYYY")</f>
        <v>W6 59665 COLLECTED 07/01/2020</v>
      </c>
      <c r="C79" s="17" t="str">
        <f>IF(Master[[#This Row],[Cooperator (Collector) 1 -full record]]="","",Master[[#This Row],[Cooperator (Collector) 1 -full record]])</f>
        <v/>
      </c>
      <c r="D79" s="2"/>
    </row>
    <row r="80" spans="2:4" x14ac:dyDescent="0.25">
      <c r="B80" t="str">
        <f>Master[[#This Row],[Accession Prefix (NPGS)]]&amp;" "&amp;Master[[#This Row],[Accession Number -Assigned]]&amp;" COLLECTED "&amp;TEXT(SourceCollector[[#This Row],[Source Date]], "MM/DD/YYYY")</f>
        <v>W6 59666 COLLECTED 06/29/2020</v>
      </c>
      <c r="C80" s="17" t="str">
        <f>IF(Master[[#This Row],[Cooperator (Collector) 1 -full record]]="","",Master[[#This Row],[Cooperator (Collector) 1 -full record]])</f>
        <v/>
      </c>
      <c r="D80" s="2"/>
    </row>
    <row r="81" spans="2:4" x14ac:dyDescent="0.25">
      <c r="B81" t="str">
        <f>Master[[#This Row],[Accession Prefix (NPGS)]]&amp;" "&amp;Master[[#This Row],[Accession Number -Assigned]]&amp;" COLLECTED "&amp;TEXT(SourceCollector[[#This Row],[Source Date]], "MM/DD/YYYY")</f>
        <v>W6 59667 COLLECTED 06/29/2020</v>
      </c>
      <c r="C81" s="17" t="str">
        <f>IF(Master[[#This Row],[Cooperator (Collector) 1 -full record]]="","",Master[[#This Row],[Cooperator (Collector) 1 -full record]])</f>
        <v/>
      </c>
      <c r="D81" s="2"/>
    </row>
    <row r="82" spans="2:4" x14ac:dyDescent="0.25">
      <c r="B82" t="str">
        <f>Master[[#This Row],[Accession Prefix (NPGS)]]&amp;" "&amp;Master[[#This Row],[Accession Number -Assigned]]&amp;" COLLECTED "&amp;TEXT(SourceCollector[[#This Row],[Source Date]], "MM/DD/YYYY")</f>
        <v>W6 59668 COLLECTED 07/07/2020</v>
      </c>
      <c r="C82" s="17" t="str">
        <f>IF(Master[[#This Row],[Cooperator (Collector) 1 -full record]]="","",Master[[#This Row],[Cooperator (Collector) 1 -full record]])</f>
        <v/>
      </c>
      <c r="D82" s="2"/>
    </row>
    <row r="83" spans="2:4" x14ac:dyDescent="0.25">
      <c r="B83" t="str">
        <f>Master[[#This Row],[Accession Prefix (NPGS)]]&amp;" "&amp;Master[[#This Row],[Accession Number -Assigned]]&amp;" COLLECTED "&amp;TEXT(SourceCollector[[#This Row],[Source Date]], "MM/DD/YYYY")</f>
        <v>W6 59669 COLLECTED 08/10/2020</v>
      </c>
      <c r="C83" s="17" t="str">
        <f>IF(Master[[#This Row],[Cooperator (Collector) 1 -full record]]="","",Master[[#This Row],[Cooperator (Collector) 1 -full record]])</f>
        <v/>
      </c>
      <c r="D83" s="2"/>
    </row>
    <row r="84" spans="2:4" x14ac:dyDescent="0.25">
      <c r="B84" t="str">
        <f>Master[[#This Row],[Accession Prefix (NPGS)]]&amp;" "&amp;Master[[#This Row],[Accession Number -Assigned]]&amp;" COLLECTED "&amp;TEXT(SourceCollector[[#This Row],[Source Date]], "MM/DD/YYYY")</f>
        <v>W6 59670 COLLECTED 08/11/2020</v>
      </c>
      <c r="C84" s="17" t="str">
        <f>IF(Master[[#This Row],[Cooperator (Collector) 1 -full record]]="","",Master[[#This Row],[Cooperator (Collector) 1 -full record]])</f>
        <v/>
      </c>
      <c r="D84" s="2"/>
    </row>
    <row r="85" spans="2:4" x14ac:dyDescent="0.25">
      <c r="B85" t="str">
        <f>Master[[#This Row],[Accession Prefix (NPGS)]]&amp;" "&amp;Master[[#This Row],[Accession Number -Assigned]]&amp;" COLLECTED "&amp;TEXT(SourceCollector[[#This Row],[Source Date]], "MM/DD/YYYY")</f>
        <v>W6 59671 COLLECTED 08/17/2020</v>
      </c>
      <c r="C85" s="17" t="str">
        <f>IF(Master[[#This Row],[Cooperator (Collector) 1 -full record]]="","",Master[[#This Row],[Cooperator (Collector) 1 -full record]])</f>
        <v/>
      </c>
      <c r="D85" s="2"/>
    </row>
    <row r="86" spans="2:4" x14ac:dyDescent="0.25">
      <c r="B86" t="str">
        <f>Master[[#This Row],[Accession Prefix (NPGS)]]&amp;" "&amp;Master[[#This Row],[Accession Number -Assigned]]&amp;" COLLECTED "&amp;TEXT(SourceCollector[[#This Row],[Source Date]], "MM/DD/YYYY")</f>
        <v>W6 59672 COLLECTED 07/16/2020</v>
      </c>
      <c r="C86" s="17" t="str">
        <f>IF(Master[[#This Row],[Cooperator (Collector) 1 -full record]]="","",Master[[#This Row],[Cooperator (Collector) 1 -full record]])</f>
        <v/>
      </c>
      <c r="D86" s="2"/>
    </row>
    <row r="87" spans="2:4" x14ac:dyDescent="0.25">
      <c r="B87" t="str">
        <f>Master[[#This Row],[Accession Prefix (NPGS)]]&amp;" "&amp;Master[[#This Row],[Accession Number -Assigned]]&amp;" COLLECTED "&amp;TEXT(SourceCollector[[#This Row],[Source Date]], "MM/DD/YYYY")</f>
        <v>W6 59673 COLLECTED 07/16/2020</v>
      </c>
      <c r="C87" s="17" t="str">
        <f>IF(Master[[#This Row],[Cooperator (Collector) 1 -full record]]="","",Master[[#This Row],[Cooperator (Collector) 1 -full record]])</f>
        <v/>
      </c>
      <c r="D87" s="2"/>
    </row>
    <row r="88" spans="2:4" x14ac:dyDescent="0.25">
      <c r="B88" t="str">
        <f>Master[[#This Row],[Accession Prefix (NPGS)]]&amp;" "&amp;Master[[#This Row],[Accession Number -Assigned]]&amp;" COLLECTED "&amp;TEXT(SourceCollector[[#This Row],[Source Date]], "MM/DD/YYYY")</f>
        <v>W6 59674 COLLECTED 07/16/2020</v>
      </c>
      <c r="C88" s="17" t="str">
        <f>IF(Master[[#This Row],[Cooperator (Collector) 1 -full record]]="","",Master[[#This Row],[Cooperator (Collector) 1 -full record]])</f>
        <v/>
      </c>
      <c r="D88" s="2"/>
    </row>
    <row r="89" spans="2:4" x14ac:dyDescent="0.25">
      <c r="B89" t="str">
        <f>Master[[#This Row],[Accession Prefix (NPGS)]]&amp;" "&amp;Master[[#This Row],[Accession Number -Assigned]]&amp;" COLLECTED "&amp;TEXT(SourceCollector[[#This Row],[Source Date]], "MM/DD/YYYY")</f>
        <v>W6 59675 COLLECTED 08/26/2020</v>
      </c>
      <c r="C89" s="17" t="str">
        <f>IF(Master[[#This Row],[Cooperator (Collector) 1 -full record]]="","",Master[[#This Row],[Cooperator (Collector) 1 -full record]])</f>
        <v/>
      </c>
      <c r="D89" s="2"/>
    </row>
    <row r="90" spans="2:4" x14ac:dyDescent="0.25">
      <c r="B90" t="str">
        <f>Master[[#This Row],[Accession Prefix (NPGS)]]&amp;" "&amp;Master[[#This Row],[Accession Number -Assigned]]&amp;" COLLECTED "&amp;TEXT(SourceCollector[[#This Row],[Source Date]], "MM/DD/YYYY")</f>
        <v>W6 59676 COLLECTED 08/20/2020</v>
      </c>
      <c r="C90" s="17" t="str">
        <f>IF(Master[[#This Row],[Cooperator (Collector) 1 -full record]]="","",Master[[#This Row],[Cooperator (Collector) 1 -full record]])</f>
        <v/>
      </c>
      <c r="D90" s="2"/>
    </row>
    <row r="91" spans="2:4" x14ac:dyDescent="0.25">
      <c r="B91" t="str">
        <f>Master[[#This Row],[Accession Prefix (NPGS)]]&amp;" "&amp;Master[[#This Row],[Accession Number -Assigned]]&amp;" COLLECTED "&amp;TEXT(SourceCollector[[#This Row],[Source Date]], "MM/DD/YYYY")</f>
        <v>W6 59677 COLLECTED 08/20/2020</v>
      </c>
      <c r="C91" s="17" t="str">
        <f>IF(Master[[#This Row],[Cooperator (Collector) 1 -full record]]="","",Master[[#This Row],[Cooperator (Collector) 1 -full record]])</f>
        <v/>
      </c>
      <c r="D91" s="2"/>
    </row>
    <row r="92" spans="2:4" x14ac:dyDescent="0.25">
      <c r="B92" t="str">
        <f>Master[[#This Row],[Accession Prefix (NPGS)]]&amp;" "&amp;Master[[#This Row],[Accession Number -Assigned]]&amp;" COLLECTED "&amp;TEXT(SourceCollector[[#This Row],[Source Date]], "MM/DD/YYYY")</f>
        <v>W6 59678 COLLECTED 10/01/2020</v>
      </c>
      <c r="C92" s="17" t="str">
        <f>IF(Master[[#This Row],[Cooperator (Collector) 1 -full record]]="","",Master[[#This Row],[Cooperator (Collector) 1 -full record]])</f>
        <v/>
      </c>
      <c r="D92" s="2"/>
    </row>
    <row r="93" spans="2:4" x14ac:dyDescent="0.25">
      <c r="B93" t="str">
        <f>Master[[#This Row],[Accession Prefix (NPGS)]]&amp;" "&amp;Master[[#This Row],[Accession Number -Assigned]]&amp;" COLLECTED "&amp;TEXT(SourceCollector[[#This Row],[Source Date]], "MM/DD/YYYY")</f>
        <v>W6 59679 COLLECTED 09/30/2020</v>
      </c>
      <c r="C93" s="17" t="str">
        <f>IF(Master[[#This Row],[Cooperator (Collector) 1 -full record]]="","",Master[[#This Row],[Cooperator (Collector) 1 -full record]])</f>
        <v/>
      </c>
      <c r="D93" s="2"/>
    </row>
    <row r="94" spans="2:4" x14ac:dyDescent="0.25">
      <c r="B94" t="str">
        <f>Master[[#This Row],[Accession Prefix (NPGS)]]&amp;" "&amp;Master[[#This Row],[Accession Number -Assigned]]&amp;" COLLECTED "&amp;TEXT(SourceCollector[[#This Row],[Source Date]], "MM/DD/YYYY")</f>
        <v>W6 59680 COLLECTED 10/01/2020</v>
      </c>
      <c r="C94" s="17" t="str">
        <f>IF(Master[[#This Row],[Cooperator (Collector) 1 -full record]]="","",Master[[#This Row],[Cooperator (Collector) 1 -full record]])</f>
        <v/>
      </c>
      <c r="D94" s="2"/>
    </row>
    <row r="95" spans="2:4" x14ac:dyDescent="0.25">
      <c r="B95" t="str">
        <f>Master[[#This Row],[Accession Prefix (NPGS)]]&amp;" "&amp;Master[[#This Row],[Accession Number -Assigned]]&amp;" COLLECTED "&amp;TEXT(SourceCollector[[#This Row],[Source Date]], "MM/DD/YYYY")</f>
        <v>W6 59681 COLLECTED 08/15/2020</v>
      </c>
      <c r="C95" s="17" t="str">
        <f>IF(Master[[#This Row],[Cooperator (Collector) 1 -full record]]="","",Master[[#This Row],[Cooperator (Collector) 1 -full record]])</f>
        <v/>
      </c>
      <c r="D95" s="2"/>
    </row>
    <row r="96" spans="2:4" x14ac:dyDescent="0.25">
      <c r="B96" t="str">
        <f>Master[[#This Row],[Accession Prefix (NPGS)]]&amp;" "&amp;Master[[#This Row],[Accession Number -Assigned]]&amp;" COLLECTED "&amp;TEXT(SourceCollector[[#This Row],[Source Date]], "MM/DD/YYYY")</f>
        <v>W6 59682 COLLECTED 09/30/2020</v>
      </c>
      <c r="C96" s="17" t="str">
        <f>IF(Master[[#This Row],[Cooperator (Collector) 1 -full record]]="","",Master[[#This Row],[Cooperator (Collector) 1 -full record]])</f>
        <v/>
      </c>
      <c r="D96" s="2"/>
    </row>
    <row r="97" spans="2:3" x14ac:dyDescent="0.25">
      <c r="B97" t="str">
        <f>Master[[#This Row],[Accession Prefix (NPGS)]]&amp;" "&amp;Master[[#This Row],[Accession Number -Assigned]]&amp;" COLLECTED "&amp;TEXT(SourceCollector[[#This Row],[Source Date]], "MM/DD/YYYY")</f>
        <v>W6 59683 COLLECTED 07/08/2020</v>
      </c>
      <c r="C97" s="17" t="str">
        <f>IF(Master[[#This Row],[Cooperator (Collector) 1 -full record]]="","",Master[[#This Row],[Cooperator (Collector) 1 -full record]])</f>
        <v/>
      </c>
    </row>
    <row r="98" spans="2:3" x14ac:dyDescent="0.25">
      <c r="B98" t="str">
        <f>Master[[#This Row],[Accession Prefix (NPGS)]]&amp;" "&amp;Master[[#This Row],[Accession Number -Assigned]]&amp;" COLLECTED "&amp;TEXT(SourceCollector[[#This Row],[Source Date]], "MM/DD/YYYY")</f>
        <v>W6 59684 COLLECTED 06/15/2020</v>
      </c>
      <c r="C98" s="17" t="str">
        <f>IF(Master[[#This Row],[Cooperator (Collector) 1 -full record]]="","",Master[[#This Row],[Cooperator (Collector) 1 -full record]])</f>
        <v/>
      </c>
    </row>
    <row r="99" spans="2:3" x14ac:dyDescent="0.25">
      <c r="B99" t="str">
        <f>Master[[#This Row],[Accession Prefix (NPGS)]]&amp;" "&amp;Master[[#This Row],[Accession Number -Assigned]]&amp;" COLLECTED "&amp;TEXT(SourceCollector[[#This Row],[Source Date]], "MM/DD/YYYY")</f>
        <v>W6 59685 COLLECTED 06/16/2020</v>
      </c>
      <c r="C99" s="17" t="str">
        <f>IF(Master[[#This Row],[Cooperator (Collector) 1 -full record]]="","",Master[[#This Row],[Cooperator (Collector) 1 -full record]])</f>
        <v/>
      </c>
    </row>
    <row r="100" spans="2:3" x14ac:dyDescent="0.25">
      <c r="B100" t="str">
        <f>Master[[#This Row],[Accession Prefix (NPGS)]]&amp;" "&amp;Master[[#This Row],[Accession Number -Assigned]]&amp;" COLLECTED "&amp;TEXT(SourceCollector[[#This Row],[Source Date]], "MM/DD/YYYY")</f>
        <v>W6 59686 COLLECTED 06/17/2020</v>
      </c>
      <c r="C100" s="17" t="str">
        <f>IF(Master[[#This Row],[Cooperator (Collector) 1 -full record]]="","",Master[[#This Row],[Cooperator (Collector) 1 -full record]])</f>
        <v/>
      </c>
    </row>
    <row r="101" spans="2:3" x14ac:dyDescent="0.25">
      <c r="B101" t="str">
        <f>Master[[#This Row],[Accession Prefix (NPGS)]]&amp;" "&amp;Master[[#This Row],[Accession Number -Assigned]]&amp;" COLLECTED "&amp;TEXT(SourceCollector[[#This Row],[Source Date]], "MM/DD/YYYY")</f>
        <v>W6 59687 COLLECTED 06/23/2020</v>
      </c>
      <c r="C101" s="17" t="str">
        <f>IF(Master[[#This Row],[Cooperator (Collector) 1 -full record]]="","",Master[[#This Row],[Cooperator (Collector) 1 -full record]])</f>
        <v/>
      </c>
    </row>
    <row r="102" spans="2:3" x14ac:dyDescent="0.25">
      <c r="B102" t="str">
        <f>Master[[#This Row],[Accession Prefix (NPGS)]]&amp;" "&amp;Master[[#This Row],[Accession Number -Assigned]]&amp;" COLLECTED "&amp;TEXT(SourceCollector[[#This Row],[Source Date]], "MM/DD/YYYY")</f>
        <v>W6 59688 COLLECTED 06/25/2020</v>
      </c>
      <c r="C102" s="17" t="str">
        <f>IF(Master[[#This Row],[Cooperator (Collector) 1 -full record]]="","",Master[[#This Row],[Cooperator (Collector) 1 -full record]])</f>
        <v/>
      </c>
    </row>
    <row r="103" spans="2:3" x14ac:dyDescent="0.25">
      <c r="B103" t="str">
        <f>Master[[#This Row],[Accession Prefix (NPGS)]]&amp;" "&amp;Master[[#This Row],[Accession Number -Assigned]]&amp;" COLLECTED "&amp;TEXT(SourceCollector[[#This Row],[Source Date]], "MM/DD/YYYY")</f>
        <v>W6 59689 COLLECTED 06/30/2020</v>
      </c>
      <c r="C103" s="17" t="str">
        <f>IF(Master[[#This Row],[Cooperator (Collector) 1 -full record]]="","",Master[[#This Row],[Cooperator (Collector) 1 -full record]])</f>
        <v/>
      </c>
    </row>
    <row r="104" spans="2:3" x14ac:dyDescent="0.25">
      <c r="B104" t="str">
        <f>Master[[#This Row],[Accession Prefix (NPGS)]]&amp;" "&amp;Master[[#This Row],[Accession Number -Assigned]]&amp;" COLLECTED "&amp;TEXT(SourceCollector[[#This Row],[Source Date]], "MM/DD/YYYY")</f>
        <v>W6 59690 COLLECTED 06/30/2020</v>
      </c>
      <c r="C104" s="17" t="str">
        <f>IF(Master[[#This Row],[Cooperator (Collector) 1 -full record]]="","",Master[[#This Row],[Cooperator (Collector) 1 -full record]])</f>
        <v/>
      </c>
    </row>
    <row r="105" spans="2:3" x14ac:dyDescent="0.25">
      <c r="B105" t="str">
        <f>Master[[#This Row],[Accession Prefix (NPGS)]]&amp;" "&amp;Master[[#This Row],[Accession Number -Assigned]]&amp;" COLLECTED "&amp;TEXT(SourceCollector[[#This Row],[Source Date]], "MM/DD/YYYY")</f>
        <v>W6 59691 COLLECTED 07/07/2020</v>
      </c>
      <c r="C105" s="17" t="str">
        <f>IF(Master[[#This Row],[Cooperator (Collector) 1 -full record]]="","",Master[[#This Row],[Cooperator (Collector) 1 -full record]])</f>
        <v/>
      </c>
    </row>
    <row r="106" spans="2:3" x14ac:dyDescent="0.25">
      <c r="B106" t="str">
        <f>Master[[#This Row],[Accession Prefix (NPGS)]]&amp;" "&amp;Master[[#This Row],[Accession Number -Assigned]]&amp;" COLLECTED "&amp;TEXT(SourceCollector[[#This Row],[Source Date]], "MM/DD/YYYY")</f>
        <v>W6 59692 COLLECTED 07/08/2020</v>
      </c>
      <c r="C106" s="17" t="str">
        <f>IF(Master[[#This Row],[Cooperator (Collector) 1 -full record]]="","",Master[[#This Row],[Cooperator (Collector) 1 -full record]])</f>
        <v/>
      </c>
    </row>
    <row r="107" spans="2:3" x14ac:dyDescent="0.25">
      <c r="B107" t="str">
        <f>Master[[#This Row],[Accession Prefix (NPGS)]]&amp;" "&amp;Master[[#This Row],[Accession Number -Assigned]]&amp;" COLLECTED "&amp;TEXT(SourceCollector[[#This Row],[Source Date]], "MM/DD/YYYY")</f>
        <v>W6 59693 COLLECTED 07/09/2020</v>
      </c>
      <c r="C107" s="17" t="str">
        <f>IF(Master[[#This Row],[Cooperator (Collector) 1 -full record]]="","",Master[[#This Row],[Cooperator (Collector) 1 -full record]])</f>
        <v/>
      </c>
    </row>
    <row r="108" spans="2:3" x14ac:dyDescent="0.25">
      <c r="B108" t="str">
        <f>Master[[#This Row],[Accession Prefix (NPGS)]]&amp;" "&amp;Master[[#This Row],[Accession Number -Assigned]]&amp;" COLLECTED "&amp;TEXT(SourceCollector[[#This Row],[Source Date]], "MM/DD/YYYY")</f>
        <v>W6 59694 COLLECTED 07/13/2020</v>
      </c>
      <c r="C108" s="17" t="str">
        <f>IF(Master[[#This Row],[Cooperator (Collector) 1 -full record]]="","",Master[[#This Row],[Cooperator (Collector) 1 -full record]])</f>
        <v/>
      </c>
    </row>
    <row r="109" spans="2:3" x14ac:dyDescent="0.25">
      <c r="B109" t="str">
        <f>Master[[#This Row],[Accession Prefix (NPGS)]]&amp;" "&amp;Master[[#This Row],[Accession Number -Assigned]]&amp;" COLLECTED "&amp;TEXT(SourceCollector[[#This Row],[Source Date]], "MM/DD/YYYY")</f>
        <v>W6 59695 COLLECTED 07/14/2020</v>
      </c>
      <c r="C109" s="17" t="str">
        <f>IF(Master[[#This Row],[Cooperator (Collector) 1 -full record]]="","",Master[[#This Row],[Cooperator (Collector) 1 -full record]])</f>
        <v/>
      </c>
    </row>
    <row r="110" spans="2:3" x14ac:dyDescent="0.25">
      <c r="B110" t="str">
        <f>Master[[#This Row],[Accession Prefix (NPGS)]]&amp;" "&amp;Master[[#This Row],[Accession Number -Assigned]]&amp;" COLLECTED "&amp;TEXT(SourceCollector[[#This Row],[Source Date]], "MM/DD/YYYY")</f>
        <v>W6 59696 COLLECTED 07/15/2020</v>
      </c>
      <c r="C110" s="17" t="str">
        <f>IF(Master[[#This Row],[Cooperator (Collector) 1 -full record]]="","",Master[[#This Row],[Cooperator (Collector) 1 -full record]])</f>
        <v/>
      </c>
    </row>
    <row r="111" spans="2:3" x14ac:dyDescent="0.25">
      <c r="B111" t="str">
        <f>Master[[#This Row],[Accession Prefix (NPGS)]]&amp;" "&amp;Master[[#This Row],[Accession Number -Assigned]]&amp;" COLLECTED "&amp;TEXT(SourceCollector[[#This Row],[Source Date]], "MM/DD/YYYY")</f>
        <v>W6 59697 COLLECTED 07/15/2020</v>
      </c>
      <c r="C111" s="17" t="str">
        <f>IF(Master[[#This Row],[Cooperator (Collector) 1 -full record]]="","",Master[[#This Row],[Cooperator (Collector) 1 -full record]])</f>
        <v/>
      </c>
    </row>
    <row r="112" spans="2:3" x14ac:dyDescent="0.25">
      <c r="B112" t="str">
        <f>Master[[#This Row],[Accession Prefix (NPGS)]]&amp;" "&amp;Master[[#This Row],[Accession Number -Assigned]]&amp;" COLLECTED "&amp;TEXT(SourceCollector[[#This Row],[Source Date]], "MM/DD/YYYY")</f>
        <v>W6 59698 COLLECTED 07/16/2020</v>
      </c>
      <c r="C112" s="17" t="str">
        <f>IF(Master[[#This Row],[Cooperator (Collector) 1 -full record]]="","",Master[[#This Row],[Cooperator (Collector) 1 -full record]])</f>
        <v/>
      </c>
    </row>
    <row r="113" spans="2:3" x14ac:dyDescent="0.25">
      <c r="B113" t="str">
        <f>Master[[#This Row],[Accession Prefix (NPGS)]]&amp;" "&amp;Master[[#This Row],[Accession Number -Assigned]]&amp;" COLLECTED "&amp;TEXT(SourceCollector[[#This Row],[Source Date]], "MM/DD/YYYY")</f>
        <v>W6 59699 COLLECTED 07/27/2020</v>
      </c>
      <c r="C113" s="17" t="str">
        <f>IF(Master[[#This Row],[Cooperator (Collector) 1 -full record]]="","",Master[[#This Row],[Cooperator (Collector) 1 -full record]])</f>
        <v/>
      </c>
    </row>
    <row r="114" spans="2:3" x14ac:dyDescent="0.25">
      <c r="B114" t="str">
        <f>Master[[#This Row],[Accession Prefix (NPGS)]]&amp;" "&amp;Master[[#This Row],[Accession Number -Assigned]]&amp;" COLLECTED "&amp;TEXT(SourceCollector[[#This Row],[Source Date]], "MM/DD/YYYY")</f>
        <v>W6 59700 COLLECTED 08/03/2020</v>
      </c>
      <c r="C114" s="17" t="str">
        <f>IF(Master[[#This Row],[Cooperator (Collector) 1 -full record]]="","",Master[[#This Row],[Cooperator (Collector) 1 -full record]])</f>
        <v/>
      </c>
    </row>
    <row r="115" spans="2:3" x14ac:dyDescent="0.25">
      <c r="B115" t="str">
        <f>Master[[#This Row],[Accession Prefix (NPGS)]]&amp;" "&amp;Master[[#This Row],[Accession Number -Assigned]]&amp;" COLLECTED "&amp;TEXT(SourceCollector[[#This Row],[Source Date]], "MM/DD/YYYY")</f>
        <v>W6 59701 COLLECTED 08/05/2020</v>
      </c>
      <c r="C115" s="17" t="str">
        <f>IF(Master[[#This Row],[Cooperator (Collector) 1 -full record]]="","",Master[[#This Row],[Cooperator (Collector) 1 -full record]])</f>
        <v/>
      </c>
    </row>
    <row r="116" spans="2:3" x14ac:dyDescent="0.25">
      <c r="B116" t="str">
        <f>Master[[#This Row],[Accession Prefix (NPGS)]]&amp;" "&amp;Master[[#This Row],[Accession Number -Assigned]]&amp;" COLLECTED "&amp;TEXT(SourceCollector[[#This Row],[Source Date]], "MM/DD/YYYY")</f>
        <v>W6 59702 COLLECTED 08/05/2020</v>
      </c>
      <c r="C116" s="17" t="str">
        <f>IF(Master[[#This Row],[Cooperator (Collector) 1 -full record]]="","",Master[[#This Row],[Cooperator (Collector) 1 -full record]])</f>
        <v/>
      </c>
    </row>
    <row r="117" spans="2:3" x14ac:dyDescent="0.25">
      <c r="B117" t="str">
        <f>Master[[#This Row],[Accession Prefix (NPGS)]]&amp;" "&amp;Master[[#This Row],[Accession Number -Assigned]]&amp;" COLLECTED "&amp;TEXT(SourceCollector[[#This Row],[Source Date]], "MM/DD/YYYY")</f>
        <v>W6 59703 COLLECTED 08/06/2020</v>
      </c>
      <c r="C117" s="17" t="str">
        <f>IF(Master[[#This Row],[Cooperator (Collector) 1 -full record]]="","",Master[[#This Row],[Cooperator (Collector) 1 -full record]])</f>
        <v/>
      </c>
    </row>
    <row r="118" spans="2:3" x14ac:dyDescent="0.25">
      <c r="B118" t="str">
        <f>Master[[#This Row],[Accession Prefix (NPGS)]]&amp;" "&amp;Master[[#This Row],[Accession Number -Assigned]]&amp;" COLLECTED "&amp;TEXT(SourceCollector[[#This Row],[Source Date]], "MM/DD/YYYY")</f>
        <v>W6 59704 COLLECTED 08/10/2020</v>
      </c>
      <c r="C118" s="17" t="str">
        <f>IF(Master[[#This Row],[Cooperator (Collector) 1 -full record]]="","",Master[[#This Row],[Cooperator (Collector) 1 -full record]])</f>
        <v/>
      </c>
    </row>
    <row r="119" spans="2:3" x14ac:dyDescent="0.25">
      <c r="B119" t="str">
        <f>Master[[#This Row],[Accession Prefix (NPGS)]]&amp;" "&amp;Master[[#This Row],[Accession Number -Assigned]]&amp;" COLLECTED "&amp;TEXT(SourceCollector[[#This Row],[Source Date]], "MM/DD/YYYY")</f>
        <v>W6 59705 COLLECTED 08/13/2020</v>
      </c>
      <c r="C119" s="17" t="str">
        <f>IF(Master[[#This Row],[Cooperator (Collector) 1 -full record]]="","",Master[[#This Row],[Cooperator (Collector) 1 -full record]])</f>
        <v/>
      </c>
    </row>
    <row r="120" spans="2:3" x14ac:dyDescent="0.25">
      <c r="B120" t="str">
        <f>Master[[#This Row],[Accession Prefix (NPGS)]]&amp;" "&amp;Master[[#This Row],[Accession Number -Assigned]]&amp;" COLLECTED "&amp;TEXT(SourceCollector[[#This Row],[Source Date]], "MM/DD/YYYY")</f>
        <v>W6 59706 COLLECTED 08/17/2020</v>
      </c>
      <c r="C120" s="17" t="str">
        <f>IF(Master[[#This Row],[Cooperator (Collector) 1 -full record]]="","",Master[[#This Row],[Cooperator (Collector) 1 -full record]])</f>
        <v/>
      </c>
    </row>
    <row r="121" spans="2:3" x14ac:dyDescent="0.25">
      <c r="B121" t="str">
        <f>Master[[#This Row],[Accession Prefix (NPGS)]]&amp;" "&amp;Master[[#This Row],[Accession Number -Assigned]]&amp;" COLLECTED "&amp;TEXT(SourceCollector[[#This Row],[Source Date]], "MM/DD/YYYY")</f>
        <v>W6 59707 COLLECTED 08/17/2020</v>
      </c>
      <c r="C121" s="17" t="str">
        <f>IF(Master[[#This Row],[Cooperator (Collector) 1 -full record]]="","",Master[[#This Row],[Cooperator (Collector) 1 -full record]])</f>
        <v/>
      </c>
    </row>
    <row r="122" spans="2:3" x14ac:dyDescent="0.25">
      <c r="B122" t="str">
        <f>Master[[#This Row],[Accession Prefix (NPGS)]]&amp;" "&amp;Master[[#This Row],[Accession Number -Assigned]]&amp;" COLLECTED "&amp;TEXT(SourceCollector[[#This Row],[Source Date]], "MM/DD/YYYY")</f>
        <v>W6 59708 COLLECTED 08/18/2020</v>
      </c>
      <c r="C122" s="17" t="str">
        <f>IF(Master[[#This Row],[Cooperator (Collector) 1 -full record]]="","",Master[[#This Row],[Cooperator (Collector) 1 -full record]])</f>
        <v/>
      </c>
    </row>
    <row r="123" spans="2:3" x14ac:dyDescent="0.25">
      <c r="B123" t="str">
        <f>Master[[#This Row],[Accession Prefix (NPGS)]]&amp;" "&amp;Master[[#This Row],[Accession Number -Assigned]]&amp;" COLLECTED "&amp;TEXT(SourceCollector[[#This Row],[Source Date]], "MM/DD/YYYY")</f>
        <v>W6 59709 COLLECTED 08/19/2020</v>
      </c>
      <c r="C123" s="17" t="str">
        <f>IF(Master[[#This Row],[Cooperator (Collector) 1 -full record]]="","",Master[[#This Row],[Cooperator (Collector) 1 -full record]])</f>
        <v/>
      </c>
    </row>
    <row r="124" spans="2:3" x14ac:dyDescent="0.25">
      <c r="B124" t="str">
        <f>Master[[#This Row],[Accession Prefix (NPGS)]]&amp;" "&amp;Master[[#This Row],[Accession Number -Assigned]]&amp;" COLLECTED "&amp;TEXT(SourceCollector[[#This Row],[Source Date]], "MM/DD/YYYY")</f>
        <v>W6 59710 COLLECTED 08/24/2020</v>
      </c>
      <c r="C124" s="17" t="str">
        <f>IF(Master[[#This Row],[Cooperator (Collector) 1 -full record]]="","",Master[[#This Row],[Cooperator (Collector) 1 -full record]])</f>
        <v/>
      </c>
    </row>
    <row r="125" spans="2:3" x14ac:dyDescent="0.25">
      <c r="B125" t="str">
        <f>Master[[#This Row],[Accession Prefix (NPGS)]]&amp;" "&amp;Master[[#This Row],[Accession Number -Assigned]]&amp;" COLLECTED "&amp;TEXT(SourceCollector[[#This Row],[Source Date]], "MM/DD/YYYY")</f>
        <v>W6 59711 COLLECTED 08/27/2020</v>
      </c>
      <c r="C125" s="17" t="str">
        <f>IF(Master[[#This Row],[Cooperator (Collector) 1 -full record]]="","",Master[[#This Row],[Cooperator (Collector) 1 -full record]])</f>
        <v/>
      </c>
    </row>
    <row r="126" spans="2:3" x14ac:dyDescent="0.25">
      <c r="B126" t="str">
        <f>Master[[#This Row],[Accession Prefix (NPGS)]]&amp;" "&amp;Master[[#This Row],[Accession Number -Assigned]]&amp;" COLLECTED "&amp;TEXT(SourceCollector[[#This Row],[Source Date]], "MM/DD/YYYY")</f>
        <v>W6 59712 COLLECTED 09/01/2020</v>
      </c>
      <c r="C126" s="17" t="str">
        <f>IF(Master[[#This Row],[Cooperator (Collector) 1 -full record]]="","",Master[[#This Row],[Cooperator (Collector) 1 -full record]])</f>
        <v/>
      </c>
    </row>
    <row r="127" spans="2:3" x14ac:dyDescent="0.25">
      <c r="B127" t="str">
        <f>Master[[#This Row],[Accession Prefix (NPGS)]]&amp;" "&amp;Master[[#This Row],[Accession Number -Assigned]]&amp;" COLLECTED "&amp;TEXT(SourceCollector[[#This Row],[Source Date]], "MM/DD/YYYY")</f>
        <v>W6 59713 COLLECTED 08/03/2020</v>
      </c>
      <c r="C127" s="17" t="str">
        <f>IF(Master[[#This Row],[Cooperator (Collector) 1 -full record]]="","",Master[[#This Row],[Cooperator (Collector) 1 -full record]])</f>
        <v/>
      </c>
    </row>
    <row r="128" spans="2:3" x14ac:dyDescent="0.25">
      <c r="B128" t="str">
        <f>Master[[#This Row],[Accession Prefix (NPGS)]]&amp;" "&amp;Master[[#This Row],[Accession Number -Assigned]]&amp;" COLLECTED "&amp;TEXT(SourceCollector[[#This Row],[Source Date]], "MM/DD/YYYY")</f>
        <v>W6 59714 COLLECTED 08/05/2020</v>
      </c>
      <c r="C128" s="17" t="str">
        <f>IF(Master[[#This Row],[Cooperator (Collector) 1 -full record]]="","",Master[[#This Row],[Cooperator (Collector) 1 -full record]])</f>
        <v/>
      </c>
    </row>
    <row r="129" spans="2:3" x14ac:dyDescent="0.25">
      <c r="B129" t="str">
        <f>Master[[#This Row],[Accession Prefix (NPGS)]]&amp;" "&amp;Master[[#This Row],[Accession Number -Assigned]]&amp;" COLLECTED "&amp;TEXT(SourceCollector[[#This Row],[Source Date]], "MM/DD/YYYY")</f>
        <v>W6 59715 COLLECTED 08/12/2020</v>
      </c>
      <c r="C129" s="17" t="str">
        <f>IF(Master[[#This Row],[Cooperator (Collector) 1 -full record]]="","",Master[[#This Row],[Cooperator (Collector) 1 -full record]])</f>
        <v/>
      </c>
    </row>
    <row r="130" spans="2:3" x14ac:dyDescent="0.25">
      <c r="B130" t="str">
        <f>Master[[#This Row],[Accession Prefix (NPGS)]]&amp;" "&amp;Master[[#This Row],[Accession Number -Assigned]]&amp;" COLLECTED "&amp;TEXT(SourceCollector[[#This Row],[Source Date]], "MM/DD/YYYY")</f>
        <v>W6 59716 COLLECTED 08/17/2020</v>
      </c>
      <c r="C130" s="17" t="str">
        <f>IF(Master[[#This Row],[Cooperator (Collector) 1 -full record]]="","",Master[[#This Row],[Cooperator (Collector) 1 -full record]])</f>
        <v/>
      </c>
    </row>
    <row r="131" spans="2:3" x14ac:dyDescent="0.25">
      <c r="B131" t="str">
        <f>Master[[#This Row],[Accession Prefix (NPGS)]]&amp;" "&amp;Master[[#This Row],[Accession Number -Assigned]]&amp;" COLLECTED "&amp;TEXT(SourceCollector[[#This Row],[Source Date]], "MM/DD/YYYY")</f>
        <v>W6 59717 COLLECTED 08/19/2020</v>
      </c>
      <c r="C131" s="17" t="str">
        <f>IF(Master[[#This Row],[Cooperator (Collector) 1 -full record]]="","",Master[[#This Row],[Cooperator (Collector) 1 -full record]])</f>
        <v/>
      </c>
    </row>
    <row r="132" spans="2:3" x14ac:dyDescent="0.25">
      <c r="B132" t="str">
        <f>Master[[#This Row],[Accession Prefix (NPGS)]]&amp;" "&amp;Master[[#This Row],[Accession Number -Assigned]]&amp;" COLLECTED "&amp;TEXT(SourceCollector[[#This Row],[Source Date]], "MM/DD/YYYY")</f>
        <v>W6 59718 COLLECTED 08/19/2020</v>
      </c>
      <c r="C132" s="17" t="str">
        <f>IF(Master[[#This Row],[Cooperator (Collector) 1 -full record]]="","",Master[[#This Row],[Cooperator (Collector) 1 -full record]])</f>
        <v/>
      </c>
    </row>
    <row r="133" spans="2:3" x14ac:dyDescent="0.25">
      <c r="B133" t="str">
        <f>Master[[#This Row],[Accession Prefix (NPGS)]]&amp;" "&amp;Master[[#This Row],[Accession Number -Assigned]]&amp;" COLLECTED "&amp;TEXT(SourceCollector[[#This Row],[Source Date]], "MM/DD/YYYY")</f>
        <v>W6 59719 COLLECTED 08/26/2020</v>
      </c>
      <c r="C133" s="17" t="str">
        <f>IF(Master[[#This Row],[Cooperator (Collector) 1 -full record]]="","",Master[[#This Row],[Cooperator (Collector) 1 -full record]])</f>
        <v/>
      </c>
    </row>
    <row r="134" spans="2:3" x14ac:dyDescent="0.25">
      <c r="B134" t="str">
        <f>Master[[#This Row],[Accession Prefix (NPGS)]]&amp;" "&amp;Master[[#This Row],[Accession Number -Assigned]]&amp;" COLLECTED "&amp;TEXT(SourceCollector[[#This Row],[Source Date]], "MM/DD/YYYY")</f>
        <v>W6 59720 COLLECTED 08/26/2020</v>
      </c>
      <c r="C134" s="17" t="str">
        <f>IF(Master[[#This Row],[Cooperator (Collector) 1 -full record]]="","",Master[[#This Row],[Cooperator (Collector) 1 -full record]])</f>
        <v/>
      </c>
    </row>
    <row r="135" spans="2:3" x14ac:dyDescent="0.25">
      <c r="B135" t="str">
        <f>Master[[#This Row],[Accession Prefix (NPGS)]]&amp;" "&amp;Master[[#This Row],[Accession Number -Assigned]]&amp;" COLLECTED "&amp;TEXT(SourceCollector[[#This Row],[Source Date]], "MM/DD/YYYY")</f>
        <v>W6 59721 COLLECTED 08/27/2020</v>
      </c>
      <c r="C135" s="17" t="str">
        <f>IF(Master[[#This Row],[Cooperator (Collector) 1 -full record]]="","",Master[[#This Row],[Cooperator (Collector) 1 -full record]])</f>
        <v/>
      </c>
    </row>
    <row r="136" spans="2:3" x14ac:dyDescent="0.25">
      <c r="B136" t="str">
        <f>Master[[#This Row],[Accession Prefix (NPGS)]]&amp;" "&amp;Master[[#This Row],[Accession Number -Assigned]]&amp;" COLLECTED "&amp;TEXT(SourceCollector[[#This Row],[Source Date]], "MM/DD/YYYY")</f>
        <v>W6 59722 COLLECTED 09/09/2020</v>
      </c>
      <c r="C136" s="17" t="str">
        <f>IF(Master[[#This Row],[Cooperator (Collector) 1 -full record]]="","",Master[[#This Row],[Cooperator (Collector) 1 -full record]])</f>
        <v/>
      </c>
    </row>
    <row r="137" spans="2:3" x14ac:dyDescent="0.25">
      <c r="B137" t="str">
        <f>Master[[#This Row],[Accession Prefix (NPGS)]]&amp;" "&amp;Master[[#This Row],[Accession Number -Assigned]]&amp;" COLLECTED "&amp;TEXT(SourceCollector[[#This Row],[Source Date]], "MM/DD/YYYY")</f>
        <v>W6 59723 COLLECTED 09/10/2020</v>
      </c>
      <c r="C137" s="17" t="str">
        <f>IF(Master[[#This Row],[Cooperator (Collector) 1 -full record]]="","",Master[[#This Row],[Cooperator (Collector) 1 -full record]])</f>
        <v/>
      </c>
    </row>
    <row r="138" spans="2:3" x14ac:dyDescent="0.25">
      <c r="B138" t="str">
        <f>Master[[#This Row],[Accession Prefix (NPGS)]]&amp;" "&amp;Master[[#This Row],[Accession Number -Assigned]]&amp;" COLLECTED "&amp;TEXT(SourceCollector[[#This Row],[Source Date]], "MM/DD/YYYY")</f>
        <v>W6 59724 COLLECTED 09/10/2020</v>
      </c>
      <c r="C138" s="17" t="str">
        <f>IF(Master[[#This Row],[Cooperator (Collector) 1 -full record]]="","",Master[[#This Row],[Cooperator (Collector) 1 -full record]])</f>
        <v/>
      </c>
    </row>
    <row r="139" spans="2:3" x14ac:dyDescent="0.25">
      <c r="B139" t="str">
        <f>Master[[#This Row],[Accession Prefix (NPGS)]]&amp;" "&amp;Master[[#This Row],[Accession Number -Assigned]]&amp;" COLLECTED "&amp;TEXT(SourceCollector[[#This Row],[Source Date]], "MM/DD/YYYY")</f>
        <v>W6 59725 COLLECTED 09/15/2020</v>
      </c>
      <c r="C139" s="17" t="str">
        <f>IF(Master[[#This Row],[Cooperator (Collector) 1 -full record]]="","",Master[[#This Row],[Cooperator (Collector) 1 -full record]])</f>
        <v/>
      </c>
    </row>
    <row r="140" spans="2:3" x14ac:dyDescent="0.25">
      <c r="B140" t="str">
        <f>Master[[#This Row],[Accession Prefix (NPGS)]]&amp;" "&amp;Master[[#This Row],[Accession Number -Assigned]]&amp;" COLLECTED "&amp;TEXT(SourceCollector[[#This Row],[Source Date]], "MM/DD/YYYY")</f>
        <v>W6 59726 COLLECTED 09/17/2020</v>
      </c>
      <c r="C140" s="17" t="str">
        <f>IF(Master[[#This Row],[Cooperator (Collector) 1 -full record]]="","",Master[[#This Row],[Cooperator (Collector) 1 -full record]])</f>
        <v/>
      </c>
    </row>
    <row r="141" spans="2:3" x14ac:dyDescent="0.25">
      <c r="B141" t="str">
        <f>Master[[#This Row],[Accession Prefix (NPGS)]]&amp;" "&amp;Master[[#This Row],[Accession Number -Assigned]]&amp;" COLLECTED "&amp;TEXT(SourceCollector[[#This Row],[Source Date]], "MM/DD/YYYY")</f>
        <v>W6 59727 COLLECTED 09/17/2020</v>
      </c>
      <c r="C141" s="17" t="str">
        <f>IF(Master[[#This Row],[Cooperator (Collector) 1 -full record]]="","",Master[[#This Row],[Cooperator (Collector) 1 -full record]])</f>
        <v/>
      </c>
    </row>
    <row r="142" spans="2:3" x14ac:dyDescent="0.25">
      <c r="B142" t="str">
        <f>Master[[#This Row],[Accession Prefix (NPGS)]]&amp;" "&amp;Master[[#This Row],[Accession Number -Assigned]]&amp;" COLLECTED "&amp;TEXT(SourceCollector[[#This Row],[Source Date]], "MM/DD/YYYY")</f>
        <v>W6 59728 COLLECTED 09/21/2020</v>
      </c>
      <c r="C142" s="17" t="str">
        <f>IF(Master[[#This Row],[Cooperator (Collector) 1 -full record]]="","",Master[[#This Row],[Cooperator (Collector) 1 -full record]])</f>
        <v/>
      </c>
    </row>
    <row r="143" spans="2:3" x14ac:dyDescent="0.25">
      <c r="B143" t="str">
        <f>Master[[#This Row],[Accession Prefix (NPGS)]]&amp;" "&amp;Master[[#This Row],[Accession Number -Assigned]]&amp;" COLLECTED "&amp;TEXT(SourceCollector[[#This Row],[Source Date]], "MM/DD/YYYY")</f>
        <v>W6 59729 COLLECTED 09/23/2020</v>
      </c>
      <c r="C143" s="17" t="str">
        <f>IF(Master[[#This Row],[Cooperator (Collector) 1 -full record]]="","",Master[[#This Row],[Cooperator (Collector) 1 -full record]])</f>
        <v/>
      </c>
    </row>
    <row r="144" spans="2:3" x14ac:dyDescent="0.25">
      <c r="B144" t="str">
        <f>Master[[#This Row],[Accession Prefix (NPGS)]]&amp;" "&amp;Master[[#This Row],[Accession Number -Assigned]]&amp;" COLLECTED "&amp;TEXT(SourceCollector[[#This Row],[Source Date]], "MM/DD/YYYY")</f>
        <v>W6 59730 COLLECTED 09/24/2020</v>
      </c>
      <c r="C144" s="17" t="str">
        <f>IF(Master[[#This Row],[Cooperator (Collector) 1 -full record]]="","",Master[[#This Row],[Cooperator (Collector) 1 -full record]])</f>
        <v/>
      </c>
    </row>
    <row r="145" spans="2:3" x14ac:dyDescent="0.25">
      <c r="B145" t="str">
        <f>Master[[#This Row],[Accession Prefix (NPGS)]]&amp;" "&amp;Master[[#This Row],[Accession Number -Assigned]]&amp;" COLLECTED "&amp;TEXT(SourceCollector[[#This Row],[Source Date]], "MM/DD/YYYY")</f>
        <v>W6 59731 COLLECTED 10/01/2020</v>
      </c>
      <c r="C145" s="17" t="str">
        <f>IF(Master[[#This Row],[Cooperator (Collector) 1 -full record]]="","",Master[[#This Row],[Cooperator (Collector) 1 -full record]])</f>
        <v/>
      </c>
    </row>
    <row r="146" spans="2:3" x14ac:dyDescent="0.25">
      <c r="B146" t="str">
        <f>Master[[#This Row],[Accession Prefix (NPGS)]]&amp;" "&amp;Master[[#This Row],[Accession Number -Assigned]]&amp;" COLLECTED "&amp;TEXT(SourceCollector[[#This Row],[Source Date]], "MM/DD/YYYY")</f>
        <v>W6 59732 COLLECTED 10/02/2020</v>
      </c>
      <c r="C146" s="17" t="str">
        <f>IF(Master[[#This Row],[Cooperator (Collector) 1 -full record]]="","",Master[[#This Row],[Cooperator (Collector) 1 -full record]])</f>
        <v/>
      </c>
    </row>
    <row r="147" spans="2:3" x14ac:dyDescent="0.25">
      <c r="B147" t="str">
        <f>Master[[#This Row],[Accession Prefix (NPGS)]]&amp;" "&amp;Master[[#This Row],[Accession Number -Assigned]]&amp;" COLLECTED "&amp;TEXT(SourceCollector[[#This Row],[Source Date]], "MM/DD/YYYY")</f>
        <v>W6 59733 COLLECTED 10/05/2020</v>
      </c>
      <c r="C147" s="17" t="str">
        <f>IF(Master[[#This Row],[Cooperator (Collector) 1 -full record]]="","",Master[[#This Row],[Cooperator (Collector) 1 -full record]])</f>
        <v/>
      </c>
    </row>
    <row r="148" spans="2:3" x14ac:dyDescent="0.25">
      <c r="B148" t="str">
        <f>Master[[#This Row],[Accession Prefix (NPGS)]]&amp;" "&amp;Master[[#This Row],[Accession Number -Assigned]]&amp;" COLLECTED "&amp;TEXT(SourceCollector[[#This Row],[Source Date]], "MM/DD/YYYY")</f>
        <v>W6 59734 COLLECTED 10/05/2020</v>
      </c>
      <c r="C148" s="17" t="str">
        <f>IF(Master[[#This Row],[Cooperator (Collector) 1 -full record]]="","",Master[[#This Row],[Cooperator (Collector) 1 -full record]])</f>
        <v/>
      </c>
    </row>
    <row r="149" spans="2:3" x14ac:dyDescent="0.25">
      <c r="B149" t="str">
        <f>Master[[#This Row],[Accession Prefix (NPGS)]]&amp;" "&amp;Master[[#This Row],[Accession Number -Assigned]]&amp;" COLLECTED "&amp;TEXT(SourceCollector[[#This Row],[Source Date]], "MM/DD/YYYY")</f>
        <v>W6 59735 COLLECTED 07/29/2020</v>
      </c>
      <c r="C149" s="17" t="str">
        <f>IF(Master[[#This Row],[Cooperator (Collector) 1 -full record]]="","",Master[[#This Row],[Cooperator (Collector) 1 -full record]])</f>
        <v/>
      </c>
    </row>
    <row r="150" spans="2:3" x14ac:dyDescent="0.25">
      <c r="B150" t="str">
        <f>Master[[#This Row],[Accession Prefix (NPGS)]]&amp;" "&amp;Master[[#This Row],[Accession Number -Assigned]]&amp;" COLLECTED "&amp;TEXT(SourceCollector[[#This Row],[Source Date]], "MM/DD/YYYY")</f>
        <v>W6 59736 COLLECTED 10/07/2020</v>
      </c>
      <c r="C150" s="17" t="str">
        <f>IF(Master[[#This Row],[Cooperator (Collector) 1 -full record]]="","",Master[[#This Row],[Cooperator (Collector) 1 -full record]])</f>
        <v/>
      </c>
    </row>
    <row r="151" spans="2:3" x14ac:dyDescent="0.25">
      <c r="B151" t="str">
        <f>Master[[#This Row],[Accession Prefix (NPGS)]]&amp;" "&amp;Master[[#This Row],[Accession Number -Assigned]]&amp;" COLLECTED "&amp;TEXT(SourceCollector[[#This Row],[Source Date]], "MM/DD/YYYY")</f>
        <v>W6 59737 COLLECTED 08/18/2020</v>
      </c>
      <c r="C151" s="17" t="str">
        <f>IF(Master[[#This Row],[Cooperator (Collector) 1 -full record]]="","",Master[[#This Row],[Cooperator (Collector) 1 -full record]])</f>
        <v/>
      </c>
    </row>
    <row r="152" spans="2:3" x14ac:dyDescent="0.25">
      <c r="B152" t="str">
        <f>Master[[#This Row],[Accession Prefix (NPGS)]]&amp;" "&amp;Master[[#This Row],[Accession Number -Assigned]]&amp;" COLLECTED "&amp;TEXT(SourceCollector[[#This Row],[Source Date]], "MM/DD/YYYY")</f>
        <v xml:space="preserve">  COLLECTED </v>
      </c>
      <c r="C152" s="17" t="str">
        <f>IF(Master[[#This Row],[Cooperator (Collector) 1 -full record]]="","",Master[[#This Row],[Cooperator (Collector) 1 -full record]])</f>
        <v/>
      </c>
    </row>
    <row r="153" spans="2:3" x14ac:dyDescent="0.25">
      <c r="B153" t="str">
        <f>Master[[#This Row],[Accession Prefix (NPGS)]]&amp;" "&amp;Master[[#This Row],[Accession Number -Assigned]]&amp;" COLLECTED "&amp;TEXT(SourceCollector[[#This Row],[Source Date]], "MM/DD/YYYY")</f>
        <v xml:space="preserve">  COLLECTED </v>
      </c>
      <c r="C153" s="17" t="str">
        <f>IF(Master[[#This Row],[Cooperator (Collector) 1 -full record]]="","",Master[[#This Row],[Cooperator (Collector) 1 -full record]])</f>
        <v/>
      </c>
    </row>
    <row r="154" spans="2:3" x14ac:dyDescent="0.25">
      <c r="B154" t="str">
        <f>Master[[#This Row],[Accession Prefix (NPGS)]]&amp;" "&amp;Master[[#This Row],[Accession Number -Assigned]]&amp;" COLLECTED "&amp;TEXT(SourceCollector[[#This Row],[Source Date]], "MM/DD/YYYY")</f>
        <v xml:space="preserve">  COLLECTED </v>
      </c>
      <c r="C154" s="17" t="str">
        <f>IF(Master[[#This Row],[Cooperator (Collector) 1 -full record]]="","",Master[[#This Row],[Cooperator (Collector) 1 -full record]])</f>
        <v/>
      </c>
    </row>
    <row r="155" spans="2:3" x14ac:dyDescent="0.25">
      <c r="B155" t="str">
        <f>Master[[#This Row],[Accession Prefix (NPGS)]]&amp;" "&amp;Master[[#This Row],[Accession Number -Assigned]]&amp;" COLLECTED "&amp;TEXT(SourceCollector[[#This Row],[Source Date]], "MM/DD/YYYY")</f>
        <v xml:space="preserve">  COLLECTED </v>
      </c>
      <c r="C155" s="17" t="str">
        <f>IF(Master[[#This Row],[Cooperator (Collector) 1 -full record]]="","",Master[[#This Row],[Cooperator (Collector) 1 -full record]])</f>
        <v/>
      </c>
    </row>
    <row r="156" spans="2:3" x14ac:dyDescent="0.25">
      <c r="B156" t="str">
        <f>Master[[#This Row],[Accession Prefix (NPGS)]]&amp;" "&amp;Master[[#This Row],[Accession Number -Assigned]]&amp;" COLLECTED "&amp;TEXT(SourceCollector[[#This Row],[Source Date]], "MM/DD/YYYY")</f>
        <v xml:space="preserve">  COLLECTED </v>
      </c>
      <c r="C156" s="17" t="str">
        <f>IF(Master[[#This Row],[Cooperator (Collector) 1 -full record]]="","",Master[[#This Row],[Cooperator (Collector) 1 -full record]])</f>
        <v/>
      </c>
    </row>
    <row r="157" spans="2:3" x14ac:dyDescent="0.25">
      <c r="B157" t="str">
        <f>Master[[#This Row],[Accession Prefix (NPGS)]]&amp;" "&amp;Master[[#This Row],[Accession Number -Assigned]]&amp;" COLLECTED "&amp;TEXT(SourceCollector[[#This Row],[Source Date]], "MM/DD/YYYY")</f>
        <v xml:space="preserve">  COLLECTED </v>
      </c>
      <c r="C157" s="17" t="str">
        <f>IF(Master[[#This Row],[Cooperator (Collector) 1 -full record]]="","",Master[[#This Row],[Cooperator (Collector) 1 -full record]])</f>
        <v/>
      </c>
    </row>
    <row r="158" spans="2:3" x14ac:dyDescent="0.25">
      <c r="B158" t="str">
        <f>Master[[#This Row],[Accession Prefix (NPGS)]]&amp;" "&amp;Master[[#This Row],[Accession Number -Assigned]]&amp;" COLLECTED "&amp;TEXT(SourceCollector[[#This Row],[Source Date]], "MM/DD/YYYY")</f>
        <v xml:space="preserve">  COLLECTED </v>
      </c>
      <c r="C158" s="17" t="str">
        <f>IF(Master[[#This Row],[Cooperator (Collector) 1 -full record]]="","",Master[[#This Row],[Cooperator (Collector) 1 -full record]])</f>
        <v/>
      </c>
    </row>
    <row r="159" spans="2:3" x14ac:dyDescent="0.25">
      <c r="B159" t="str">
        <f>Master[[#This Row],[Accession Prefix (NPGS)]]&amp;" "&amp;Master[[#This Row],[Accession Number -Assigned]]&amp;" COLLECTED "&amp;TEXT(SourceCollector[[#This Row],[Source Date]], "MM/DD/YYYY")</f>
        <v xml:space="preserve">  COLLECTED </v>
      </c>
      <c r="C159" s="17" t="str">
        <f>IF(Master[[#This Row],[Cooperator (Collector) 1 -full record]]="","",Master[[#This Row],[Cooperator (Collector) 1 -full record]])</f>
        <v/>
      </c>
    </row>
    <row r="160" spans="2:3" x14ac:dyDescent="0.25">
      <c r="B160" t="str">
        <f>Master[[#This Row],[Accession Prefix (NPGS)]]&amp;" "&amp;Master[[#This Row],[Accession Number -Assigned]]&amp;" COLLECTED "&amp;TEXT(SourceCollector[[#This Row],[Source Date]], "MM/DD/YYYY")</f>
        <v xml:space="preserve">  COLLECTED </v>
      </c>
      <c r="C160" s="17" t="str">
        <f>IF(Master[[#This Row],[Cooperator (Collector) 1 -full record]]="","",Master[[#This Row],[Cooperator (Collector) 1 -full record]])</f>
        <v/>
      </c>
    </row>
    <row r="161" spans="2:3" x14ac:dyDescent="0.25">
      <c r="B161" t="str">
        <f>Master[[#This Row],[Accession Prefix (NPGS)]]&amp;" "&amp;Master[[#This Row],[Accession Number -Assigned]]&amp;" COLLECTED "&amp;TEXT(SourceCollector[[#This Row],[Source Date]], "MM/DD/YYYY")</f>
        <v xml:space="preserve">  COLLECTED </v>
      </c>
      <c r="C161" s="17" t="str">
        <f>IF(Master[[#This Row],[Cooperator (Collector) 1 -full record]]="","",Master[[#This Row],[Cooperator (Collector) 1 -full record]])</f>
        <v/>
      </c>
    </row>
    <row r="162" spans="2:3" x14ac:dyDescent="0.25">
      <c r="B162" t="str">
        <f>Master[[#This Row],[Accession Prefix (NPGS)]]&amp;" "&amp;Master[[#This Row],[Accession Number -Assigned]]&amp;" COLLECTED "&amp;TEXT(SourceCollector[[#This Row],[Source Date]], "MM/DD/YYYY")</f>
        <v xml:space="preserve">  COLLECTED </v>
      </c>
      <c r="C162" s="17" t="str">
        <f>IF(Master[[#This Row],[Cooperator (Collector) 1 -full record]]="","",Master[[#This Row],[Cooperator (Collector) 1 -full record]])</f>
        <v/>
      </c>
    </row>
    <row r="163" spans="2:3" x14ac:dyDescent="0.25">
      <c r="B163" t="str">
        <f>Master[[#This Row],[Accession Prefix (NPGS)]]&amp;" "&amp;Master[[#This Row],[Accession Number -Assigned]]&amp;" COLLECTED "&amp;TEXT(SourceCollector[[#This Row],[Source Date]], "MM/DD/YYYY")</f>
        <v xml:space="preserve">  COLLECTED </v>
      </c>
      <c r="C163" s="17" t="str">
        <f>IF(Master[[#This Row],[Cooperator (Collector) 1 -full record]]="","",Master[[#This Row],[Cooperator (Collector) 1 -full record]])</f>
        <v/>
      </c>
    </row>
    <row r="164" spans="2:3" x14ac:dyDescent="0.25">
      <c r="B164" t="str">
        <f>Master[[#This Row],[Accession Prefix (NPGS)]]&amp;" "&amp;Master[[#This Row],[Accession Number -Assigned]]&amp;" COLLECTED "&amp;TEXT(SourceCollector[[#This Row],[Source Date]], "MM/DD/YYYY")</f>
        <v xml:space="preserve">  COLLECTED </v>
      </c>
      <c r="C164" s="17" t="str">
        <f>IF(Master[[#This Row],[Cooperator (Collector) 1 -full record]]="","",Master[[#This Row],[Cooperator (Collector) 1 -full record]])</f>
        <v/>
      </c>
    </row>
    <row r="165" spans="2:3" x14ac:dyDescent="0.25">
      <c r="B165" t="str">
        <f>Master[[#This Row],[Accession Prefix (NPGS)]]&amp;" "&amp;Master[[#This Row],[Accession Number -Assigned]]&amp;" COLLECTED "&amp;TEXT(SourceCollector[[#This Row],[Source Date]], "MM/DD/YYYY")</f>
        <v xml:space="preserve">  COLLECTED </v>
      </c>
      <c r="C165" s="17" t="str">
        <f>IF(Master[[#This Row],[Cooperator (Collector) 1 -full record]]="","",Master[[#This Row],[Cooperator (Collector) 1 -full record]])</f>
        <v/>
      </c>
    </row>
    <row r="166" spans="2:3" x14ac:dyDescent="0.25">
      <c r="B166" t="str">
        <f>Master[[#This Row],[Accession Prefix (NPGS)]]&amp;" "&amp;Master[[#This Row],[Accession Number -Assigned]]&amp;" COLLECTED "&amp;TEXT(SourceCollector[[#This Row],[Source Date]], "MM/DD/YYYY")</f>
        <v xml:space="preserve">  COLLECTED </v>
      </c>
      <c r="C166" s="17" t="str">
        <f>IF(Master[[#This Row],[Cooperator (Collector) 1 -full record]]="","",Master[[#This Row],[Cooperator (Collector) 1 -full record]])</f>
        <v/>
      </c>
    </row>
    <row r="167" spans="2:3" x14ac:dyDescent="0.25">
      <c r="B167" t="str">
        <f>Master[[#This Row],[Accession Prefix (NPGS)]]&amp;" "&amp;Master[[#This Row],[Accession Number -Assigned]]&amp;" COLLECTED "&amp;TEXT(SourceCollector[[#This Row],[Source Date]], "MM/DD/YYYY")</f>
        <v xml:space="preserve">  COLLECTED </v>
      </c>
      <c r="C167" s="17" t="str">
        <f>IF(Master[[#This Row],[Cooperator (Collector) 1 -full record]]="","",Master[[#This Row],[Cooperator (Collector) 1 -full record]])</f>
        <v/>
      </c>
    </row>
    <row r="168" spans="2:3" x14ac:dyDescent="0.25">
      <c r="B168" t="str">
        <f>Master[[#This Row],[Accession Prefix (NPGS)]]&amp;" "&amp;Master[[#This Row],[Accession Number -Assigned]]&amp;" COLLECTED "&amp;TEXT(SourceCollector[[#This Row],[Source Date]], "MM/DD/YYYY")</f>
        <v xml:space="preserve">  COLLECTED </v>
      </c>
      <c r="C168" s="17" t="str">
        <f>IF(Master[[#This Row],[Cooperator (Collector) 1 -full record]]="","",Master[[#This Row],[Cooperator (Collector) 1 -full record]])</f>
        <v/>
      </c>
    </row>
    <row r="169" spans="2:3" x14ac:dyDescent="0.25">
      <c r="B169" t="str">
        <f>Master[[#This Row],[Accession Prefix (NPGS)]]&amp;" "&amp;Master[[#This Row],[Accession Number -Assigned]]&amp;" COLLECTED "&amp;TEXT(SourceCollector[[#This Row],[Source Date]], "MM/DD/YYYY")</f>
        <v xml:space="preserve">  COLLECTED </v>
      </c>
      <c r="C169" s="17" t="str">
        <f>IF(Master[[#This Row],[Cooperator (Collector) 1 -full record]]="","",Master[[#This Row],[Cooperator (Collector) 1 -full record]])</f>
        <v/>
      </c>
    </row>
    <row r="170" spans="2:3" x14ac:dyDescent="0.25">
      <c r="B170" t="str">
        <f>Master[[#This Row],[Accession Prefix (NPGS)]]&amp;" "&amp;Master[[#This Row],[Accession Number -Assigned]]&amp;" COLLECTED "&amp;TEXT(SourceCollector[[#This Row],[Source Date]], "MM/DD/YYYY")</f>
        <v xml:space="preserve">  COLLECTED </v>
      </c>
      <c r="C170" s="17" t="str">
        <f>IF(Master[[#This Row],[Cooperator (Collector) 1 -full record]]="","",Master[[#This Row],[Cooperator (Collector) 1 -full record]])</f>
        <v/>
      </c>
    </row>
    <row r="171" spans="2:3" x14ac:dyDescent="0.25">
      <c r="B171" t="str">
        <f>Master[[#This Row],[Accession Prefix (NPGS)]]&amp;" "&amp;Master[[#This Row],[Accession Number -Assigned]]&amp;" COLLECTED "&amp;TEXT(SourceCollector[[#This Row],[Source Date]], "MM/DD/YYYY")</f>
        <v xml:space="preserve">  COLLECTED </v>
      </c>
      <c r="C171" s="17" t="str">
        <f>IF(Master[[#This Row],[Cooperator (Collector) 1 -full record]]="","",Master[[#This Row],[Cooperator (Collector) 1 -full record]])</f>
        <v/>
      </c>
    </row>
    <row r="172" spans="2:3" x14ac:dyDescent="0.25">
      <c r="B172" t="str">
        <f>Master[[#This Row],[Accession Prefix (NPGS)]]&amp;" "&amp;Master[[#This Row],[Accession Number -Assigned]]&amp;" COLLECTED "&amp;TEXT(SourceCollector[[#This Row],[Source Date]], "MM/DD/YYYY")</f>
        <v xml:space="preserve">  COLLECTED </v>
      </c>
      <c r="C172" s="17" t="str">
        <f>IF(Master[[#This Row],[Cooperator (Collector) 1 -full record]]="","",Master[[#This Row],[Cooperator (Collector) 1 -full record]])</f>
        <v/>
      </c>
    </row>
    <row r="173" spans="2:3" x14ac:dyDescent="0.25">
      <c r="B173" t="str">
        <f>Master[[#This Row],[Accession Prefix (NPGS)]]&amp;" "&amp;Master[[#This Row],[Accession Number -Assigned]]&amp;" COLLECTED "&amp;TEXT(SourceCollector[[#This Row],[Source Date]], "MM/DD/YYYY")</f>
        <v xml:space="preserve">  COLLECTED </v>
      </c>
      <c r="C173" s="17" t="str">
        <f>IF(Master[[#This Row],[Cooperator (Collector) 1 -full record]]="","",Master[[#This Row],[Cooperator (Collector) 1 -full record]])</f>
        <v/>
      </c>
    </row>
    <row r="174" spans="2:3" x14ac:dyDescent="0.25">
      <c r="B174" t="str">
        <f>Master[[#This Row],[Accession Prefix (NPGS)]]&amp;" "&amp;Master[[#This Row],[Accession Number -Assigned]]&amp;" COLLECTED "&amp;TEXT(SourceCollector[[#This Row],[Source Date]], "MM/DD/YYYY")</f>
        <v xml:space="preserve">  COLLECTED </v>
      </c>
      <c r="C174" s="17" t="str">
        <f>IF(Master[[#This Row],[Cooperator (Collector) 1 -full record]]="","",Master[[#This Row],[Cooperator (Collector) 1 -full record]])</f>
        <v/>
      </c>
    </row>
    <row r="175" spans="2:3" x14ac:dyDescent="0.25">
      <c r="B175" t="str">
        <f>Master[[#This Row],[Accession Prefix (NPGS)]]&amp;" "&amp;Master[[#This Row],[Accession Number -Assigned]]&amp;" COLLECTED "&amp;TEXT(SourceCollector[[#This Row],[Source Date]], "MM/DD/YYYY")</f>
        <v xml:space="preserve">  COLLECTED </v>
      </c>
      <c r="C175" s="17" t="str">
        <f>IF(Master[[#This Row],[Cooperator (Collector) 1 -full record]]="","",Master[[#This Row],[Cooperator (Collector) 1 -full record]])</f>
        <v/>
      </c>
    </row>
    <row r="176" spans="2:3" x14ac:dyDescent="0.25">
      <c r="B176" t="str">
        <f>Master[[#This Row],[Accession Prefix (NPGS)]]&amp;" "&amp;Master[[#This Row],[Accession Number -Assigned]]&amp;" COLLECTED "&amp;TEXT(SourceCollector[[#This Row],[Source Date]], "MM/DD/YYYY")</f>
        <v xml:space="preserve">  COLLECTED </v>
      </c>
      <c r="C176" s="17" t="str">
        <f>IF(Master[[#This Row],[Cooperator (Collector) 1 -full record]]="","",Master[[#This Row],[Cooperator (Collector) 1 -full record]])</f>
        <v/>
      </c>
    </row>
    <row r="177" spans="2:3" x14ac:dyDescent="0.25">
      <c r="B177" t="str">
        <f>Master[[#This Row],[Accession Prefix (NPGS)]]&amp;" "&amp;Master[[#This Row],[Accession Number -Assigned]]&amp;" COLLECTED "&amp;TEXT(SourceCollector[[#This Row],[Source Date]], "MM/DD/YYYY")</f>
        <v xml:space="preserve">  COLLECTED </v>
      </c>
      <c r="C177" s="17" t="str">
        <f>IF(Master[[#This Row],[Cooperator (Collector) 1 -full record]]="","",Master[[#This Row],[Cooperator (Collector) 1 -full record]])</f>
        <v/>
      </c>
    </row>
    <row r="178" spans="2:3" x14ac:dyDescent="0.25">
      <c r="B178" t="str">
        <f>Master[[#This Row],[Accession Prefix (NPGS)]]&amp;" "&amp;Master[[#This Row],[Accession Number -Assigned]]&amp;" COLLECTED "&amp;TEXT(SourceCollector[[#This Row],[Source Date]], "MM/DD/YYYY")</f>
        <v xml:space="preserve">  COLLECTED </v>
      </c>
      <c r="C178" s="17" t="str">
        <f>IF(Master[[#This Row],[Cooperator (Collector) 1 -full record]]="","",Master[[#This Row],[Cooperator (Collector) 1 -full record]])</f>
        <v/>
      </c>
    </row>
    <row r="179" spans="2:3" x14ac:dyDescent="0.25">
      <c r="B179" t="str">
        <f>Master[[#This Row],[Accession Prefix (NPGS)]]&amp;" "&amp;Master[[#This Row],[Accession Number -Assigned]]&amp;" COLLECTED "&amp;TEXT(SourceCollector[[#This Row],[Source Date]], "MM/DD/YYYY")</f>
        <v xml:space="preserve">  COLLECTED </v>
      </c>
      <c r="C179" s="17" t="str">
        <f>IF(Master[[#This Row],[Cooperator (Collector) 1 -full record]]="","",Master[[#This Row],[Cooperator (Collector) 1 -full record]])</f>
        <v/>
      </c>
    </row>
    <row r="180" spans="2:3" x14ac:dyDescent="0.25">
      <c r="B180" t="str">
        <f>Master[[#This Row],[Accession Prefix (NPGS)]]&amp;" "&amp;Master[[#This Row],[Accession Number -Assigned]]&amp;" COLLECTED "&amp;TEXT(SourceCollector[[#This Row],[Source Date]], "MM/DD/YYYY")</f>
        <v xml:space="preserve">  COLLECTED </v>
      </c>
      <c r="C180" s="17" t="str">
        <f>IF(Master[[#This Row],[Cooperator (Collector) 1 -full record]]="","",Master[[#This Row],[Cooperator (Collector) 1 -full record]])</f>
        <v/>
      </c>
    </row>
    <row r="181" spans="2:3" x14ac:dyDescent="0.25">
      <c r="B181" t="str">
        <f>Master[[#This Row],[Accession Prefix (NPGS)]]&amp;" "&amp;Master[[#This Row],[Accession Number -Assigned]]&amp;" COLLECTED "&amp;TEXT(SourceCollector[[#This Row],[Source Date]], "MM/DD/YYYY")</f>
        <v xml:space="preserve">  COLLECTED </v>
      </c>
      <c r="C181" s="17" t="str">
        <f>IF(Master[[#This Row],[Cooperator (Collector) 1 -full record]]="","",Master[[#This Row],[Cooperator (Collector) 1 -full record]])</f>
        <v/>
      </c>
    </row>
    <row r="182" spans="2:3" x14ac:dyDescent="0.25">
      <c r="B182" t="str">
        <f>Master[[#This Row],[Accession Prefix (NPGS)]]&amp;" "&amp;Master[[#This Row],[Accession Number -Assigned]]&amp;" COLLECTED "&amp;TEXT(SourceCollector[[#This Row],[Source Date]], "MM/DD/YYYY")</f>
        <v xml:space="preserve">  COLLECTED </v>
      </c>
      <c r="C182" s="17" t="str">
        <f>IF(Master[[#This Row],[Cooperator (Collector) 1 -full record]]="","",Master[[#This Row],[Cooperator (Collector) 1 -full record]])</f>
        <v/>
      </c>
    </row>
    <row r="183" spans="2:3" x14ac:dyDescent="0.25">
      <c r="B183" t="str">
        <f>Master[[#This Row],[Accession Prefix (NPGS)]]&amp;" "&amp;Master[[#This Row],[Accession Number -Assigned]]&amp;" COLLECTED "&amp;TEXT(SourceCollector[[#This Row],[Source Date]], "MM/DD/YYYY")</f>
        <v xml:space="preserve">  COLLECTED </v>
      </c>
      <c r="C183" s="17" t="str">
        <f>IF(Master[[#This Row],[Cooperator (Collector) 1 -full record]]="","",Master[[#This Row],[Cooperator (Collector) 1 -full record]])</f>
        <v/>
      </c>
    </row>
    <row r="184" spans="2:3" x14ac:dyDescent="0.25">
      <c r="B184" t="str">
        <f>Master[[#This Row],[Accession Prefix (NPGS)]]&amp;" "&amp;Master[[#This Row],[Accession Number -Assigned]]&amp;" COLLECTED "&amp;TEXT(SourceCollector[[#This Row],[Source Date]], "MM/DD/YYYY")</f>
        <v xml:space="preserve">  COLLECTED </v>
      </c>
      <c r="C184" s="17" t="str">
        <f>IF(Master[[#This Row],[Cooperator (Collector) 1 -full record]]="","",Master[[#This Row],[Cooperator (Collector) 1 -full record]])</f>
        <v/>
      </c>
    </row>
    <row r="185" spans="2:3" x14ac:dyDescent="0.25">
      <c r="B185" t="str">
        <f>Master[[#This Row],[Accession Prefix (NPGS)]]&amp;" "&amp;Master[[#This Row],[Accession Number -Assigned]]&amp;" COLLECTED "&amp;TEXT(SourceCollector[[#This Row],[Source Date]], "MM/DD/YYYY")</f>
        <v xml:space="preserve">  COLLECTED </v>
      </c>
      <c r="C185" s="17" t="str">
        <f>IF(Master[[#This Row],[Cooperator (Collector) 1 -full record]]="","",Master[[#This Row],[Cooperator (Collector) 1 -full record]])</f>
        <v/>
      </c>
    </row>
    <row r="186" spans="2:3" x14ac:dyDescent="0.25">
      <c r="B186" t="str">
        <f>Master[[#This Row],[Accession Prefix (NPGS)]]&amp;" "&amp;Master[[#This Row],[Accession Number -Assigned]]&amp;" COLLECTED "&amp;TEXT(SourceCollector[[#This Row],[Source Date]], "MM/DD/YYYY")</f>
        <v xml:space="preserve">  COLLECTED </v>
      </c>
      <c r="C186" s="17" t="str">
        <f>IF(Master[[#This Row],[Cooperator (Collector) 1 -full record]]="","",Master[[#This Row],[Cooperator (Collector) 1 -full record]])</f>
        <v/>
      </c>
    </row>
    <row r="187" spans="2:3" x14ac:dyDescent="0.25">
      <c r="B187" t="str">
        <f>Master[[#This Row],[Accession Prefix (NPGS)]]&amp;" "&amp;Master[[#This Row],[Accession Number -Assigned]]&amp;" COLLECTED "&amp;TEXT(SourceCollector[[#This Row],[Source Date]], "MM/DD/YYYY")</f>
        <v xml:space="preserve">  COLLECTED </v>
      </c>
      <c r="C187" s="17" t="str">
        <f>IF(Master[[#This Row],[Cooperator (Collector) 1 -full record]]="","",Master[[#This Row],[Cooperator (Collector) 1 -full record]])</f>
        <v/>
      </c>
    </row>
    <row r="188" spans="2:3" x14ac:dyDescent="0.25">
      <c r="B188" t="str">
        <f>Master[[#This Row],[Accession Prefix (NPGS)]]&amp;" "&amp;Master[[#This Row],[Accession Number -Assigned]]&amp;" COLLECTED "&amp;TEXT(SourceCollector[[#This Row],[Source Date]], "MM/DD/YYYY")</f>
        <v xml:space="preserve">  COLLECTED </v>
      </c>
      <c r="C188" s="17" t="str">
        <f>IF(Master[[#This Row],[Cooperator (Collector) 1 -full record]]="","",Master[[#This Row],[Cooperator (Collector) 1 -full record]])</f>
        <v/>
      </c>
    </row>
    <row r="189" spans="2:3" x14ac:dyDescent="0.25">
      <c r="B189" t="str">
        <f>Master[[#This Row],[Accession Prefix (NPGS)]]&amp;" "&amp;Master[[#This Row],[Accession Number -Assigned]]&amp;" COLLECTED "&amp;TEXT(SourceCollector[[#This Row],[Source Date]], "MM/DD/YYYY")</f>
        <v xml:space="preserve">  COLLECTED </v>
      </c>
      <c r="C189" s="17" t="str">
        <f>IF(Master[[#This Row],[Cooperator (Collector) 1 -full record]]="","",Master[[#This Row],[Cooperator (Collector) 1 -full record]])</f>
        <v/>
      </c>
    </row>
    <row r="190" spans="2:3" x14ac:dyDescent="0.25">
      <c r="B190" t="str">
        <f>Master[[#This Row],[Accession Prefix (NPGS)]]&amp;" "&amp;Master[[#This Row],[Accession Number -Assigned]]&amp;" COLLECTED "&amp;TEXT(SourceCollector[[#This Row],[Source Date]], "MM/DD/YYYY")</f>
        <v xml:space="preserve">  COLLECTED </v>
      </c>
      <c r="C190" s="17" t="str">
        <f>IF(Master[[#This Row],[Cooperator (Collector) 1 -full record]]="","",Master[[#This Row],[Cooperator (Collector) 1 -full record]])</f>
        <v/>
      </c>
    </row>
    <row r="191" spans="2:3" x14ac:dyDescent="0.25">
      <c r="B191" t="str">
        <f>Master[[#This Row],[Accession Prefix (NPGS)]]&amp;" "&amp;Master[[#This Row],[Accession Number -Assigned]]&amp;" COLLECTED "&amp;TEXT(SourceCollector[[#This Row],[Source Date]], "MM/DD/YYYY")</f>
        <v xml:space="preserve">  COLLECTED </v>
      </c>
      <c r="C191" s="17" t="str">
        <f>IF(Master[[#This Row],[Cooperator (Collector) 1 -full record]]="","",Master[[#This Row],[Cooperator (Collector) 1 -full record]])</f>
        <v/>
      </c>
    </row>
    <row r="192" spans="2:3" x14ac:dyDescent="0.25">
      <c r="B192" t="str">
        <f>Master[[#This Row],[Accession Prefix (NPGS)]]&amp;" "&amp;Master[[#This Row],[Accession Number -Assigned]]&amp;" COLLECTED "&amp;TEXT(SourceCollector[[#This Row],[Source Date]], "MM/DD/YYYY")</f>
        <v xml:space="preserve">  COLLECTED </v>
      </c>
      <c r="C192" s="17" t="str">
        <f>IF(Master[[#This Row],[Cooperator (Collector) 1 -full record]]="","",Master[[#This Row],[Cooperator (Collector) 1 -full record]])</f>
        <v/>
      </c>
    </row>
    <row r="193" spans="2:3" x14ac:dyDescent="0.25">
      <c r="B193" t="str">
        <f>Master[[#This Row],[Accession Prefix (NPGS)]]&amp;" "&amp;Master[[#This Row],[Accession Number -Assigned]]&amp;" COLLECTED "&amp;TEXT(SourceCollector[[#This Row],[Source Date]], "MM/DD/YYYY")</f>
        <v xml:space="preserve">  COLLECTED </v>
      </c>
      <c r="C193" s="17" t="str">
        <f>IF(Master[[#This Row],[Cooperator (Collector) 1 -full record]]="","",Master[[#This Row],[Cooperator (Collector) 1 -full record]])</f>
        <v/>
      </c>
    </row>
    <row r="194" spans="2:3" x14ac:dyDescent="0.25">
      <c r="B194" t="str">
        <f>Master[[#This Row],[Accession Prefix (NPGS)]]&amp;" "&amp;Master[[#This Row],[Accession Number -Assigned]]&amp;" COLLECTED "&amp;TEXT(SourceCollector[[#This Row],[Source Date]], "MM/DD/YYYY")</f>
        <v xml:space="preserve">  COLLECTED </v>
      </c>
      <c r="C194" s="17" t="str">
        <f>IF(Master[[#This Row],[Cooperator (Collector) 1 -full record]]="","",Master[[#This Row],[Cooperator (Collector) 1 -full record]])</f>
        <v/>
      </c>
    </row>
    <row r="195" spans="2:3" x14ac:dyDescent="0.25">
      <c r="B195" t="str">
        <f>Master[[#This Row],[Accession Prefix (NPGS)]]&amp;" "&amp;Master[[#This Row],[Accession Number -Assigned]]&amp;" COLLECTED "&amp;TEXT(SourceCollector[[#This Row],[Source Date]], "MM/DD/YYYY")</f>
        <v xml:space="preserve">  COLLECTED </v>
      </c>
      <c r="C195" s="17" t="str">
        <f>IF(Master[[#This Row],[Cooperator (Collector) 1 -full record]]="","",Master[[#This Row],[Cooperator (Collector) 1 -full record]])</f>
        <v/>
      </c>
    </row>
    <row r="196" spans="2:3" x14ac:dyDescent="0.25">
      <c r="B196" t="str">
        <f>Master[[#This Row],[Accession Prefix (NPGS)]]&amp;" "&amp;Master[[#This Row],[Accession Number -Assigned]]&amp;" COLLECTED "&amp;TEXT(SourceCollector[[#This Row],[Source Date]], "MM/DD/YYYY")</f>
        <v xml:space="preserve">  COLLECTED </v>
      </c>
      <c r="C196" s="17" t="str">
        <f>IF(Master[[#This Row],[Cooperator (Collector) 1 -full record]]="","",Master[[#This Row],[Cooperator (Collector) 1 -full record]])</f>
        <v/>
      </c>
    </row>
    <row r="197" spans="2:3" x14ac:dyDescent="0.25">
      <c r="B197" t="str">
        <f>Master[[#This Row],[Accession Prefix (NPGS)]]&amp;" "&amp;Master[[#This Row],[Accession Number -Assigned]]&amp;" COLLECTED "&amp;TEXT(SourceCollector[[#This Row],[Source Date]], "MM/DD/YYYY")</f>
        <v xml:space="preserve">  COLLECTED </v>
      </c>
      <c r="C197" s="17" t="str">
        <f>IF(Master[[#This Row],[Cooperator (Collector) 1 -full record]]="","",Master[[#This Row],[Cooperator (Collector) 1 -full record]])</f>
        <v/>
      </c>
    </row>
    <row r="198" spans="2:3" x14ac:dyDescent="0.25">
      <c r="B198" t="str">
        <f>Master[[#This Row],[Accession Prefix (NPGS)]]&amp;" "&amp;Master[[#This Row],[Accession Number -Assigned]]&amp;" COLLECTED "&amp;TEXT(SourceCollector[[#This Row],[Source Date]], "MM/DD/YYYY")</f>
        <v xml:space="preserve">  COLLECTED </v>
      </c>
      <c r="C198" s="17" t="str">
        <f>IF(Master[[#This Row],[Cooperator (Collector) 1 -full record]]="","",Master[[#This Row],[Cooperator (Collector) 1 -full record]])</f>
        <v/>
      </c>
    </row>
    <row r="199" spans="2:3" x14ac:dyDescent="0.25">
      <c r="B199" t="str">
        <f>Master[[#This Row],[Accession Prefix (NPGS)]]&amp;" "&amp;Master[[#This Row],[Accession Number -Assigned]]&amp;" COLLECTED "&amp;TEXT(SourceCollector[[#This Row],[Source Date]], "MM/DD/YYYY")</f>
        <v xml:space="preserve">  COLLECTED </v>
      </c>
      <c r="C199" s="17" t="str">
        <f>IF(Master[[#This Row],[Cooperator (Collector) 1 -full record]]="","",Master[[#This Row],[Cooperator (Collector) 1 -full record]])</f>
        <v/>
      </c>
    </row>
    <row r="200" spans="2:3" x14ac:dyDescent="0.25">
      <c r="B200" t="str">
        <f>Master[[#This Row],[Accession Prefix (NPGS)]]&amp;" "&amp;Master[[#This Row],[Accession Number -Assigned]]&amp;" COLLECTED "&amp;TEXT(SourceCollector[[#This Row],[Source Date]], "MM/DD/YYYY")</f>
        <v xml:space="preserve">  COLLECTED </v>
      </c>
      <c r="C200" s="17" t="str">
        <f>IF(Master[[#This Row],[Cooperator (Collector) 1 -full record]]="","",Master[[#This Row],[Cooperator (Collector) 1 -full record]])</f>
        <v/>
      </c>
    </row>
    <row r="201" spans="2:3" x14ac:dyDescent="0.25">
      <c r="B201" t="str">
        <f>Master[[#This Row],[Accession Prefix (NPGS)]]&amp;" "&amp;Master[[#This Row],[Accession Number -Assigned]]&amp;" COLLECTED "&amp;TEXT(SourceCollector[[#This Row],[Source Date]], "MM/DD/YYYY")</f>
        <v xml:space="preserve">  COLLECTED </v>
      </c>
      <c r="C201" s="17" t="str">
        <f>IF(Master[[#This Row],[Cooperator (Collector) 1 -full record]]="","",Master[[#This Row],[Cooperator (Collector) 1 -full record]])</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X5"/>
  <sheetViews>
    <sheetView topLeftCell="D1" workbookViewId="0">
      <selection activeCell="V5" sqref="V5"/>
    </sheetView>
  </sheetViews>
  <sheetFormatPr defaultRowHeight="15" x14ac:dyDescent="0.25"/>
  <cols>
    <col min="2" max="17" width="11.140625" customWidth="1"/>
    <col min="18" max="21" width="10.85546875" customWidth="1"/>
    <col min="22" max="22" width="10" customWidth="1"/>
    <col min="23" max="23" width="10.28515625" customWidth="1"/>
    <col min="24" max="24" width="10.140625" customWidth="1"/>
  </cols>
  <sheetData>
    <row r="1" spans="1:24" x14ac:dyDescent="0.25">
      <c r="A1" t="s">
        <v>548</v>
      </c>
    </row>
    <row r="3" spans="1:24" ht="61.5" x14ac:dyDescent="0.9">
      <c r="A3" s="190" t="s">
        <v>549</v>
      </c>
    </row>
    <row r="4" spans="1:24" ht="26.25" x14ac:dyDescent="0.4">
      <c r="A4" s="164" t="s">
        <v>550</v>
      </c>
    </row>
    <row r="5" spans="1:24" ht="90" x14ac:dyDescent="0.25">
      <c r="B5" s="167" t="s">
        <v>17</v>
      </c>
      <c r="C5" s="167" t="s">
        <v>18</v>
      </c>
      <c r="D5" s="159" t="s">
        <v>15</v>
      </c>
      <c r="E5" s="159" t="s">
        <v>160</v>
      </c>
      <c r="F5" s="160" t="s">
        <v>128</v>
      </c>
      <c r="G5" s="161" t="s">
        <v>129</v>
      </c>
      <c r="H5" s="191" t="s">
        <v>137</v>
      </c>
      <c r="I5" s="192" t="s">
        <v>135</v>
      </c>
      <c r="J5" s="192" t="s">
        <v>136</v>
      </c>
      <c r="K5" s="159" t="s">
        <v>14</v>
      </c>
      <c r="L5" s="158" t="s">
        <v>569</v>
      </c>
      <c r="M5" s="162" t="s">
        <v>25</v>
      </c>
      <c r="N5" s="159" t="s">
        <v>143</v>
      </c>
      <c r="O5" s="162" t="s">
        <v>149</v>
      </c>
      <c r="P5" s="162" t="s">
        <v>144</v>
      </c>
      <c r="Q5" s="159" t="s">
        <v>29</v>
      </c>
      <c r="R5" s="159" t="s">
        <v>526</v>
      </c>
      <c r="S5" s="159" t="s">
        <v>527</v>
      </c>
      <c r="T5" s="159" t="s">
        <v>93</v>
      </c>
      <c r="U5" s="163" t="s">
        <v>566</v>
      </c>
      <c r="V5" s="163" t="s">
        <v>565</v>
      </c>
      <c r="W5" s="163" t="s">
        <v>564</v>
      </c>
      <c r="X5" s="163" t="s">
        <v>563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theme="4" tint="0.59999389629810485"/>
  </sheetPr>
  <dimension ref="A1:D201"/>
  <sheetViews>
    <sheetView workbookViewId="0">
      <selection activeCell="A2" sqref="A2"/>
    </sheetView>
  </sheetViews>
  <sheetFormatPr defaultColWidth="9.140625" defaultRowHeight="15" x14ac:dyDescent="0.25"/>
  <cols>
    <col min="1" max="1" width="10.28515625" style="7" customWidth="1"/>
    <col min="2" max="2" width="33.140625" style="7" customWidth="1"/>
    <col min="3" max="3" width="38.42578125" style="7" customWidth="1"/>
    <col min="4" max="4" width="9.7109375" style="7" bestFit="1" customWidth="1"/>
    <col min="5" max="16384" width="9.140625" style="7"/>
  </cols>
  <sheetData>
    <row r="1" spans="1:4" s="116" customFormat="1" ht="45" x14ac:dyDescent="0.25">
      <c r="A1" s="116" t="s">
        <v>73</v>
      </c>
      <c r="B1" s="118" t="s">
        <v>74</v>
      </c>
      <c r="C1" s="118" t="s">
        <v>55</v>
      </c>
    </row>
    <row r="2" spans="1:4" ht="15.75" x14ac:dyDescent="0.25">
      <c r="A2" s="1"/>
      <c r="B2" s="7" t="str">
        <f>Master[[#This Row],[Accession Prefix (NPGS)]]&amp;" "&amp;Master[[#This Row],[Accession Number -Assigned]]&amp;" COLLECTED "&amp;TEXT(SourceCollector[[#This Row],[Source Date]], "MM/DD/YYYY")</f>
        <v>W6 57036 COLLECTED 07/09/2018</v>
      </c>
      <c r="C2" s="17" t="str">
        <f>IF(Master[[#This Row],[Cooperator (Collector) 2 -full record]]="","",Master[[#This Row],[Cooperator (Collector) 2 -full record]])</f>
        <v/>
      </c>
      <c r="D2" s="2"/>
    </row>
    <row r="3" spans="1:4" x14ac:dyDescent="0.25">
      <c r="B3" s="7" t="str">
        <f>Master[[#This Row],[Accession Prefix (NPGS)]]&amp;" "&amp;Master[[#This Row],[Accession Number -Assigned]]&amp;" COLLECTED "&amp;TEXT(SourceCollector[[#This Row],[Source Date]], "MM/DD/YYYY")</f>
        <v>W6  COLLECTED COLL_DT</v>
      </c>
      <c r="C3" s="17" t="str">
        <f>IF(Master[[#This Row],[Cooperator (Collector) 2 -full record]]="","",Master[[#This Row],[Cooperator (Collector) 2 -full record]])</f>
        <v/>
      </c>
      <c r="D3" s="2"/>
    </row>
    <row r="4" spans="1:4" x14ac:dyDescent="0.25">
      <c r="B4" s="7" t="str">
        <f>Master[[#This Row],[Accession Prefix (NPGS)]]&amp;" "&amp;Master[[#This Row],[Accession Number -Assigned]]&amp;" COLLECTED "&amp;TEXT(SourceCollector[[#This Row],[Source Date]], "MM/DD/YYYY")</f>
        <v>W6 59590 COLLECTED 07/01/2020</v>
      </c>
      <c r="C4" s="17" t="str">
        <f>IF(Master[[#This Row],[Cooperator (Collector) 2 -full record]]="","",Master[[#This Row],[Cooperator (Collector) 2 -full record]])</f>
        <v/>
      </c>
      <c r="D4" s="2"/>
    </row>
    <row r="5" spans="1:4" x14ac:dyDescent="0.25">
      <c r="B5" s="7" t="str">
        <f>Master[[#This Row],[Accession Prefix (NPGS)]]&amp;" "&amp;Master[[#This Row],[Accession Number -Assigned]]&amp;" COLLECTED "&amp;TEXT(SourceCollector[[#This Row],[Source Date]], "MM/DD/YYYY")</f>
        <v>W6 59591 COLLECTED 07/14/2020</v>
      </c>
      <c r="C5" s="17" t="str">
        <f>IF(Master[[#This Row],[Cooperator (Collector) 2 -full record]]="","",Master[[#This Row],[Cooperator (Collector) 2 -full record]])</f>
        <v/>
      </c>
      <c r="D5" s="2"/>
    </row>
    <row r="6" spans="1:4" x14ac:dyDescent="0.25">
      <c r="B6" s="7" t="str">
        <f>Master[[#This Row],[Accession Prefix (NPGS)]]&amp;" "&amp;Master[[#This Row],[Accession Number -Assigned]]&amp;" COLLECTED "&amp;TEXT(SourceCollector[[#This Row],[Source Date]], "MM/DD/YYYY")</f>
        <v>W6 59592 COLLECTED 07/29/2020</v>
      </c>
      <c r="C6" s="17" t="str">
        <f>IF(Master[[#This Row],[Cooperator (Collector) 2 -full record]]="","",Master[[#This Row],[Cooperator (Collector) 2 -full record]])</f>
        <v/>
      </c>
      <c r="D6" s="2"/>
    </row>
    <row r="7" spans="1:4" x14ac:dyDescent="0.25">
      <c r="B7" s="7" t="str">
        <f>Master[[#This Row],[Accession Prefix (NPGS)]]&amp;" "&amp;Master[[#This Row],[Accession Number -Assigned]]&amp;" COLLECTED "&amp;TEXT(SourceCollector[[#This Row],[Source Date]], "MM/DD/YYYY")</f>
        <v>W6 59593 COLLECTED 08/04/2020</v>
      </c>
      <c r="C7" s="17" t="str">
        <f>IF(Master[[#This Row],[Cooperator (Collector) 2 -full record]]="","",Master[[#This Row],[Cooperator (Collector) 2 -full record]])</f>
        <v/>
      </c>
      <c r="D7" s="2"/>
    </row>
    <row r="8" spans="1:4" x14ac:dyDescent="0.25">
      <c r="B8" s="7" t="str">
        <f>Master[[#This Row],[Accession Prefix (NPGS)]]&amp;" "&amp;Master[[#This Row],[Accession Number -Assigned]]&amp;" COLLECTED "&amp;TEXT(SourceCollector[[#This Row],[Source Date]], "MM/DD/YYYY")</f>
        <v>W6 59594 COLLECTED 08/10/2020</v>
      </c>
      <c r="C8" s="17" t="str">
        <f>IF(Master[[#This Row],[Cooperator (Collector) 2 -full record]]="","",Master[[#This Row],[Cooperator (Collector) 2 -full record]])</f>
        <v/>
      </c>
      <c r="D8" s="2"/>
    </row>
    <row r="9" spans="1:4" x14ac:dyDescent="0.25">
      <c r="B9" s="7" t="str">
        <f>Master[[#This Row],[Accession Prefix (NPGS)]]&amp;" "&amp;Master[[#This Row],[Accession Number -Assigned]]&amp;" COLLECTED "&amp;TEXT(SourceCollector[[#This Row],[Source Date]], "MM/DD/YYYY")</f>
        <v>W6 59595 COLLECTED 08/12/2020</v>
      </c>
      <c r="C9" s="17" t="str">
        <f>IF(Master[[#This Row],[Cooperator (Collector) 2 -full record]]="","",Master[[#This Row],[Cooperator (Collector) 2 -full record]])</f>
        <v/>
      </c>
      <c r="D9" s="2"/>
    </row>
    <row r="10" spans="1:4" x14ac:dyDescent="0.25">
      <c r="B10" s="7" t="str">
        <f>Master[[#This Row],[Accession Prefix (NPGS)]]&amp;" "&amp;Master[[#This Row],[Accession Number -Assigned]]&amp;" COLLECTED "&amp;TEXT(SourceCollector[[#This Row],[Source Date]], "MM/DD/YYYY")</f>
        <v>W6 59596 COLLECTED 08/13/2020</v>
      </c>
      <c r="C10" s="17" t="str">
        <f>IF(Master[[#This Row],[Cooperator (Collector) 2 -full record]]="","",Master[[#This Row],[Cooperator (Collector) 2 -full record]])</f>
        <v/>
      </c>
      <c r="D10" s="2"/>
    </row>
    <row r="11" spans="1:4" x14ac:dyDescent="0.25">
      <c r="B11" s="7" t="str">
        <f>Master[[#This Row],[Accession Prefix (NPGS)]]&amp;" "&amp;Master[[#This Row],[Accession Number -Assigned]]&amp;" COLLECTED "&amp;TEXT(SourceCollector[[#This Row],[Source Date]], "MM/DD/YYYY")</f>
        <v>W6 59597 COLLECTED 08/18/2020</v>
      </c>
      <c r="C11" s="17" t="str">
        <f>IF(Master[[#This Row],[Cooperator (Collector) 2 -full record]]="","",Master[[#This Row],[Cooperator (Collector) 2 -full record]])</f>
        <v/>
      </c>
      <c r="D11" s="2"/>
    </row>
    <row r="12" spans="1:4" x14ac:dyDescent="0.25">
      <c r="B12" s="7" t="str">
        <f>Master[[#This Row],[Accession Prefix (NPGS)]]&amp;" "&amp;Master[[#This Row],[Accession Number -Assigned]]&amp;" COLLECTED "&amp;TEXT(SourceCollector[[#This Row],[Source Date]], "MM/DD/YYYY")</f>
        <v>W6 59598 COLLECTED 08/18/2020</v>
      </c>
      <c r="C12" s="17" t="str">
        <f>IF(Master[[#This Row],[Cooperator (Collector) 2 -full record]]="","",Master[[#This Row],[Cooperator (Collector) 2 -full record]])</f>
        <v/>
      </c>
      <c r="D12" s="2"/>
    </row>
    <row r="13" spans="1:4" x14ac:dyDescent="0.25">
      <c r="B13" s="7" t="str">
        <f>Master[[#This Row],[Accession Prefix (NPGS)]]&amp;" "&amp;Master[[#This Row],[Accession Number -Assigned]]&amp;" COLLECTED "&amp;TEXT(SourceCollector[[#This Row],[Source Date]], "MM/DD/YYYY")</f>
        <v>W6 59599 COLLECTED 08/19/2020</v>
      </c>
      <c r="C13" s="17" t="str">
        <f>IF(Master[[#This Row],[Cooperator (Collector) 2 -full record]]="","",Master[[#This Row],[Cooperator (Collector) 2 -full record]])</f>
        <v/>
      </c>
      <c r="D13" s="2"/>
    </row>
    <row r="14" spans="1:4" x14ac:dyDescent="0.25">
      <c r="B14" s="7" t="str">
        <f>Master[[#This Row],[Accession Prefix (NPGS)]]&amp;" "&amp;Master[[#This Row],[Accession Number -Assigned]]&amp;" COLLECTED "&amp;TEXT(SourceCollector[[#This Row],[Source Date]], "MM/DD/YYYY")</f>
        <v>W6 59600 COLLECTED 08/20/2020</v>
      </c>
      <c r="C14" s="17" t="str">
        <f>IF(Master[[#This Row],[Cooperator (Collector) 2 -full record]]="","",Master[[#This Row],[Cooperator (Collector) 2 -full record]])</f>
        <v/>
      </c>
      <c r="D14" s="2"/>
    </row>
    <row r="15" spans="1:4" x14ac:dyDescent="0.25">
      <c r="B15" s="7" t="str">
        <f>Master[[#This Row],[Accession Prefix (NPGS)]]&amp;" "&amp;Master[[#This Row],[Accession Number -Assigned]]&amp;" COLLECTED "&amp;TEXT(SourceCollector[[#This Row],[Source Date]], "MM/DD/YYYY")</f>
        <v>W6 59601 COLLECTED 08/26/2020</v>
      </c>
      <c r="C15" s="17" t="str">
        <f>IF(Master[[#This Row],[Cooperator (Collector) 2 -full record]]="","",Master[[#This Row],[Cooperator (Collector) 2 -full record]])</f>
        <v/>
      </c>
      <c r="D15" s="2"/>
    </row>
    <row r="16" spans="1:4" x14ac:dyDescent="0.25">
      <c r="B16" s="7" t="str">
        <f>Master[[#This Row],[Accession Prefix (NPGS)]]&amp;" "&amp;Master[[#This Row],[Accession Number -Assigned]]&amp;" COLLECTED "&amp;TEXT(SourceCollector[[#This Row],[Source Date]], "MM/DD/YYYY")</f>
        <v>W6 59602 COLLECTED 08/27/2020</v>
      </c>
      <c r="C16" s="17" t="str">
        <f>IF(Master[[#This Row],[Cooperator (Collector) 2 -full record]]="","",Master[[#This Row],[Cooperator (Collector) 2 -full record]])</f>
        <v/>
      </c>
      <c r="D16" s="2"/>
    </row>
    <row r="17" spans="2:4" x14ac:dyDescent="0.25">
      <c r="B17" s="7" t="str">
        <f>Master[[#This Row],[Accession Prefix (NPGS)]]&amp;" "&amp;Master[[#This Row],[Accession Number -Assigned]]&amp;" COLLECTED "&amp;TEXT(SourceCollector[[#This Row],[Source Date]], "MM/DD/YYYY")</f>
        <v>W6 59603 COLLECTED 09/02/2020</v>
      </c>
      <c r="C17" s="17" t="str">
        <f>IF(Master[[#This Row],[Cooperator (Collector) 2 -full record]]="","",Master[[#This Row],[Cooperator (Collector) 2 -full record]])</f>
        <v/>
      </c>
      <c r="D17" s="2"/>
    </row>
    <row r="18" spans="2:4" x14ac:dyDescent="0.25">
      <c r="B18" s="7" t="str">
        <f>Master[[#This Row],[Accession Prefix (NPGS)]]&amp;" "&amp;Master[[#This Row],[Accession Number -Assigned]]&amp;" COLLECTED "&amp;TEXT(SourceCollector[[#This Row],[Source Date]], "MM/DD/YYYY")</f>
        <v>W6 59604 COLLECTED 09/03/2020</v>
      </c>
      <c r="C18" s="17" t="str">
        <f>IF(Master[[#This Row],[Cooperator (Collector) 2 -full record]]="","",Master[[#This Row],[Cooperator (Collector) 2 -full record]])</f>
        <v/>
      </c>
      <c r="D18" s="2"/>
    </row>
    <row r="19" spans="2:4" x14ac:dyDescent="0.25">
      <c r="B19" s="7" t="str">
        <f>Master[[#This Row],[Accession Prefix (NPGS)]]&amp;" "&amp;Master[[#This Row],[Accession Number -Assigned]]&amp;" COLLECTED "&amp;TEXT(SourceCollector[[#This Row],[Source Date]], "MM/DD/YYYY")</f>
        <v>W6 59605 COLLECTED 09/10/2020</v>
      </c>
      <c r="C19" s="17" t="str">
        <f>IF(Master[[#This Row],[Cooperator (Collector) 2 -full record]]="","",Master[[#This Row],[Cooperator (Collector) 2 -full record]])</f>
        <v/>
      </c>
      <c r="D19" s="2"/>
    </row>
    <row r="20" spans="2:4" x14ac:dyDescent="0.25">
      <c r="B20" s="7" t="str">
        <f>Master[[#This Row],[Accession Prefix (NPGS)]]&amp;" "&amp;Master[[#This Row],[Accession Number -Assigned]]&amp;" COLLECTED "&amp;TEXT(SourceCollector[[#This Row],[Source Date]], "MM/DD/YYYY")</f>
        <v>W6 59606 COLLECTED 09/15/2020</v>
      </c>
      <c r="C20" s="17" t="str">
        <f>IF(Master[[#This Row],[Cooperator (Collector) 2 -full record]]="","",Master[[#This Row],[Cooperator (Collector) 2 -full record]])</f>
        <v/>
      </c>
      <c r="D20" s="2"/>
    </row>
    <row r="21" spans="2:4" x14ac:dyDescent="0.25">
      <c r="B21" s="7" t="str">
        <f>Master[[#This Row],[Accession Prefix (NPGS)]]&amp;" "&amp;Master[[#This Row],[Accession Number -Assigned]]&amp;" COLLECTED "&amp;TEXT(SourceCollector[[#This Row],[Source Date]], "MM/DD/YYYY")</f>
        <v>W6 59607 COLLECTED 09/15/2020</v>
      </c>
      <c r="C21" s="17" t="str">
        <f>IF(Master[[#This Row],[Cooperator (Collector) 2 -full record]]="","",Master[[#This Row],[Cooperator (Collector) 2 -full record]])</f>
        <v/>
      </c>
      <c r="D21" s="2"/>
    </row>
    <row r="22" spans="2:4" x14ac:dyDescent="0.25">
      <c r="B22" s="7" t="str">
        <f>Master[[#This Row],[Accession Prefix (NPGS)]]&amp;" "&amp;Master[[#This Row],[Accession Number -Assigned]]&amp;" COLLECTED "&amp;TEXT(SourceCollector[[#This Row],[Source Date]], "MM/DD/YYYY")</f>
        <v>W6 59608 COLLECTED 09/16/2020</v>
      </c>
      <c r="C22" s="17" t="str">
        <f>IF(Master[[#This Row],[Cooperator (Collector) 2 -full record]]="","",Master[[#This Row],[Cooperator (Collector) 2 -full record]])</f>
        <v/>
      </c>
      <c r="D22" s="2"/>
    </row>
    <row r="23" spans="2:4" x14ac:dyDescent="0.25">
      <c r="B23" s="7" t="str">
        <f>Master[[#This Row],[Accession Prefix (NPGS)]]&amp;" "&amp;Master[[#This Row],[Accession Number -Assigned]]&amp;" COLLECTED "&amp;TEXT(SourceCollector[[#This Row],[Source Date]], "MM/DD/YYYY")</f>
        <v>W6 59609 COLLECTED 09/16/2020</v>
      </c>
      <c r="C23" s="17" t="str">
        <f>IF(Master[[#This Row],[Cooperator (Collector) 2 -full record]]="","",Master[[#This Row],[Cooperator (Collector) 2 -full record]])</f>
        <v/>
      </c>
      <c r="D23" s="2"/>
    </row>
    <row r="24" spans="2:4" x14ac:dyDescent="0.25">
      <c r="B24" s="7" t="str">
        <f>Master[[#This Row],[Accession Prefix (NPGS)]]&amp;" "&amp;Master[[#This Row],[Accession Number -Assigned]]&amp;" COLLECTED "&amp;TEXT(SourceCollector[[#This Row],[Source Date]], "MM/DD/YYYY")</f>
        <v>W6 59610 COLLECTED 09/17/2020</v>
      </c>
      <c r="C24" s="17" t="str">
        <f>IF(Master[[#This Row],[Cooperator (Collector) 2 -full record]]="","",Master[[#This Row],[Cooperator (Collector) 2 -full record]])</f>
        <v/>
      </c>
      <c r="D24" s="2"/>
    </row>
    <row r="25" spans="2:4" x14ac:dyDescent="0.25">
      <c r="B25" s="7" t="str">
        <f>Master[[#This Row],[Accession Prefix (NPGS)]]&amp;" "&amp;Master[[#This Row],[Accession Number -Assigned]]&amp;" COLLECTED "&amp;TEXT(SourceCollector[[#This Row],[Source Date]], "MM/DD/YYYY")</f>
        <v>W6 59611 COLLECTED 09/24/2020</v>
      </c>
      <c r="C25" s="17" t="str">
        <f>IF(Master[[#This Row],[Cooperator (Collector) 2 -full record]]="","",Master[[#This Row],[Cooperator (Collector) 2 -full record]])</f>
        <v/>
      </c>
      <c r="D25" s="2"/>
    </row>
    <row r="26" spans="2:4" x14ac:dyDescent="0.25">
      <c r="B26" s="7" t="str">
        <f>Master[[#This Row],[Accession Prefix (NPGS)]]&amp;" "&amp;Master[[#This Row],[Accession Number -Assigned]]&amp;" COLLECTED "&amp;TEXT(SourceCollector[[#This Row],[Source Date]], "MM/DD/YYYY")</f>
        <v>W6 59612 COLLECTED 09/24/2020</v>
      </c>
      <c r="C26" s="17" t="str">
        <f>IF(Master[[#This Row],[Cooperator (Collector) 2 -full record]]="","",Master[[#This Row],[Cooperator (Collector) 2 -full record]])</f>
        <v/>
      </c>
      <c r="D26" s="2"/>
    </row>
    <row r="27" spans="2:4" x14ac:dyDescent="0.25">
      <c r="B27" s="7" t="str">
        <f>Master[[#This Row],[Accession Prefix (NPGS)]]&amp;" "&amp;Master[[#This Row],[Accession Number -Assigned]]&amp;" COLLECTED "&amp;TEXT(SourceCollector[[#This Row],[Source Date]], "MM/DD/YYYY")</f>
        <v>W6 59613 COLLECTED 09/30/2020</v>
      </c>
      <c r="C27" s="17" t="str">
        <f>IF(Master[[#This Row],[Cooperator (Collector) 2 -full record]]="","",Master[[#This Row],[Cooperator (Collector) 2 -full record]])</f>
        <v/>
      </c>
      <c r="D27" s="2"/>
    </row>
    <row r="28" spans="2:4" x14ac:dyDescent="0.25">
      <c r="B28" s="7" t="str">
        <f>Master[[#This Row],[Accession Prefix (NPGS)]]&amp;" "&amp;Master[[#This Row],[Accession Number -Assigned]]&amp;" COLLECTED "&amp;TEXT(SourceCollector[[#This Row],[Source Date]], "MM/DD/YYYY")</f>
        <v>W6 59614 COLLECTED 09/30/2020</v>
      </c>
      <c r="C28" s="17" t="str">
        <f>IF(Master[[#This Row],[Cooperator (Collector) 2 -full record]]="","",Master[[#This Row],[Cooperator (Collector) 2 -full record]])</f>
        <v/>
      </c>
      <c r="D28" s="2"/>
    </row>
    <row r="29" spans="2:4" x14ac:dyDescent="0.25">
      <c r="B29" s="7" t="str">
        <f>Master[[#This Row],[Accession Prefix (NPGS)]]&amp;" "&amp;Master[[#This Row],[Accession Number -Assigned]]&amp;" COLLECTED "&amp;TEXT(SourceCollector[[#This Row],[Source Date]], "MM/DD/YYYY")</f>
        <v>W6 59615 COLLECTED 10/08/2020</v>
      </c>
      <c r="C29" s="17" t="str">
        <f>IF(Master[[#This Row],[Cooperator (Collector) 2 -full record]]="","",Master[[#This Row],[Cooperator (Collector) 2 -full record]])</f>
        <v/>
      </c>
      <c r="D29" s="2"/>
    </row>
    <row r="30" spans="2:4" x14ac:dyDescent="0.25">
      <c r="B30" s="7" t="str">
        <f>Master[[#This Row],[Accession Prefix (NPGS)]]&amp;" "&amp;Master[[#This Row],[Accession Number -Assigned]]&amp;" COLLECTED "&amp;TEXT(SourceCollector[[#This Row],[Source Date]], "MM/DD/YYYY")</f>
        <v>W6 59616 COLLECTED 10/22/2020</v>
      </c>
      <c r="C30" s="17" t="str">
        <f>IF(Master[[#This Row],[Cooperator (Collector) 2 -full record]]="","",Master[[#This Row],[Cooperator (Collector) 2 -full record]])</f>
        <v/>
      </c>
      <c r="D30" s="2"/>
    </row>
    <row r="31" spans="2:4" x14ac:dyDescent="0.25">
      <c r="B31" s="7" t="str">
        <f>Master[[#This Row],[Accession Prefix (NPGS)]]&amp;" "&amp;Master[[#This Row],[Accession Number -Assigned]]&amp;" COLLECTED "&amp;TEXT(SourceCollector[[#This Row],[Source Date]], "MM/DD/YYYY")</f>
        <v>W6 59617 COLLECTED 08/25/2020</v>
      </c>
      <c r="C31" s="17" t="str">
        <f>IF(Master[[#This Row],[Cooperator (Collector) 2 -full record]]="","",Master[[#This Row],[Cooperator (Collector) 2 -full record]])</f>
        <v/>
      </c>
      <c r="D31" s="2"/>
    </row>
    <row r="32" spans="2:4" x14ac:dyDescent="0.25">
      <c r="B32" s="7" t="str">
        <f>Master[[#This Row],[Accession Prefix (NPGS)]]&amp;" "&amp;Master[[#This Row],[Accession Number -Assigned]]&amp;" COLLECTED "&amp;TEXT(SourceCollector[[#This Row],[Source Date]], "MM/DD/YYYY")</f>
        <v>W6 59618 COLLECTED 09/02/2020</v>
      </c>
      <c r="C32" s="17" t="str">
        <f>IF(Master[[#This Row],[Cooperator (Collector) 2 -full record]]="","",Master[[#This Row],[Cooperator (Collector) 2 -full record]])</f>
        <v/>
      </c>
      <c r="D32" s="2"/>
    </row>
    <row r="33" spans="2:4" x14ac:dyDescent="0.25">
      <c r="B33" s="7" t="str">
        <f>Master[[#This Row],[Accession Prefix (NPGS)]]&amp;" "&amp;Master[[#This Row],[Accession Number -Assigned]]&amp;" COLLECTED "&amp;TEXT(SourceCollector[[#This Row],[Source Date]], "MM/DD/YYYY")</f>
        <v>W6 59619 COLLECTED 09/03/2020</v>
      </c>
      <c r="C33" s="17" t="str">
        <f>IF(Master[[#This Row],[Cooperator (Collector) 2 -full record]]="","",Master[[#This Row],[Cooperator (Collector) 2 -full record]])</f>
        <v/>
      </c>
      <c r="D33" s="2"/>
    </row>
    <row r="34" spans="2:4" x14ac:dyDescent="0.25">
      <c r="B34" s="7" t="str">
        <f>Master[[#This Row],[Accession Prefix (NPGS)]]&amp;" "&amp;Master[[#This Row],[Accession Number -Assigned]]&amp;" COLLECTED "&amp;TEXT(SourceCollector[[#This Row],[Source Date]], "MM/DD/YYYY")</f>
        <v>W6 59620 COLLECTED 09/10/2020</v>
      </c>
      <c r="C34" s="17" t="str">
        <f>IF(Master[[#This Row],[Cooperator (Collector) 2 -full record]]="","",Master[[#This Row],[Cooperator (Collector) 2 -full record]])</f>
        <v/>
      </c>
      <c r="D34" s="2"/>
    </row>
    <row r="35" spans="2:4" x14ac:dyDescent="0.25">
      <c r="B35" s="7" t="str">
        <f>Master[[#This Row],[Accession Prefix (NPGS)]]&amp;" "&amp;Master[[#This Row],[Accession Number -Assigned]]&amp;" COLLECTED "&amp;TEXT(SourceCollector[[#This Row],[Source Date]], "MM/DD/YYYY")</f>
        <v>W6 59621 COLLECTED 09/22/2020</v>
      </c>
      <c r="C35" s="17" t="str">
        <f>IF(Master[[#This Row],[Cooperator (Collector) 2 -full record]]="","",Master[[#This Row],[Cooperator (Collector) 2 -full record]])</f>
        <v/>
      </c>
      <c r="D35" s="2"/>
    </row>
    <row r="36" spans="2:4" x14ac:dyDescent="0.25">
      <c r="B36" s="7" t="str">
        <f>Master[[#This Row],[Accession Prefix (NPGS)]]&amp;" "&amp;Master[[#This Row],[Accession Number -Assigned]]&amp;" COLLECTED "&amp;TEXT(SourceCollector[[#This Row],[Source Date]], "MM/DD/YYYY")</f>
        <v>W6 59622 COLLECTED 09/22/2020</v>
      </c>
      <c r="C36" s="17" t="str">
        <f>IF(Master[[#This Row],[Cooperator (Collector) 2 -full record]]="","",Master[[#This Row],[Cooperator (Collector) 2 -full record]])</f>
        <v/>
      </c>
      <c r="D36" s="2"/>
    </row>
    <row r="37" spans="2:4" x14ac:dyDescent="0.25">
      <c r="B37" s="7" t="str">
        <f>Master[[#This Row],[Accession Prefix (NPGS)]]&amp;" "&amp;Master[[#This Row],[Accession Number -Assigned]]&amp;" COLLECTED "&amp;TEXT(SourceCollector[[#This Row],[Source Date]], "MM/DD/YYYY")</f>
        <v>W6 59623 COLLECTED 10/10/2020</v>
      </c>
      <c r="C37" s="17" t="str">
        <f>IF(Master[[#This Row],[Cooperator (Collector) 2 -full record]]="","",Master[[#This Row],[Cooperator (Collector) 2 -full record]])</f>
        <v/>
      </c>
      <c r="D37" s="2"/>
    </row>
    <row r="38" spans="2:4" x14ac:dyDescent="0.25">
      <c r="B38" s="7" t="str">
        <f>Master[[#This Row],[Accession Prefix (NPGS)]]&amp;" "&amp;Master[[#This Row],[Accession Number -Assigned]]&amp;" COLLECTED "&amp;TEXT(SourceCollector[[#This Row],[Source Date]], "MM/DD/YYYY")</f>
        <v>W6 59624 COLLECTED 10/10/2020</v>
      </c>
      <c r="C38" s="17" t="str">
        <f>IF(Master[[#This Row],[Cooperator (Collector) 2 -full record]]="","",Master[[#This Row],[Cooperator (Collector) 2 -full record]])</f>
        <v/>
      </c>
      <c r="D38" s="2"/>
    </row>
    <row r="39" spans="2:4" x14ac:dyDescent="0.25">
      <c r="B39" s="7" t="str">
        <f>Master[[#This Row],[Accession Prefix (NPGS)]]&amp;" "&amp;Master[[#This Row],[Accession Number -Assigned]]&amp;" COLLECTED "&amp;TEXT(SourceCollector[[#This Row],[Source Date]], "MM/DD/YYYY")</f>
        <v>W6 59625 COLLECTED 10/10/2020</v>
      </c>
      <c r="C39" s="17" t="str">
        <f>IF(Master[[#This Row],[Cooperator (Collector) 2 -full record]]="","",Master[[#This Row],[Cooperator (Collector) 2 -full record]])</f>
        <v/>
      </c>
      <c r="D39" s="2"/>
    </row>
    <row r="40" spans="2:4" x14ac:dyDescent="0.25">
      <c r="B40" s="7" t="str">
        <f>Master[[#This Row],[Accession Prefix (NPGS)]]&amp;" "&amp;Master[[#This Row],[Accession Number -Assigned]]&amp;" COLLECTED "&amp;TEXT(SourceCollector[[#This Row],[Source Date]], "MM/DD/YYYY")</f>
        <v>W6 59626 COLLECTED 10/14/2020</v>
      </c>
      <c r="C40" s="17" t="str">
        <f>IF(Master[[#This Row],[Cooperator (Collector) 2 -full record]]="","",Master[[#This Row],[Cooperator (Collector) 2 -full record]])</f>
        <v/>
      </c>
      <c r="D40" s="2"/>
    </row>
    <row r="41" spans="2:4" x14ac:dyDescent="0.25">
      <c r="B41" s="7" t="str">
        <f>Master[[#This Row],[Accession Prefix (NPGS)]]&amp;" "&amp;Master[[#This Row],[Accession Number -Assigned]]&amp;" COLLECTED "&amp;TEXT(SourceCollector[[#This Row],[Source Date]], "MM/DD/YYYY")</f>
        <v>W6 59627 COLLECTED 10/14/2020</v>
      </c>
      <c r="C41" s="17" t="str">
        <f>IF(Master[[#This Row],[Cooperator (Collector) 2 -full record]]="","",Master[[#This Row],[Cooperator (Collector) 2 -full record]])</f>
        <v/>
      </c>
      <c r="D41" s="2"/>
    </row>
    <row r="42" spans="2:4" x14ac:dyDescent="0.25">
      <c r="B42" s="7" t="str">
        <f>Master[[#This Row],[Accession Prefix (NPGS)]]&amp;" "&amp;Master[[#This Row],[Accession Number -Assigned]]&amp;" COLLECTED "&amp;TEXT(SourceCollector[[#This Row],[Source Date]], "MM/DD/YYYY")</f>
        <v>W6 59628 COLLECTED 10/14/2020</v>
      </c>
      <c r="C42" s="17" t="str">
        <f>IF(Master[[#This Row],[Cooperator (Collector) 2 -full record]]="","",Master[[#This Row],[Cooperator (Collector) 2 -full record]])</f>
        <v/>
      </c>
      <c r="D42" s="2"/>
    </row>
    <row r="43" spans="2:4" x14ac:dyDescent="0.25">
      <c r="B43" s="7" t="str">
        <f>Master[[#This Row],[Accession Prefix (NPGS)]]&amp;" "&amp;Master[[#This Row],[Accession Number -Assigned]]&amp;" COLLECTED "&amp;TEXT(SourceCollector[[#This Row],[Source Date]], "MM/DD/YYYY")</f>
        <v>W6 59629 COLLECTED 10/15/2020</v>
      </c>
      <c r="C43" s="17" t="str">
        <f>IF(Master[[#This Row],[Cooperator (Collector) 2 -full record]]="","",Master[[#This Row],[Cooperator (Collector) 2 -full record]])</f>
        <v/>
      </c>
      <c r="D43" s="2"/>
    </row>
    <row r="44" spans="2:4" x14ac:dyDescent="0.25">
      <c r="B44" s="7" t="str">
        <f>Master[[#This Row],[Accession Prefix (NPGS)]]&amp;" "&amp;Master[[#This Row],[Accession Number -Assigned]]&amp;" COLLECTED "&amp;TEXT(SourceCollector[[#This Row],[Source Date]], "MM/DD/YYYY")</f>
        <v>W6 59630 COLLECTED 10/15/2020</v>
      </c>
      <c r="C44" s="17" t="str">
        <f>IF(Master[[#This Row],[Cooperator (Collector) 2 -full record]]="","",Master[[#This Row],[Cooperator (Collector) 2 -full record]])</f>
        <v/>
      </c>
      <c r="D44" s="2"/>
    </row>
    <row r="45" spans="2:4" x14ac:dyDescent="0.25">
      <c r="B45" s="7" t="str">
        <f>Master[[#This Row],[Accession Prefix (NPGS)]]&amp;" "&amp;Master[[#This Row],[Accession Number -Assigned]]&amp;" COLLECTED "&amp;TEXT(SourceCollector[[#This Row],[Source Date]], "MM/DD/YYYY")</f>
        <v>W6 59631 COLLECTED 10/20/2020</v>
      </c>
      <c r="C45" s="17" t="str">
        <f>IF(Master[[#This Row],[Cooperator (Collector) 2 -full record]]="","",Master[[#This Row],[Cooperator (Collector) 2 -full record]])</f>
        <v/>
      </c>
      <c r="D45" s="2"/>
    </row>
    <row r="46" spans="2:4" x14ac:dyDescent="0.25">
      <c r="B46" s="7" t="str">
        <f>Master[[#This Row],[Accession Prefix (NPGS)]]&amp;" "&amp;Master[[#This Row],[Accession Number -Assigned]]&amp;" COLLECTED "&amp;TEXT(SourceCollector[[#This Row],[Source Date]], "MM/DD/YYYY")</f>
        <v>W6 59632 COLLECTED 10/27/2020</v>
      </c>
      <c r="C46" s="17" t="str">
        <f>IF(Master[[#This Row],[Cooperator (Collector) 2 -full record]]="","",Master[[#This Row],[Cooperator (Collector) 2 -full record]])</f>
        <v/>
      </c>
      <c r="D46" s="2"/>
    </row>
    <row r="47" spans="2:4" x14ac:dyDescent="0.25">
      <c r="B47" s="7" t="str">
        <f>Master[[#This Row],[Accession Prefix (NPGS)]]&amp;" "&amp;Master[[#This Row],[Accession Number -Assigned]]&amp;" COLLECTED "&amp;TEXT(SourceCollector[[#This Row],[Source Date]], "MM/DD/YYYY")</f>
        <v>W6 59633 COLLECTED 11/10/2020</v>
      </c>
      <c r="C47" s="17" t="str">
        <f>IF(Master[[#This Row],[Cooperator (Collector) 2 -full record]]="","",Master[[#This Row],[Cooperator (Collector) 2 -full record]])</f>
        <v/>
      </c>
      <c r="D47" s="2"/>
    </row>
    <row r="48" spans="2:4" x14ac:dyDescent="0.25">
      <c r="B48" s="7" t="str">
        <f>Master[[#This Row],[Accession Prefix (NPGS)]]&amp;" "&amp;Master[[#This Row],[Accession Number -Assigned]]&amp;" COLLECTED "&amp;TEXT(SourceCollector[[#This Row],[Source Date]], "MM/DD/YYYY")</f>
        <v>W6 59634 COLLECTED 11/10/2020</v>
      </c>
      <c r="C48" s="17" t="str">
        <f>IF(Master[[#This Row],[Cooperator (Collector) 2 -full record]]="","",Master[[#This Row],[Cooperator (Collector) 2 -full record]])</f>
        <v/>
      </c>
      <c r="D48" s="2"/>
    </row>
    <row r="49" spans="2:4" x14ac:dyDescent="0.25">
      <c r="B49" s="7" t="str">
        <f>Master[[#This Row],[Accession Prefix (NPGS)]]&amp;" "&amp;Master[[#This Row],[Accession Number -Assigned]]&amp;" COLLECTED "&amp;TEXT(SourceCollector[[#This Row],[Source Date]], "MM/DD/YYYY")</f>
        <v>W6 59635 COLLECTED 11/19/2020</v>
      </c>
      <c r="C49" s="17" t="str">
        <f>IF(Master[[#This Row],[Cooperator (Collector) 2 -full record]]="","",Master[[#This Row],[Cooperator (Collector) 2 -full record]])</f>
        <v/>
      </c>
      <c r="D49" s="2"/>
    </row>
    <row r="50" spans="2:4" x14ac:dyDescent="0.25">
      <c r="B50" s="7" t="str">
        <f>Master[[#This Row],[Accession Prefix (NPGS)]]&amp;" "&amp;Master[[#This Row],[Accession Number -Assigned]]&amp;" COLLECTED "&amp;TEXT(SourceCollector[[#This Row],[Source Date]], "MM/DD/YYYY")</f>
        <v>W6 59636 COLLECTED 11/23/2020</v>
      </c>
      <c r="C50" s="17" t="str">
        <f>IF(Master[[#This Row],[Cooperator (Collector) 2 -full record]]="","",Master[[#This Row],[Cooperator (Collector) 2 -full record]])</f>
        <v/>
      </c>
      <c r="D50" s="2"/>
    </row>
    <row r="51" spans="2:4" x14ac:dyDescent="0.25">
      <c r="B51" s="7" t="str">
        <f>Master[[#This Row],[Accession Prefix (NPGS)]]&amp;" "&amp;Master[[#This Row],[Accession Number -Assigned]]&amp;" COLLECTED "&amp;TEXT(SourceCollector[[#This Row],[Source Date]], "MM/DD/YYYY")</f>
        <v>W6 59637 COLLECTED 12/03/2020</v>
      </c>
      <c r="C51" s="17" t="str">
        <f>IF(Master[[#This Row],[Cooperator (Collector) 2 -full record]]="","",Master[[#This Row],[Cooperator (Collector) 2 -full record]])</f>
        <v/>
      </c>
      <c r="D51" s="2"/>
    </row>
    <row r="52" spans="2:4" x14ac:dyDescent="0.25">
      <c r="B52" s="7" t="str">
        <f>Master[[#This Row],[Accession Prefix (NPGS)]]&amp;" "&amp;Master[[#This Row],[Accession Number -Assigned]]&amp;" COLLECTED "&amp;TEXT(SourceCollector[[#This Row],[Source Date]], "MM/DD/YYYY")</f>
        <v>W6 59638 COLLECTED 12/03/2020</v>
      </c>
      <c r="C52" s="17" t="str">
        <f>IF(Master[[#This Row],[Cooperator (Collector) 2 -full record]]="","",Master[[#This Row],[Cooperator (Collector) 2 -full record]])</f>
        <v/>
      </c>
      <c r="D52" s="2"/>
    </row>
    <row r="53" spans="2:4" x14ac:dyDescent="0.25">
      <c r="B53" s="7" t="str">
        <f>Master[[#This Row],[Accession Prefix (NPGS)]]&amp;" "&amp;Master[[#This Row],[Accession Number -Assigned]]&amp;" COLLECTED "&amp;TEXT(SourceCollector[[#This Row],[Source Date]], "MM/DD/YYYY")</f>
        <v>W6 59639 COLLECTED 12/03/2020</v>
      </c>
      <c r="C53" s="17" t="str">
        <f>IF(Master[[#This Row],[Cooperator (Collector) 2 -full record]]="","",Master[[#This Row],[Cooperator (Collector) 2 -full record]])</f>
        <v/>
      </c>
      <c r="D53" s="2"/>
    </row>
    <row r="54" spans="2:4" x14ac:dyDescent="0.25">
      <c r="B54" s="7" t="str">
        <f>Master[[#This Row],[Accession Prefix (NPGS)]]&amp;" "&amp;Master[[#This Row],[Accession Number -Assigned]]&amp;" COLLECTED "&amp;TEXT(SourceCollector[[#This Row],[Source Date]], "MM/DD/YYYY")</f>
        <v>W6 59640 COLLECTED 12/15/2020</v>
      </c>
      <c r="C54" s="17" t="str">
        <f>IF(Master[[#This Row],[Cooperator (Collector) 2 -full record]]="","",Master[[#This Row],[Cooperator (Collector) 2 -full record]])</f>
        <v/>
      </c>
      <c r="D54" s="2"/>
    </row>
    <row r="55" spans="2:4" x14ac:dyDescent="0.25">
      <c r="B55" s="7" t="str">
        <f>Master[[#This Row],[Accession Prefix (NPGS)]]&amp;" "&amp;Master[[#This Row],[Accession Number -Assigned]]&amp;" COLLECTED "&amp;TEXT(SourceCollector[[#This Row],[Source Date]], "MM/DD/YYYY")</f>
        <v>W6 59641 COLLECTED 08/17/2020</v>
      </c>
      <c r="C55" s="17" t="str">
        <f>IF(Master[[#This Row],[Cooperator (Collector) 2 -full record]]="","",Master[[#This Row],[Cooperator (Collector) 2 -full record]])</f>
        <v/>
      </c>
      <c r="D55" s="2"/>
    </row>
    <row r="56" spans="2:4" x14ac:dyDescent="0.25">
      <c r="B56" s="7" t="str">
        <f>Master[[#This Row],[Accession Prefix (NPGS)]]&amp;" "&amp;Master[[#This Row],[Accession Number -Assigned]]&amp;" COLLECTED "&amp;TEXT(SourceCollector[[#This Row],[Source Date]], "MM/DD/YYYY")</f>
        <v>W6 59642 COLLECTED 08/25/2020</v>
      </c>
      <c r="C56" s="17" t="str">
        <f>IF(Master[[#This Row],[Cooperator (Collector) 2 -full record]]="","",Master[[#This Row],[Cooperator (Collector) 2 -full record]])</f>
        <v/>
      </c>
      <c r="D56" s="2"/>
    </row>
    <row r="57" spans="2:4" x14ac:dyDescent="0.25">
      <c r="B57" s="7" t="str">
        <f>Master[[#This Row],[Accession Prefix (NPGS)]]&amp;" "&amp;Master[[#This Row],[Accession Number -Assigned]]&amp;" COLLECTED "&amp;TEXT(SourceCollector[[#This Row],[Source Date]], "MM/DD/YYYY")</f>
        <v>W6 59643 COLLECTED 05/26/2020</v>
      </c>
      <c r="C57" s="17" t="str">
        <f>IF(Master[[#This Row],[Cooperator (Collector) 2 -full record]]="","",Master[[#This Row],[Cooperator (Collector) 2 -full record]])</f>
        <v/>
      </c>
      <c r="D57" s="2"/>
    </row>
    <row r="58" spans="2:4" x14ac:dyDescent="0.25">
      <c r="B58" s="7" t="str">
        <f>Master[[#This Row],[Accession Prefix (NPGS)]]&amp;" "&amp;Master[[#This Row],[Accession Number -Assigned]]&amp;" COLLECTED "&amp;TEXT(SourceCollector[[#This Row],[Source Date]], "MM/DD/YYYY")</f>
        <v>W6 59644 COLLECTED 05/27/2020</v>
      </c>
      <c r="C58" s="17" t="str">
        <f>IF(Master[[#This Row],[Cooperator (Collector) 2 -full record]]="","",Master[[#This Row],[Cooperator (Collector) 2 -full record]])</f>
        <v/>
      </c>
      <c r="D58" s="2"/>
    </row>
    <row r="59" spans="2:4" x14ac:dyDescent="0.25">
      <c r="B59" s="7" t="str">
        <f>Master[[#This Row],[Accession Prefix (NPGS)]]&amp;" "&amp;Master[[#This Row],[Accession Number -Assigned]]&amp;" COLLECTED "&amp;TEXT(SourceCollector[[#This Row],[Source Date]], "MM/DD/YYYY")</f>
        <v>W6 59645 COLLECTED 06/09/2020</v>
      </c>
      <c r="C59" s="17" t="str">
        <f>IF(Master[[#This Row],[Cooperator (Collector) 2 -full record]]="","",Master[[#This Row],[Cooperator (Collector) 2 -full record]])</f>
        <v/>
      </c>
      <c r="D59" s="2"/>
    </row>
    <row r="60" spans="2:4" x14ac:dyDescent="0.25">
      <c r="B60" s="7" t="str">
        <f>Master[[#This Row],[Accession Prefix (NPGS)]]&amp;" "&amp;Master[[#This Row],[Accession Number -Assigned]]&amp;" COLLECTED "&amp;TEXT(SourceCollector[[#This Row],[Source Date]], "MM/DD/YYYY")</f>
        <v>W6 59646 COLLECTED 06/24/2020</v>
      </c>
      <c r="C60" s="17" t="str">
        <f>IF(Master[[#This Row],[Cooperator (Collector) 2 -full record]]="","",Master[[#This Row],[Cooperator (Collector) 2 -full record]])</f>
        <v/>
      </c>
      <c r="D60" s="2"/>
    </row>
    <row r="61" spans="2:4" x14ac:dyDescent="0.25">
      <c r="B61" s="7" t="str">
        <f>Master[[#This Row],[Accession Prefix (NPGS)]]&amp;" "&amp;Master[[#This Row],[Accession Number -Assigned]]&amp;" COLLECTED "&amp;TEXT(SourceCollector[[#This Row],[Source Date]], "MM/DD/YYYY")</f>
        <v>W6 59647 COLLECTED 07/07/2020</v>
      </c>
      <c r="C61" s="17" t="str">
        <f>IF(Master[[#This Row],[Cooperator (Collector) 2 -full record]]="","",Master[[#This Row],[Cooperator (Collector) 2 -full record]])</f>
        <v/>
      </c>
      <c r="D61" s="2"/>
    </row>
    <row r="62" spans="2:4" x14ac:dyDescent="0.25">
      <c r="B62" s="7" t="str">
        <f>Master[[#This Row],[Accession Prefix (NPGS)]]&amp;" "&amp;Master[[#This Row],[Accession Number -Assigned]]&amp;" COLLECTED "&amp;TEXT(SourceCollector[[#This Row],[Source Date]], "MM/DD/YYYY")</f>
        <v>W6 59648 COLLECTED 07/09/2020</v>
      </c>
      <c r="C62" s="17" t="str">
        <f>IF(Master[[#This Row],[Cooperator (Collector) 2 -full record]]="","",Master[[#This Row],[Cooperator (Collector) 2 -full record]])</f>
        <v/>
      </c>
      <c r="D62" s="2"/>
    </row>
    <row r="63" spans="2:4" x14ac:dyDescent="0.25">
      <c r="B63" s="7" t="str">
        <f>Master[[#This Row],[Accession Prefix (NPGS)]]&amp;" "&amp;Master[[#This Row],[Accession Number -Assigned]]&amp;" COLLECTED "&amp;TEXT(SourceCollector[[#This Row],[Source Date]], "MM/DD/YYYY")</f>
        <v>W6 59649 COLLECTED 07/13/2020</v>
      </c>
      <c r="C63" s="17" t="str">
        <f>IF(Master[[#This Row],[Cooperator (Collector) 2 -full record]]="","",Master[[#This Row],[Cooperator (Collector) 2 -full record]])</f>
        <v/>
      </c>
      <c r="D63" s="2"/>
    </row>
    <row r="64" spans="2:4" x14ac:dyDescent="0.25">
      <c r="B64" s="7" t="str">
        <f>Master[[#This Row],[Accession Prefix (NPGS)]]&amp;" "&amp;Master[[#This Row],[Accession Number -Assigned]]&amp;" COLLECTED "&amp;TEXT(SourceCollector[[#This Row],[Source Date]], "MM/DD/YYYY")</f>
        <v>W6 59650 COLLECTED 08/10/2020</v>
      </c>
      <c r="C64" s="17" t="str">
        <f>IF(Master[[#This Row],[Cooperator (Collector) 2 -full record]]="","",Master[[#This Row],[Cooperator (Collector) 2 -full record]])</f>
        <v/>
      </c>
      <c r="D64" s="2"/>
    </row>
    <row r="65" spans="2:4" x14ac:dyDescent="0.25">
      <c r="B65" s="7" t="str">
        <f>Master[[#This Row],[Accession Prefix (NPGS)]]&amp;" "&amp;Master[[#This Row],[Accession Number -Assigned]]&amp;" COLLECTED "&amp;TEXT(SourceCollector[[#This Row],[Source Date]], "MM/DD/YYYY")</f>
        <v>W6 59651 COLLECTED 08/11/2020</v>
      </c>
      <c r="C65" s="17" t="str">
        <f>IF(Master[[#This Row],[Cooperator (Collector) 2 -full record]]="","",Master[[#This Row],[Cooperator (Collector) 2 -full record]])</f>
        <v/>
      </c>
      <c r="D65" s="2"/>
    </row>
    <row r="66" spans="2:4" x14ac:dyDescent="0.25">
      <c r="B66" s="7" t="str">
        <f>Master[[#This Row],[Accession Prefix (NPGS)]]&amp;" "&amp;Master[[#This Row],[Accession Number -Assigned]]&amp;" COLLECTED "&amp;TEXT(SourceCollector[[#This Row],[Source Date]], "MM/DD/YYYY")</f>
        <v>W6 59652 COLLECTED 08/11/2020</v>
      </c>
      <c r="C66" s="17" t="str">
        <f>IF(Master[[#This Row],[Cooperator (Collector) 2 -full record]]="","",Master[[#This Row],[Cooperator (Collector) 2 -full record]])</f>
        <v/>
      </c>
      <c r="D66" s="2"/>
    </row>
    <row r="67" spans="2:4" x14ac:dyDescent="0.25">
      <c r="B67" s="7" t="str">
        <f>Master[[#This Row],[Accession Prefix (NPGS)]]&amp;" "&amp;Master[[#This Row],[Accession Number -Assigned]]&amp;" COLLECTED "&amp;TEXT(SourceCollector[[#This Row],[Source Date]], "MM/DD/YYYY")</f>
        <v>W6 59653 COLLECTED 08/12/2020</v>
      </c>
      <c r="C67" s="17" t="str">
        <f>IF(Master[[#This Row],[Cooperator (Collector) 2 -full record]]="","",Master[[#This Row],[Cooperator (Collector) 2 -full record]])</f>
        <v/>
      </c>
      <c r="D67" s="2"/>
    </row>
    <row r="68" spans="2:4" x14ac:dyDescent="0.25">
      <c r="B68" s="7" t="str">
        <f>Master[[#This Row],[Accession Prefix (NPGS)]]&amp;" "&amp;Master[[#This Row],[Accession Number -Assigned]]&amp;" COLLECTED "&amp;TEXT(SourceCollector[[#This Row],[Source Date]], "MM/DD/YYYY")</f>
        <v>W6 59654 COLLECTED 08/12/2020</v>
      </c>
      <c r="C68" s="17" t="str">
        <f>IF(Master[[#This Row],[Cooperator (Collector) 2 -full record]]="","",Master[[#This Row],[Cooperator (Collector) 2 -full record]])</f>
        <v/>
      </c>
      <c r="D68" s="2"/>
    </row>
    <row r="69" spans="2:4" x14ac:dyDescent="0.25">
      <c r="B69" s="7" t="str">
        <f>Master[[#This Row],[Accession Prefix (NPGS)]]&amp;" "&amp;Master[[#This Row],[Accession Number -Assigned]]&amp;" COLLECTED "&amp;TEXT(SourceCollector[[#This Row],[Source Date]], "MM/DD/YYYY")</f>
        <v>W6 59655 COLLECTED 06/11/2020</v>
      </c>
      <c r="C69" s="17" t="str">
        <f>IF(Master[[#This Row],[Cooperator (Collector) 2 -full record]]="","",Master[[#This Row],[Cooperator (Collector) 2 -full record]])</f>
        <v/>
      </c>
      <c r="D69" s="2"/>
    </row>
    <row r="70" spans="2:4" x14ac:dyDescent="0.25">
      <c r="B70" s="7" t="str">
        <f>Master[[#This Row],[Accession Prefix (NPGS)]]&amp;" "&amp;Master[[#This Row],[Accession Number -Assigned]]&amp;" COLLECTED "&amp;TEXT(SourceCollector[[#This Row],[Source Date]], "MM/DD/YYYY")</f>
        <v>W6 59656 COLLECTED 06/15/2020</v>
      </c>
      <c r="C70" s="17" t="str">
        <f>IF(Master[[#This Row],[Cooperator (Collector) 2 -full record]]="","",Master[[#This Row],[Cooperator (Collector) 2 -full record]])</f>
        <v/>
      </c>
      <c r="D70" s="2"/>
    </row>
    <row r="71" spans="2:4" x14ac:dyDescent="0.25">
      <c r="B71" s="7" t="str">
        <f>Master[[#This Row],[Accession Prefix (NPGS)]]&amp;" "&amp;Master[[#This Row],[Accession Number -Assigned]]&amp;" COLLECTED "&amp;TEXT(SourceCollector[[#This Row],[Source Date]], "MM/DD/YYYY")</f>
        <v>W6 59657 COLLECTED 06/16/2020</v>
      </c>
      <c r="C71" s="17" t="str">
        <f>IF(Master[[#This Row],[Cooperator (Collector) 2 -full record]]="","",Master[[#This Row],[Cooperator (Collector) 2 -full record]])</f>
        <v/>
      </c>
      <c r="D71" s="2"/>
    </row>
    <row r="72" spans="2:4" x14ac:dyDescent="0.25">
      <c r="B72" s="7" t="str">
        <f>Master[[#This Row],[Accession Prefix (NPGS)]]&amp;" "&amp;Master[[#This Row],[Accession Number -Assigned]]&amp;" COLLECTED "&amp;TEXT(SourceCollector[[#This Row],[Source Date]], "MM/DD/YYYY")</f>
        <v>W6 59658 COLLECTED 06/16/2020</v>
      </c>
      <c r="C72" s="17" t="str">
        <f>IF(Master[[#This Row],[Cooperator (Collector) 2 -full record]]="","",Master[[#This Row],[Cooperator (Collector) 2 -full record]])</f>
        <v/>
      </c>
      <c r="D72" s="2"/>
    </row>
    <row r="73" spans="2:4" x14ac:dyDescent="0.25">
      <c r="B73" s="7" t="str">
        <f>Master[[#This Row],[Accession Prefix (NPGS)]]&amp;" "&amp;Master[[#This Row],[Accession Number -Assigned]]&amp;" COLLECTED "&amp;TEXT(SourceCollector[[#This Row],[Source Date]], "MM/DD/YYYY")</f>
        <v>W6 59659 COLLECTED 06/17/2020</v>
      </c>
      <c r="C73" s="17" t="str">
        <f>IF(Master[[#This Row],[Cooperator (Collector) 2 -full record]]="","",Master[[#This Row],[Cooperator (Collector) 2 -full record]])</f>
        <v/>
      </c>
      <c r="D73" s="2"/>
    </row>
    <row r="74" spans="2:4" x14ac:dyDescent="0.25">
      <c r="B74" s="7" t="str">
        <f>Master[[#This Row],[Accession Prefix (NPGS)]]&amp;" "&amp;Master[[#This Row],[Accession Number -Assigned]]&amp;" COLLECTED "&amp;TEXT(SourceCollector[[#This Row],[Source Date]], "MM/DD/YYYY")</f>
        <v>W6 59660 COLLECTED 06/24/2020</v>
      </c>
      <c r="C74" s="17" t="str">
        <f>IF(Master[[#This Row],[Cooperator (Collector) 2 -full record]]="","",Master[[#This Row],[Cooperator (Collector) 2 -full record]])</f>
        <v/>
      </c>
      <c r="D74" s="2"/>
    </row>
    <row r="75" spans="2:4" x14ac:dyDescent="0.25">
      <c r="B75" s="7" t="str">
        <f>Master[[#This Row],[Accession Prefix (NPGS)]]&amp;" "&amp;Master[[#This Row],[Accession Number -Assigned]]&amp;" COLLECTED "&amp;TEXT(SourceCollector[[#This Row],[Source Date]], "MM/DD/YYYY")</f>
        <v>W6 59661 COLLECTED 06/24/2020</v>
      </c>
      <c r="C75" s="17" t="str">
        <f>IF(Master[[#This Row],[Cooperator (Collector) 2 -full record]]="","",Master[[#This Row],[Cooperator (Collector) 2 -full record]])</f>
        <v/>
      </c>
      <c r="D75" s="2"/>
    </row>
    <row r="76" spans="2:4" x14ac:dyDescent="0.25">
      <c r="B76" s="7" t="str">
        <f>Master[[#This Row],[Accession Prefix (NPGS)]]&amp;" "&amp;Master[[#This Row],[Accession Number -Assigned]]&amp;" COLLECTED "&amp;TEXT(SourceCollector[[#This Row],[Source Date]], "MM/DD/YYYY")</f>
        <v>W6 59662 COLLECTED 07/01/2020</v>
      </c>
      <c r="C76" s="17" t="str">
        <f>IF(Master[[#This Row],[Cooperator (Collector) 2 -full record]]="","",Master[[#This Row],[Cooperator (Collector) 2 -full record]])</f>
        <v/>
      </c>
      <c r="D76" s="2"/>
    </row>
    <row r="77" spans="2:4" x14ac:dyDescent="0.25">
      <c r="B77" s="7" t="str">
        <f>Master[[#This Row],[Accession Prefix (NPGS)]]&amp;" "&amp;Master[[#This Row],[Accession Number -Assigned]]&amp;" COLLECTED "&amp;TEXT(SourceCollector[[#This Row],[Source Date]], "MM/DD/YYYY")</f>
        <v>W6 59663 COLLECTED 06/25/2020</v>
      </c>
      <c r="C77" s="17" t="str">
        <f>IF(Master[[#This Row],[Cooperator (Collector) 2 -full record]]="","",Master[[#This Row],[Cooperator (Collector) 2 -full record]])</f>
        <v/>
      </c>
      <c r="D77" s="2"/>
    </row>
    <row r="78" spans="2:4" x14ac:dyDescent="0.25">
      <c r="B78" s="7" t="str">
        <f>Master[[#This Row],[Accession Prefix (NPGS)]]&amp;" "&amp;Master[[#This Row],[Accession Number -Assigned]]&amp;" COLLECTED "&amp;TEXT(SourceCollector[[#This Row],[Source Date]], "MM/DD/YYYY")</f>
        <v>W6 59664 COLLECTED 08/11/2020</v>
      </c>
      <c r="C78" s="17" t="str">
        <f>IF(Master[[#This Row],[Cooperator (Collector) 2 -full record]]="","",Master[[#This Row],[Cooperator (Collector) 2 -full record]])</f>
        <v/>
      </c>
      <c r="D78" s="2"/>
    </row>
    <row r="79" spans="2:4" x14ac:dyDescent="0.25">
      <c r="B79" s="7" t="str">
        <f>Master[[#This Row],[Accession Prefix (NPGS)]]&amp;" "&amp;Master[[#This Row],[Accession Number -Assigned]]&amp;" COLLECTED "&amp;TEXT(SourceCollector[[#This Row],[Source Date]], "MM/DD/YYYY")</f>
        <v>W6 59665 COLLECTED 07/01/2020</v>
      </c>
      <c r="C79" s="17" t="str">
        <f>IF(Master[[#This Row],[Cooperator (Collector) 2 -full record]]="","",Master[[#This Row],[Cooperator (Collector) 2 -full record]])</f>
        <v/>
      </c>
      <c r="D79" s="2"/>
    </row>
    <row r="80" spans="2:4" x14ac:dyDescent="0.25">
      <c r="B80" s="7" t="str">
        <f>Master[[#This Row],[Accession Prefix (NPGS)]]&amp;" "&amp;Master[[#This Row],[Accession Number -Assigned]]&amp;" COLLECTED "&amp;TEXT(SourceCollector[[#This Row],[Source Date]], "MM/DD/YYYY")</f>
        <v>W6 59666 COLLECTED 06/29/2020</v>
      </c>
      <c r="C80" s="17" t="str">
        <f>IF(Master[[#This Row],[Cooperator (Collector) 2 -full record]]="","",Master[[#This Row],[Cooperator (Collector) 2 -full record]])</f>
        <v/>
      </c>
      <c r="D80" s="2"/>
    </row>
    <row r="81" spans="2:4" x14ac:dyDescent="0.25">
      <c r="B81" s="7" t="str">
        <f>Master[[#This Row],[Accession Prefix (NPGS)]]&amp;" "&amp;Master[[#This Row],[Accession Number -Assigned]]&amp;" COLLECTED "&amp;TEXT(SourceCollector[[#This Row],[Source Date]], "MM/DD/YYYY")</f>
        <v>W6 59667 COLLECTED 06/29/2020</v>
      </c>
      <c r="C81" s="17" t="str">
        <f>IF(Master[[#This Row],[Cooperator (Collector) 2 -full record]]="","",Master[[#This Row],[Cooperator (Collector) 2 -full record]])</f>
        <v/>
      </c>
      <c r="D81" s="2"/>
    </row>
    <row r="82" spans="2:4" x14ac:dyDescent="0.25">
      <c r="B82" s="7" t="str">
        <f>Master[[#This Row],[Accession Prefix (NPGS)]]&amp;" "&amp;Master[[#This Row],[Accession Number -Assigned]]&amp;" COLLECTED "&amp;TEXT(SourceCollector[[#This Row],[Source Date]], "MM/DD/YYYY")</f>
        <v>W6 59668 COLLECTED 07/07/2020</v>
      </c>
      <c r="C82" s="17" t="str">
        <f>IF(Master[[#This Row],[Cooperator (Collector) 2 -full record]]="","",Master[[#This Row],[Cooperator (Collector) 2 -full record]])</f>
        <v/>
      </c>
      <c r="D82" s="2"/>
    </row>
    <row r="83" spans="2:4" x14ac:dyDescent="0.25">
      <c r="B83" s="7" t="str">
        <f>Master[[#This Row],[Accession Prefix (NPGS)]]&amp;" "&amp;Master[[#This Row],[Accession Number -Assigned]]&amp;" COLLECTED "&amp;TEXT(SourceCollector[[#This Row],[Source Date]], "MM/DD/YYYY")</f>
        <v>W6 59669 COLLECTED 08/10/2020</v>
      </c>
      <c r="C83" s="17" t="str">
        <f>IF(Master[[#This Row],[Cooperator (Collector) 2 -full record]]="","",Master[[#This Row],[Cooperator (Collector) 2 -full record]])</f>
        <v/>
      </c>
      <c r="D83" s="2"/>
    </row>
    <row r="84" spans="2:4" x14ac:dyDescent="0.25">
      <c r="B84" s="7" t="str">
        <f>Master[[#This Row],[Accession Prefix (NPGS)]]&amp;" "&amp;Master[[#This Row],[Accession Number -Assigned]]&amp;" COLLECTED "&amp;TEXT(SourceCollector[[#This Row],[Source Date]], "MM/DD/YYYY")</f>
        <v>W6 59670 COLLECTED 08/11/2020</v>
      </c>
      <c r="C84" s="17" t="str">
        <f>IF(Master[[#This Row],[Cooperator (Collector) 2 -full record]]="","",Master[[#This Row],[Cooperator (Collector) 2 -full record]])</f>
        <v/>
      </c>
      <c r="D84" s="2"/>
    </row>
    <row r="85" spans="2:4" x14ac:dyDescent="0.25">
      <c r="B85" s="7" t="str">
        <f>Master[[#This Row],[Accession Prefix (NPGS)]]&amp;" "&amp;Master[[#This Row],[Accession Number -Assigned]]&amp;" COLLECTED "&amp;TEXT(SourceCollector[[#This Row],[Source Date]], "MM/DD/YYYY")</f>
        <v>W6 59671 COLLECTED 08/17/2020</v>
      </c>
      <c r="C85" s="17" t="str">
        <f>IF(Master[[#This Row],[Cooperator (Collector) 2 -full record]]="","",Master[[#This Row],[Cooperator (Collector) 2 -full record]])</f>
        <v/>
      </c>
      <c r="D85" s="2"/>
    </row>
    <row r="86" spans="2:4" x14ac:dyDescent="0.25">
      <c r="B86" s="7" t="str">
        <f>Master[[#This Row],[Accession Prefix (NPGS)]]&amp;" "&amp;Master[[#This Row],[Accession Number -Assigned]]&amp;" COLLECTED "&amp;TEXT(SourceCollector[[#This Row],[Source Date]], "MM/DD/YYYY")</f>
        <v>W6 59672 COLLECTED 07/16/2020</v>
      </c>
      <c r="C86" s="17" t="str">
        <f>IF(Master[[#This Row],[Cooperator (Collector) 2 -full record]]="","",Master[[#This Row],[Cooperator (Collector) 2 -full record]])</f>
        <v/>
      </c>
      <c r="D86" s="2"/>
    </row>
    <row r="87" spans="2:4" x14ac:dyDescent="0.25">
      <c r="B87" s="7" t="str">
        <f>Master[[#This Row],[Accession Prefix (NPGS)]]&amp;" "&amp;Master[[#This Row],[Accession Number -Assigned]]&amp;" COLLECTED "&amp;TEXT(SourceCollector[[#This Row],[Source Date]], "MM/DD/YYYY")</f>
        <v>W6 59673 COLLECTED 07/16/2020</v>
      </c>
      <c r="C87" s="17" t="str">
        <f>IF(Master[[#This Row],[Cooperator (Collector) 2 -full record]]="","",Master[[#This Row],[Cooperator (Collector) 2 -full record]])</f>
        <v/>
      </c>
      <c r="D87" s="2"/>
    </row>
    <row r="88" spans="2:4" x14ac:dyDescent="0.25">
      <c r="B88" s="7" t="str">
        <f>Master[[#This Row],[Accession Prefix (NPGS)]]&amp;" "&amp;Master[[#This Row],[Accession Number -Assigned]]&amp;" COLLECTED "&amp;TEXT(SourceCollector[[#This Row],[Source Date]], "MM/DD/YYYY")</f>
        <v>W6 59674 COLLECTED 07/16/2020</v>
      </c>
      <c r="C88" s="17" t="str">
        <f>IF(Master[[#This Row],[Cooperator (Collector) 2 -full record]]="","",Master[[#This Row],[Cooperator (Collector) 2 -full record]])</f>
        <v/>
      </c>
      <c r="D88" s="2"/>
    </row>
    <row r="89" spans="2:4" x14ac:dyDescent="0.25">
      <c r="B89" s="7" t="str">
        <f>Master[[#This Row],[Accession Prefix (NPGS)]]&amp;" "&amp;Master[[#This Row],[Accession Number -Assigned]]&amp;" COLLECTED "&amp;TEXT(SourceCollector[[#This Row],[Source Date]], "MM/DD/YYYY")</f>
        <v>W6 59675 COLLECTED 08/26/2020</v>
      </c>
      <c r="C89" s="17" t="str">
        <f>IF(Master[[#This Row],[Cooperator (Collector) 2 -full record]]="","",Master[[#This Row],[Cooperator (Collector) 2 -full record]])</f>
        <v/>
      </c>
      <c r="D89" s="2"/>
    </row>
    <row r="90" spans="2:4" x14ac:dyDescent="0.25">
      <c r="B90" s="7" t="str">
        <f>Master[[#This Row],[Accession Prefix (NPGS)]]&amp;" "&amp;Master[[#This Row],[Accession Number -Assigned]]&amp;" COLLECTED "&amp;TEXT(SourceCollector[[#This Row],[Source Date]], "MM/DD/YYYY")</f>
        <v>W6 59676 COLLECTED 08/20/2020</v>
      </c>
      <c r="C90" s="17" t="str">
        <f>IF(Master[[#This Row],[Cooperator (Collector) 2 -full record]]="","",Master[[#This Row],[Cooperator (Collector) 2 -full record]])</f>
        <v/>
      </c>
      <c r="D90" s="2"/>
    </row>
    <row r="91" spans="2:4" x14ac:dyDescent="0.25">
      <c r="B91" s="7" t="str">
        <f>Master[[#This Row],[Accession Prefix (NPGS)]]&amp;" "&amp;Master[[#This Row],[Accession Number -Assigned]]&amp;" COLLECTED "&amp;TEXT(SourceCollector[[#This Row],[Source Date]], "MM/DD/YYYY")</f>
        <v>W6 59677 COLLECTED 08/20/2020</v>
      </c>
      <c r="C91" s="17" t="str">
        <f>IF(Master[[#This Row],[Cooperator (Collector) 2 -full record]]="","",Master[[#This Row],[Cooperator (Collector) 2 -full record]])</f>
        <v/>
      </c>
      <c r="D91" s="2"/>
    </row>
    <row r="92" spans="2:4" x14ac:dyDescent="0.25">
      <c r="B92" s="7" t="str">
        <f>Master[[#This Row],[Accession Prefix (NPGS)]]&amp;" "&amp;Master[[#This Row],[Accession Number -Assigned]]&amp;" COLLECTED "&amp;TEXT(SourceCollector[[#This Row],[Source Date]], "MM/DD/YYYY")</f>
        <v>W6 59678 COLLECTED 10/01/2020</v>
      </c>
      <c r="C92" s="17" t="str">
        <f>IF(Master[[#This Row],[Cooperator (Collector) 2 -full record]]="","",Master[[#This Row],[Cooperator (Collector) 2 -full record]])</f>
        <v/>
      </c>
      <c r="D92" s="2"/>
    </row>
    <row r="93" spans="2:4" x14ac:dyDescent="0.25">
      <c r="B93" s="7" t="str">
        <f>Master[[#This Row],[Accession Prefix (NPGS)]]&amp;" "&amp;Master[[#This Row],[Accession Number -Assigned]]&amp;" COLLECTED "&amp;TEXT(SourceCollector[[#This Row],[Source Date]], "MM/DD/YYYY")</f>
        <v>W6 59679 COLLECTED 09/30/2020</v>
      </c>
      <c r="C93" s="17" t="str">
        <f>IF(Master[[#This Row],[Cooperator (Collector) 2 -full record]]="","",Master[[#This Row],[Cooperator (Collector) 2 -full record]])</f>
        <v/>
      </c>
      <c r="D93" s="2"/>
    </row>
    <row r="94" spans="2:4" x14ac:dyDescent="0.25">
      <c r="B94" s="7" t="str">
        <f>Master[[#This Row],[Accession Prefix (NPGS)]]&amp;" "&amp;Master[[#This Row],[Accession Number -Assigned]]&amp;" COLLECTED "&amp;TEXT(SourceCollector[[#This Row],[Source Date]], "MM/DD/YYYY")</f>
        <v>W6 59680 COLLECTED 10/01/2020</v>
      </c>
      <c r="C94" s="17" t="str">
        <f>IF(Master[[#This Row],[Cooperator (Collector) 2 -full record]]="","",Master[[#This Row],[Cooperator (Collector) 2 -full record]])</f>
        <v/>
      </c>
      <c r="D94" s="2"/>
    </row>
    <row r="95" spans="2:4" x14ac:dyDescent="0.25">
      <c r="B95" s="7" t="str">
        <f>Master[[#This Row],[Accession Prefix (NPGS)]]&amp;" "&amp;Master[[#This Row],[Accession Number -Assigned]]&amp;" COLLECTED "&amp;TEXT(SourceCollector[[#This Row],[Source Date]], "MM/DD/YYYY")</f>
        <v>W6 59681 COLLECTED 08/15/2020</v>
      </c>
      <c r="C95" s="17" t="str">
        <f>IF(Master[[#This Row],[Cooperator (Collector) 2 -full record]]="","",Master[[#This Row],[Cooperator (Collector) 2 -full record]])</f>
        <v/>
      </c>
      <c r="D95" s="2"/>
    </row>
    <row r="96" spans="2:4" x14ac:dyDescent="0.25">
      <c r="B96" s="7" t="str">
        <f>Master[[#This Row],[Accession Prefix (NPGS)]]&amp;" "&amp;Master[[#This Row],[Accession Number -Assigned]]&amp;" COLLECTED "&amp;TEXT(SourceCollector[[#This Row],[Source Date]], "MM/DD/YYYY")</f>
        <v>W6 59682 COLLECTED 09/30/2020</v>
      </c>
      <c r="C96" s="17" t="str">
        <f>IF(Master[[#This Row],[Cooperator (Collector) 2 -full record]]="","",Master[[#This Row],[Cooperator (Collector) 2 -full record]])</f>
        <v/>
      </c>
      <c r="D96" s="2"/>
    </row>
    <row r="97" spans="2:3" x14ac:dyDescent="0.25">
      <c r="B97" s="7" t="str">
        <f>Master[[#This Row],[Accession Prefix (NPGS)]]&amp;" "&amp;Master[[#This Row],[Accession Number -Assigned]]&amp;" COLLECTED "&amp;TEXT(SourceCollector[[#This Row],[Source Date]], "MM/DD/YYYY")</f>
        <v>W6 59683 COLLECTED 07/08/2020</v>
      </c>
      <c r="C97" s="17" t="str">
        <f>IF(Master[[#This Row],[Cooperator (Collector) 2 -full record]]="","",Master[[#This Row],[Cooperator (Collector) 2 -full record]])</f>
        <v/>
      </c>
    </row>
    <row r="98" spans="2:3" x14ac:dyDescent="0.25">
      <c r="B98" s="7" t="str">
        <f>Master[[#This Row],[Accession Prefix (NPGS)]]&amp;" "&amp;Master[[#This Row],[Accession Number -Assigned]]&amp;" COLLECTED "&amp;TEXT(SourceCollector[[#This Row],[Source Date]], "MM/DD/YYYY")</f>
        <v>W6 59684 COLLECTED 06/15/2020</v>
      </c>
      <c r="C98" s="17" t="str">
        <f>IF(Master[[#This Row],[Cooperator (Collector) 2 -full record]]="","",Master[[#This Row],[Cooperator (Collector) 2 -full record]])</f>
        <v/>
      </c>
    </row>
    <row r="99" spans="2:3" x14ac:dyDescent="0.25">
      <c r="B99" s="7" t="str">
        <f>Master[[#This Row],[Accession Prefix (NPGS)]]&amp;" "&amp;Master[[#This Row],[Accession Number -Assigned]]&amp;" COLLECTED "&amp;TEXT(SourceCollector[[#This Row],[Source Date]], "MM/DD/YYYY")</f>
        <v>W6 59685 COLLECTED 06/16/2020</v>
      </c>
      <c r="C99" s="17" t="str">
        <f>IF(Master[[#This Row],[Cooperator (Collector) 2 -full record]]="","",Master[[#This Row],[Cooperator (Collector) 2 -full record]])</f>
        <v/>
      </c>
    </row>
    <row r="100" spans="2:3" x14ac:dyDescent="0.25">
      <c r="B100" s="7" t="str">
        <f>Master[[#This Row],[Accession Prefix (NPGS)]]&amp;" "&amp;Master[[#This Row],[Accession Number -Assigned]]&amp;" COLLECTED "&amp;TEXT(SourceCollector[[#This Row],[Source Date]], "MM/DD/YYYY")</f>
        <v>W6 59686 COLLECTED 06/17/2020</v>
      </c>
      <c r="C100" s="17" t="str">
        <f>IF(Master[[#This Row],[Cooperator (Collector) 2 -full record]]="","",Master[[#This Row],[Cooperator (Collector) 2 -full record]])</f>
        <v/>
      </c>
    </row>
    <row r="101" spans="2:3" x14ac:dyDescent="0.25">
      <c r="B101" s="7" t="str">
        <f>Master[[#This Row],[Accession Prefix (NPGS)]]&amp;" "&amp;Master[[#This Row],[Accession Number -Assigned]]&amp;" COLLECTED "&amp;TEXT(SourceCollector[[#This Row],[Source Date]], "MM/DD/YYYY")</f>
        <v>W6 59687 COLLECTED 06/23/2020</v>
      </c>
      <c r="C101" s="17" t="str">
        <f>IF(Master[[#This Row],[Cooperator (Collector) 2 -full record]]="","",Master[[#This Row],[Cooperator (Collector) 2 -full record]])</f>
        <v/>
      </c>
    </row>
    <row r="102" spans="2:3" x14ac:dyDescent="0.25">
      <c r="B102" s="7" t="str">
        <f>Master[[#This Row],[Accession Prefix (NPGS)]]&amp;" "&amp;Master[[#This Row],[Accession Number -Assigned]]&amp;" COLLECTED "&amp;TEXT(SourceCollector[[#This Row],[Source Date]], "MM/DD/YYYY")</f>
        <v>W6 59688 COLLECTED 06/25/2020</v>
      </c>
      <c r="C102" s="17" t="str">
        <f>IF(Master[[#This Row],[Cooperator (Collector) 2 -full record]]="","",Master[[#This Row],[Cooperator (Collector) 2 -full record]])</f>
        <v/>
      </c>
    </row>
    <row r="103" spans="2:3" x14ac:dyDescent="0.25">
      <c r="B103" s="7" t="str">
        <f>Master[[#This Row],[Accession Prefix (NPGS)]]&amp;" "&amp;Master[[#This Row],[Accession Number -Assigned]]&amp;" COLLECTED "&amp;TEXT(SourceCollector[[#This Row],[Source Date]], "MM/DD/YYYY")</f>
        <v>W6 59689 COLLECTED 06/30/2020</v>
      </c>
      <c r="C103" s="17" t="str">
        <f>IF(Master[[#This Row],[Cooperator (Collector) 2 -full record]]="","",Master[[#This Row],[Cooperator (Collector) 2 -full record]])</f>
        <v/>
      </c>
    </row>
    <row r="104" spans="2:3" x14ac:dyDescent="0.25">
      <c r="B104" s="7" t="str">
        <f>Master[[#This Row],[Accession Prefix (NPGS)]]&amp;" "&amp;Master[[#This Row],[Accession Number -Assigned]]&amp;" COLLECTED "&amp;TEXT(SourceCollector[[#This Row],[Source Date]], "MM/DD/YYYY")</f>
        <v>W6 59690 COLLECTED 06/30/2020</v>
      </c>
      <c r="C104" s="17" t="str">
        <f>IF(Master[[#This Row],[Cooperator (Collector) 2 -full record]]="","",Master[[#This Row],[Cooperator (Collector) 2 -full record]])</f>
        <v/>
      </c>
    </row>
    <row r="105" spans="2:3" x14ac:dyDescent="0.25">
      <c r="B105" s="7" t="str">
        <f>Master[[#This Row],[Accession Prefix (NPGS)]]&amp;" "&amp;Master[[#This Row],[Accession Number -Assigned]]&amp;" COLLECTED "&amp;TEXT(SourceCollector[[#This Row],[Source Date]], "MM/DD/YYYY")</f>
        <v>W6 59691 COLLECTED 07/07/2020</v>
      </c>
      <c r="C105" s="17" t="str">
        <f>IF(Master[[#This Row],[Cooperator (Collector) 2 -full record]]="","",Master[[#This Row],[Cooperator (Collector) 2 -full record]])</f>
        <v/>
      </c>
    </row>
    <row r="106" spans="2:3" x14ac:dyDescent="0.25">
      <c r="B106" s="7" t="str">
        <f>Master[[#This Row],[Accession Prefix (NPGS)]]&amp;" "&amp;Master[[#This Row],[Accession Number -Assigned]]&amp;" COLLECTED "&amp;TEXT(SourceCollector[[#This Row],[Source Date]], "MM/DD/YYYY")</f>
        <v>W6 59692 COLLECTED 07/08/2020</v>
      </c>
      <c r="C106" s="17" t="str">
        <f>IF(Master[[#This Row],[Cooperator (Collector) 2 -full record]]="","",Master[[#This Row],[Cooperator (Collector) 2 -full record]])</f>
        <v/>
      </c>
    </row>
    <row r="107" spans="2:3" x14ac:dyDescent="0.25">
      <c r="B107" s="7" t="str">
        <f>Master[[#This Row],[Accession Prefix (NPGS)]]&amp;" "&amp;Master[[#This Row],[Accession Number -Assigned]]&amp;" COLLECTED "&amp;TEXT(SourceCollector[[#This Row],[Source Date]], "MM/DD/YYYY")</f>
        <v>W6 59693 COLLECTED 07/09/2020</v>
      </c>
      <c r="C107" s="17" t="str">
        <f>IF(Master[[#This Row],[Cooperator (Collector) 2 -full record]]="","",Master[[#This Row],[Cooperator (Collector) 2 -full record]])</f>
        <v/>
      </c>
    </row>
    <row r="108" spans="2:3" x14ac:dyDescent="0.25">
      <c r="B108" s="7" t="str">
        <f>Master[[#This Row],[Accession Prefix (NPGS)]]&amp;" "&amp;Master[[#This Row],[Accession Number -Assigned]]&amp;" COLLECTED "&amp;TEXT(SourceCollector[[#This Row],[Source Date]], "MM/DD/YYYY")</f>
        <v>W6 59694 COLLECTED 07/13/2020</v>
      </c>
      <c r="C108" s="17" t="str">
        <f>IF(Master[[#This Row],[Cooperator (Collector) 2 -full record]]="","",Master[[#This Row],[Cooperator (Collector) 2 -full record]])</f>
        <v/>
      </c>
    </row>
    <row r="109" spans="2:3" x14ac:dyDescent="0.25">
      <c r="B109" s="7" t="str">
        <f>Master[[#This Row],[Accession Prefix (NPGS)]]&amp;" "&amp;Master[[#This Row],[Accession Number -Assigned]]&amp;" COLLECTED "&amp;TEXT(SourceCollector[[#This Row],[Source Date]], "MM/DD/YYYY")</f>
        <v>W6 59695 COLLECTED 07/14/2020</v>
      </c>
      <c r="C109" s="17" t="str">
        <f>IF(Master[[#This Row],[Cooperator (Collector) 2 -full record]]="","",Master[[#This Row],[Cooperator (Collector) 2 -full record]])</f>
        <v/>
      </c>
    </row>
    <row r="110" spans="2:3" x14ac:dyDescent="0.25">
      <c r="B110" s="7" t="str">
        <f>Master[[#This Row],[Accession Prefix (NPGS)]]&amp;" "&amp;Master[[#This Row],[Accession Number -Assigned]]&amp;" COLLECTED "&amp;TEXT(SourceCollector[[#This Row],[Source Date]], "MM/DD/YYYY")</f>
        <v>W6 59696 COLLECTED 07/15/2020</v>
      </c>
      <c r="C110" s="17" t="str">
        <f>IF(Master[[#This Row],[Cooperator (Collector) 2 -full record]]="","",Master[[#This Row],[Cooperator (Collector) 2 -full record]])</f>
        <v/>
      </c>
    </row>
    <row r="111" spans="2:3" x14ac:dyDescent="0.25">
      <c r="B111" s="7" t="str">
        <f>Master[[#This Row],[Accession Prefix (NPGS)]]&amp;" "&amp;Master[[#This Row],[Accession Number -Assigned]]&amp;" COLLECTED "&amp;TEXT(SourceCollector[[#This Row],[Source Date]], "MM/DD/YYYY")</f>
        <v>W6 59697 COLLECTED 07/15/2020</v>
      </c>
      <c r="C111" s="17" t="str">
        <f>IF(Master[[#This Row],[Cooperator (Collector) 2 -full record]]="","",Master[[#This Row],[Cooperator (Collector) 2 -full record]])</f>
        <v/>
      </c>
    </row>
    <row r="112" spans="2:3" x14ac:dyDescent="0.25">
      <c r="B112" s="7" t="str">
        <f>Master[[#This Row],[Accession Prefix (NPGS)]]&amp;" "&amp;Master[[#This Row],[Accession Number -Assigned]]&amp;" COLLECTED "&amp;TEXT(SourceCollector[[#This Row],[Source Date]], "MM/DD/YYYY")</f>
        <v>W6 59698 COLLECTED 07/16/2020</v>
      </c>
      <c r="C112" s="17" t="str">
        <f>IF(Master[[#This Row],[Cooperator (Collector) 2 -full record]]="","",Master[[#This Row],[Cooperator (Collector) 2 -full record]])</f>
        <v/>
      </c>
    </row>
    <row r="113" spans="2:3" x14ac:dyDescent="0.25">
      <c r="B113" s="7" t="str">
        <f>Master[[#This Row],[Accession Prefix (NPGS)]]&amp;" "&amp;Master[[#This Row],[Accession Number -Assigned]]&amp;" COLLECTED "&amp;TEXT(SourceCollector[[#This Row],[Source Date]], "MM/DD/YYYY")</f>
        <v>W6 59699 COLLECTED 07/27/2020</v>
      </c>
      <c r="C113" s="17" t="str">
        <f>IF(Master[[#This Row],[Cooperator (Collector) 2 -full record]]="","",Master[[#This Row],[Cooperator (Collector) 2 -full record]])</f>
        <v/>
      </c>
    </row>
    <row r="114" spans="2:3" x14ac:dyDescent="0.25">
      <c r="B114" s="7" t="str">
        <f>Master[[#This Row],[Accession Prefix (NPGS)]]&amp;" "&amp;Master[[#This Row],[Accession Number -Assigned]]&amp;" COLLECTED "&amp;TEXT(SourceCollector[[#This Row],[Source Date]], "MM/DD/YYYY")</f>
        <v>W6 59700 COLLECTED 08/03/2020</v>
      </c>
      <c r="C114" s="17" t="str">
        <f>IF(Master[[#This Row],[Cooperator (Collector) 2 -full record]]="","",Master[[#This Row],[Cooperator (Collector) 2 -full record]])</f>
        <v/>
      </c>
    </row>
    <row r="115" spans="2:3" x14ac:dyDescent="0.25">
      <c r="B115" s="7" t="str">
        <f>Master[[#This Row],[Accession Prefix (NPGS)]]&amp;" "&amp;Master[[#This Row],[Accession Number -Assigned]]&amp;" COLLECTED "&amp;TEXT(SourceCollector[[#This Row],[Source Date]], "MM/DD/YYYY")</f>
        <v>W6 59701 COLLECTED 08/05/2020</v>
      </c>
      <c r="C115" s="17" t="str">
        <f>IF(Master[[#This Row],[Cooperator (Collector) 2 -full record]]="","",Master[[#This Row],[Cooperator (Collector) 2 -full record]])</f>
        <v/>
      </c>
    </row>
    <row r="116" spans="2:3" x14ac:dyDescent="0.25">
      <c r="B116" s="7" t="str">
        <f>Master[[#This Row],[Accession Prefix (NPGS)]]&amp;" "&amp;Master[[#This Row],[Accession Number -Assigned]]&amp;" COLLECTED "&amp;TEXT(SourceCollector[[#This Row],[Source Date]], "MM/DD/YYYY")</f>
        <v>W6 59702 COLLECTED 08/05/2020</v>
      </c>
      <c r="C116" s="17" t="str">
        <f>IF(Master[[#This Row],[Cooperator (Collector) 2 -full record]]="","",Master[[#This Row],[Cooperator (Collector) 2 -full record]])</f>
        <v/>
      </c>
    </row>
    <row r="117" spans="2:3" x14ac:dyDescent="0.25">
      <c r="B117" s="7" t="str">
        <f>Master[[#This Row],[Accession Prefix (NPGS)]]&amp;" "&amp;Master[[#This Row],[Accession Number -Assigned]]&amp;" COLLECTED "&amp;TEXT(SourceCollector[[#This Row],[Source Date]], "MM/DD/YYYY")</f>
        <v>W6 59703 COLLECTED 08/06/2020</v>
      </c>
      <c r="C117" s="17" t="str">
        <f>IF(Master[[#This Row],[Cooperator (Collector) 2 -full record]]="","",Master[[#This Row],[Cooperator (Collector) 2 -full record]])</f>
        <v/>
      </c>
    </row>
    <row r="118" spans="2:3" x14ac:dyDescent="0.25">
      <c r="B118" s="7" t="str">
        <f>Master[[#This Row],[Accession Prefix (NPGS)]]&amp;" "&amp;Master[[#This Row],[Accession Number -Assigned]]&amp;" COLLECTED "&amp;TEXT(SourceCollector[[#This Row],[Source Date]], "MM/DD/YYYY")</f>
        <v>W6 59704 COLLECTED 08/10/2020</v>
      </c>
      <c r="C118" s="17" t="str">
        <f>IF(Master[[#This Row],[Cooperator (Collector) 2 -full record]]="","",Master[[#This Row],[Cooperator (Collector) 2 -full record]])</f>
        <v/>
      </c>
    </row>
    <row r="119" spans="2:3" x14ac:dyDescent="0.25">
      <c r="B119" s="7" t="str">
        <f>Master[[#This Row],[Accession Prefix (NPGS)]]&amp;" "&amp;Master[[#This Row],[Accession Number -Assigned]]&amp;" COLLECTED "&amp;TEXT(SourceCollector[[#This Row],[Source Date]], "MM/DD/YYYY")</f>
        <v>W6 59705 COLLECTED 08/13/2020</v>
      </c>
      <c r="C119" s="17" t="str">
        <f>IF(Master[[#This Row],[Cooperator (Collector) 2 -full record]]="","",Master[[#This Row],[Cooperator (Collector) 2 -full record]])</f>
        <v/>
      </c>
    </row>
    <row r="120" spans="2:3" x14ac:dyDescent="0.25">
      <c r="B120" s="7" t="str">
        <f>Master[[#This Row],[Accession Prefix (NPGS)]]&amp;" "&amp;Master[[#This Row],[Accession Number -Assigned]]&amp;" COLLECTED "&amp;TEXT(SourceCollector[[#This Row],[Source Date]], "MM/DD/YYYY")</f>
        <v>W6 59706 COLLECTED 08/17/2020</v>
      </c>
      <c r="C120" s="17" t="str">
        <f>IF(Master[[#This Row],[Cooperator (Collector) 2 -full record]]="","",Master[[#This Row],[Cooperator (Collector) 2 -full record]])</f>
        <v/>
      </c>
    </row>
    <row r="121" spans="2:3" x14ac:dyDescent="0.25">
      <c r="B121" s="7" t="str">
        <f>Master[[#This Row],[Accession Prefix (NPGS)]]&amp;" "&amp;Master[[#This Row],[Accession Number -Assigned]]&amp;" COLLECTED "&amp;TEXT(SourceCollector[[#This Row],[Source Date]], "MM/DD/YYYY")</f>
        <v>W6 59707 COLLECTED 08/17/2020</v>
      </c>
      <c r="C121" s="17" t="str">
        <f>IF(Master[[#This Row],[Cooperator (Collector) 2 -full record]]="","",Master[[#This Row],[Cooperator (Collector) 2 -full record]])</f>
        <v/>
      </c>
    </row>
    <row r="122" spans="2:3" x14ac:dyDescent="0.25">
      <c r="B122" s="7" t="str">
        <f>Master[[#This Row],[Accession Prefix (NPGS)]]&amp;" "&amp;Master[[#This Row],[Accession Number -Assigned]]&amp;" COLLECTED "&amp;TEXT(SourceCollector[[#This Row],[Source Date]], "MM/DD/YYYY")</f>
        <v>W6 59708 COLLECTED 08/18/2020</v>
      </c>
      <c r="C122" s="17" t="str">
        <f>IF(Master[[#This Row],[Cooperator (Collector) 2 -full record]]="","",Master[[#This Row],[Cooperator (Collector) 2 -full record]])</f>
        <v/>
      </c>
    </row>
    <row r="123" spans="2:3" x14ac:dyDescent="0.25">
      <c r="B123" s="7" t="str">
        <f>Master[[#This Row],[Accession Prefix (NPGS)]]&amp;" "&amp;Master[[#This Row],[Accession Number -Assigned]]&amp;" COLLECTED "&amp;TEXT(SourceCollector[[#This Row],[Source Date]], "MM/DD/YYYY")</f>
        <v>W6 59709 COLLECTED 08/19/2020</v>
      </c>
      <c r="C123" s="17" t="str">
        <f>IF(Master[[#This Row],[Cooperator (Collector) 2 -full record]]="","",Master[[#This Row],[Cooperator (Collector) 2 -full record]])</f>
        <v/>
      </c>
    </row>
    <row r="124" spans="2:3" x14ac:dyDescent="0.25">
      <c r="B124" s="7" t="str">
        <f>Master[[#This Row],[Accession Prefix (NPGS)]]&amp;" "&amp;Master[[#This Row],[Accession Number -Assigned]]&amp;" COLLECTED "&amp;TEXT(SourceCollector[[#This Row],[Source Date]], "MM/DD/YYYY")</f>
        <v>W6 59710 COLLECTED 08/24/2020</v>
      </c>
      <c r="C124" s="17" t="str">
        <f>IF(Master[[#This Row],[Cooperator (Collector) 2 -full record]]="","",Master[[#This Row],[Cooperator (Collector) 2 -full record]])</f>
        <v/>
      </c>
    </row>
    <row r="125" spans="2:3" x14ac:dyDescent="0.25">
      <c r="B125" s="7" t="str">
        <f>Master[[#This Row],[Accession Prefix (NPGS)]]&amp;" "&amp;Master[[#This Row],[Accession Number -Assigned]]&amp;" COLLECTED "&amp;TEXT(SourceCollector[[#This Row],[Source Date]], "MM/DD/YYYY")</f>
        <v>W6 59711 COLLECTED 08/27/2020</v>
      </c>
      <c r="C125" s="17" t="str">
        <f>IF(Master[[#This Row],[Cooperator (Collector) 2 -full record]]="","",Master[[#This Row],[Cooperator (Collector) 2 -full record]])</f>
        <v/>
      </c>
    </row>
    <row r="126" spans="2:3" x14ac:dyDescent="0.25">
      <c r="B126" s="7" t="str">
        <f>Master[[#This Row],[Accession Prefix (NPGS)]]&amp;" "&amp;Master[[#This Row],[Accession Number -Assigned]]&amp;" COLLECTED "&amp;TEXT(SourceCollector[[#This Row],[Source Date]], "MM/DD/YYYY")</f>
        <v>W6 59712 COLLECTED 09/01/2020</v>
      </c>
      <c r="C126" s="17" t="str">
        <f>IF(Master[[#This Row],[Cooperator (Collector) 2 -full record]]="","",Master[[#This Row],[Cooperator (Collector) 2 -full record]])</f>
        <v/>
      </c>
    </row>
    <row r="127" spans="2:3" x14ac:dyDescent="0.25">
      <c r="B127" s="7" t="str">
        <f>Master[[#This Row],[Accession Prefix (NPGS)]]&amp;" "&amp;Master[[#This Row],[Accession Number -Assigned]]&amp;" COLLECTED "&amp;TEXT(SourceCollector[[#This Row],[Source Date]], "MM/DD/YYYY")</f>
        <v>W6 59713 COLLECTED 08/03/2020</v>
      </c>
      <c r="C127" s="17" t="str">
        <f>IF(Master[[#This Row],[Cooperator (Collector) 2 -full record]]="","",Master[[#This Row],[Cooperator (Collector) 2 -full record]])</f>
        <v/>
      </c>
    </row>
    <row r="128" spans="2:3" x14ac:dyDescent="0.25">
      <c r="B128" s="7" t="str">
        <f>Master[[#This Row],[Accession Prefix (NPGS)]]&amp;" "&amp;Master[[#This Row],[Accession Number -Assigned]]&amp;" COLLECTED "&amp;TEXT(SourceCollector[[#This Row],[Source Date]], "MM/DD/YYYY")</f>
        <v>W6 59714 COLLECTED 08/05/2020</v>
      </c>
      <c r="C128" s="17" t="str">
        <f>IF(Master[[#This Row],[Cooperator (Collector) 2 -full record]]="","",Master[[#This Row],[Cooperator (Collector) 2 -full record]])</f>
        <v/>
      </c>
    </row>
    <row r="129" spans="2:3" x14ac:dyDescent="0.25">
      <c r="B129" s="7" t="str">
        <f>Master[[#This Row],[Accession Prefix (NPGS)]]&amp;" "&amp;Master[[#This Row],[Accession Number -Assigned]]&amp;" COLLECTED "&amp;TEXT(SourceCollector[[#This Row],[Source Date]], "MM/DD/YYYY")</f>
        <v>W6 59715 COLLECTED 08/12/2020</v>
      </c>
      <c r="C129" s="17" t="str">
        <f>IF(Master[[#This Row],[Cooperator (Collector) 2 -full record]]="","",Master[[#This Row],[Cooperator (Collector) 2 -full record]])</f>
        <v/>
      </c>
    </row>
    <row r="130" spans="2:3" x14ac:dyDescent="0.25">
      <c r="B130" s="7" t="str">
        <f>Master[[#This Row],[Accession Prefix (NPGS)]]&amp;" "&amp;Master[[#This Row],[Accession Number -Assigned]]&amp;" COLLECTED "&amp;TEXT(SourceCollector[[#This Row],[Source Date]], "MM/DD/YYYY")</f>
        <v>W6 59716 COLLECTED 08/17/2020</v>
      </c>
      <c r="C130" s="17" t="str">
        <f>IF(Master[[#This Row],[Cooperator (Collector) 2 -full record]]="","",Master[[#This Row],[Cooperator (Collector) 2 -full record]])</f>
        <v/>
      </c>
    </row>
    <row r="131" spans="2:3" x14ac:dyDescent="0.25">
      <c r="B131" s="7" t="str">
        <f>Master[[#This Row],[Accession Prefix (NPGS)]]&amp;" "&amp;Master[[#This Row],[Accession Number -Assigned]]&amp;" COLLECTED "&amp;TEXT(SourceCollector[[#This Row],[Source Date]], "MM/DD/YYYY")</f>
        <v>W6 59717 COLLECTED 08/19/2020</v>
      </c>
      <c r="C131" s="17" t="str">
        <f>IF(Master[[#This Row],[Cooperator (Collector) 2 -full record]]="","",Master[[#This Row],[Cooperator (Collector) 2 -full record]])</f>
        <v/>
      </c>
    </row>
    <row r="132" spans="2:3" x14ac:dyDescent="0.25">
      <c r="B132" s="7" t="str">
        <f>Master[[#This Row],[Accession Prefix (NPGS)]]&amp;" "&amp;Master[[#This Row],[Accession Number -Assigned]]&amp;" COLLECTED "&amp;TEXT(SourceCollector[[#This Row],[Source Date]], "MM/DD/YYYY")</f>
        <v>W6 59718 COLLECTED 08/19/2020</v>
      </c>
      <c r="C132" s="17" t="str">
        <f>IF(Master[[#This Row],[Cooperator (Collector) 2 -full record]]="","",Master[[#This Row],[Cooperator (Collector) 2 -full record]])</f>
        <v/>
      </c>
    </row>
    <row r="133" spans="2:3" x14ac:dyDescent="0.25">
      <c r="B133" s="7" t="str">
        <f>Master[[#This Row],[Accession Prefix (NPGS)]]&amp;" "&amp;Master[[#This Row],[Accession Number -Assigned]]&amp;" COLLECTED "&amp;TEXT(SourceCollector[[#This Row],[Source Date]], "MM/DD/YYYY")</f>
        <v>W6 59719 COLLECTED 08/26/2020</v>
      </c>
      <c r="C133" s="17" t="str">
        <f>IF(Master[[#This Row],[Cooperator (Collector) 2 -full record]]="","",Master[[#This Row],[Cooperator (Collector) 2 -full record]])</f>
        <v/>
      </c>
    </row>
    <row r="134" spans="2:3" x14ac:dyDescent="0.25">
      <c r="B134" s="7" t="str">
        <f>Master[[#This Row],[Accession Prefix (NPGS)]]&amp;" "&amp;Master[[#This Row],[Accession Number -Assigned]]&amp;" COLLECTED "&amp;TEXT(SourceCollector[[#This Row],[Source Date]], "MM/DD/YYYY")</f>
        <v>W6 59720 COLLECTED 08/26/2020</v>
      </c>
      <c r="C134" s="17" t="str">
        <f>IF(Master[[#This Row],[Cooperator (Collector) 2 -full record]]="","",Master[[#This Row],[Cooperator (Collector) 2 -full record]])</f>
        <v/>
      </c>
    </row>
    <row r="135" spans="2:3" x14ac:dyDescent="0.25">
      <c r="B135" s="7" t="str">
        <f>Master[[#This Row],[Accession Prefix (NPGS)]]&amp;" "&amp;Master[[#This Row],[Accession Number -Assigned]]&amp;" COLLECTED "&amp;TEXT(SourceCollector[[#This Row],[Source Date]], "MM/DD/YYYY")</f>
        <v>W6 59721 COLLECTED 08/27/2020</v>
      </c>
      <c r="C135" s="17" t="str">
        <f>IF(Master[[#This Row],[Cooperator (Collector) 2 -full record]]="","",Master[[#This Row],[Cooperator (Collector) 2 -full record]])</f>
        <v/>
      </c>
    </row>
    <row r="136" spans="2:3" x14ac:dyDescent="0.25">
      <c r="B136" s="7" t="str">
        <f>Master[[#This Row],[Accession Prefix (NPGS)]]&amp;" "&amp;Master[[#This Row],[Accession Number -Assigned]]&amp;" COLLECTED "&amp;TEXT(SourceCollector[[#This Row],[Source Date]], "MM/DD/YYYY")</f>
        <v>W6 59722 COLLECTED 09/09/2020</v>
      </c>
      <c r="C136" s="17" t="str">
        <f>IF(Master[[#This Row],[Cooperator (Collector) 2 -full record]]="","",Master[[#This Row],[Cooperator (Collector) 2 -full record]])</f>
        <v/>
      </c>
    </row>
    <row r="137" spans="2:3" x14ac:dyDescent="0.25">
      <c r="B137" s="7" t="str">
        <f>Master[[#This Row],[Accession Prefix (NPGS)]]&amp;" "&amp;Master[[#This Row],[Accession Number -Assigned]]&amp;" COLLECTED "&amp;TEXT(SourceCollector[[#This Row],[Source Date]], "MM/DD/YYYY")</f>
        <v>W6 59723 COLLECTED 09/10/2020</v>
      </c>
      <c r="C137" s="17" t="str">
        <f>IF(Master[[#This Row],[Cooperator (Collector) 2 -full record]]="","",Master[[#This Row],[Cooperator (Collector) 2 -full record]])</f>
        <v/>
      </c>
    </row>
    <row r="138" spans="2:3" x14ac:dyDescent="0.25">
      <c r="B138" s="7" t="str">
        <f>Master[[#This Row],[Accession Prefix (NPGS)]]&amp;" "&amp;Master[[#This Row],[Accession Number -Assigned]]&amp;" COLLECTED "&amp;TEXT(SourceCollector[[#This Row],[Source Date]], "MM/DD/YYYY")</f>
        <v>W6 59724 COLLECTED 09/10/2020</v>
      </c>
      <c r="C138" s="17" t="str">
        <f>IF(Master[[#This Row],[Cooperator (Collector) 2 -full record]]="","",Master[[#This Row],[Cooperator (Collector) 2 -full record]])</f>
        <v/>
      </c>
    </row>
    <row r="139" spans="2:3" x14ac:dyDescent="0.25">
      <c r="B139" s="7" t="str">
        <f>Master[[#This Row],[Accession Prefix (NPGS)]]&amp;" "&amp;Master[[#This Row],[Accession Number -Assigned]]&amp;" COLLECTED "&amp;TEXT(SourceCollector[[#This Row],[Source Date]], "MM/DD/YYYY")</f>
        <v>W6 59725 COLLECTED 09/15/2020</v>
      </c>
      <c r="C139" s="17" t="str">
        <f>IF(Master[[#This Row],[Cooperator (Collector) 2 -full record]]="","",Master[[#This Row],[Cooperator (Collector) 2 -full record]])</f>
        <v/>
      </c>
    </row>
    <row r="140" spans="2:3" x14ac:dyDescent="0.25">
      <c r="B140" s="7" t="str">
        <f>Master[[#This Row],[Accession Prefix (NPGS)]]&amp;" "&amp;Master[[#This Row],[Accession Number -Assigned]]&amp;" COLLECTED "&amp;TEXT(SourceCollector[[#This Row],[Source Date]], "MM/DD/YYYY")</f>
        <v>W6 59726 COLLECTED 09/17/2020</v>
      </c>
      <c r="C140" s="17" t="str">
        <f>IF(Master[[#This Row],[Cooperator (Collector) 2 -full record]]="","",Master[[#This Row],[Cooperator (Collector) 2 -full record]])</f>
        <v/>
      </c>
    </row>
    <row r="141" spans="2:3" x14ac:dyDescent="0.25">
      <c r="B141" s="7" t="str">
        <f>Master[[#This Row],[Accession Prefix (NPGS)]]&amp;" "&amp;Master[[#This Row],[Accession Number -Assigned]]&amp;" COLLECTED "&amp;TEXT(SourceCollector[[#This Row],[Source Date]], "MM/DD/YYYY")</f>
        <v>W6 59727 COLLECTED 09/17/2020</v>
      </c>
      <c r="C141" s="17" t="str">
        <f>IF(Master[[#This Row],[Cooperator (Collector) 2 -full record]]="","",Master[[#This Row],[Cooperator (Collector) 2 -full record]])</f>
        <v/>
      </c>
    </row>
    <row r="142" spans="2:3" x14ac:dyDescent="0.25">
      <c r="B142" s="7" t="str">
        <f>Master[[#This Row],[Accession Prefix (NPGS)]]&amp;" "&amp;Master[[#This Row],[Accession Number -Assigned]]&amp;" COLLECTED "&amp;TEXT(SourceCollector[[#This Row],[Source Date]], "MM/DD/YYYY")</f>
        <v>W6 59728 COLLECTED 09/21/2020</v>
      </c>
      <c r="C142" s="17" t="str">
        <f>IF(Master[[#This Row],[Cooperator (Collector) 2 -full record]]="","",Master[[#This Row],[Cooperator (Collector) 2 -full record]])</f>
        <v/>
      </c>
    </row>
    <row r="143" spans="2:3" x14ac:dyDescent="0.25">
      <c r="B143" s="7" t="str">
        <f>Master[[#This Row],[Accession Prefix (NPGS)]]&amp;" "&amp;Master[[#This Row],[Accession Number -Assigned]]&amp;" COLLECTED "&amp;TEXT(SourceCollector[[#This Row],[Source Date]], "MM/DD/YYYY")</f>
        <v>W6 59729 COLLECTED 09/23/2020</v>
      </c>
      <c r="C143" s="17" t="str">
        <f>IF(Master[[#This Row],[Cooperator (Collector) 2 -full record]]="","",Master[[#This Row],[Cooperator (Collector) 2 -full record]])</f>
        <v/>
      </c>
    </row>
    <row r="144" spans="2:3" x14ac:dyDescent="0.25">
      <c r="B144" s="7" t="str">
        <f>Master[[#This Row],[Accession Prefix (NPGS)]]&amp;" "&amp;Master[[#This Row],[Accession Number -Assigned]]&amp;" COLLECTED "&amp;TEXT(SourceCollector[[#This Row],[Source Date]], "MM/DD/YYYY")</f>
        <v>W6 59730 COLLECTED 09/24/2020</v>
      </c>
      <c r="C144" s="17" t="str">
        <f>IF(Master[[#This Row],[Cooperator (Collector) 2 -full record]]="","",Master[[#This Row],[Cooperator (Collector) 2 -full record]])</f>
        <v/>
      </c>
    </row>
    <row r="145" spans="2:3" x14ac:dyDescent="0.25">
      <c r="B145" s="7" t="str">
        <f>Master[[#This Row],[Accession Prefix (NPGS)]]&amp;" "&amp;Master[[#This Row],[Accession Number -Assigned]]&amp;" COLLECTED "&amp;TEXT(SourceCollector[[#This Row],[Source Date]], "MM/DD/YYYY")</f>
        <v>W6 59731 COLLECTED 10/01/2020</v>
      </c>
      <c r="C145" s="17" t="str">
        <f>IF(Master[[#This Row],[Cooperator (Collector) 2 -full record]]="","",Master[[#This Row],[Cooperator (Collector) 2 -full record]])</f>
        <v/>
      </c>
    </row>
    <row r="146" spans="2:3" x14ac:dyDescent="0.25">
      <c r="B146" s="7" t="str">
        <f>Master[[#This Row],[Accession Prefix (NPGS)]]&amp;" "&amp;Master[[#This Row],[Accession Number -Assigned]]&amp;" COLLECTED "&amp;TEXT(SourceCollector[[#This Row],[Source Date]], "MM/DD/YYYY")</f>
        <v>W6 59732 COLLECTED 10/02/2020</v>
      </c>
      <c r="C146" s="17" t="str">
        <f>IF(Master[[#This Row],[Cooperator (Collector) 2 -full record]]="","",Master[[#This Row],[Cooperator (Collector) 2 -full record]])</f>
        <v/>
      </c>
    </row>
    <row r="147" spans="2:3" x14ac:dyDescent="0.25">
      <c r="B147" s="7" t="str">
        <f>Master[[#This Row],[Accession Prefix (NPGS)]]&amp;" "&amp;Master[[#This Row],[Accession Number -Assigned]]&amp;" COLLECTED "&amp;TEXT(SourceCollector[[#This Row],[Source Date]], "MM/DD/YYYY")</f>
        <v>W6 59733 COLLECTED 10/05/2020</v>
      </c>
      <c r="C147" s="17" t="str">
        <f>IF(Master[[#This Row],[Cooperator (Collector) 2 -full record]]="","",Master[[#This Row],[Cooperator (Collector) 2 -full record]])</f>
        <v/>
      </c>
    </row>
    <row r="148" spans="2:3" x14ac:dyDescent="0.25">
      <c r="B148" s="7" t="str">
        <f>Master[[#This Row],[Accession Prefix (NPGS)]]&amp;" "&amp;Master[[#This Row],[Accession Number -Assigned]]&amp;" COLLECTED "&amp;TEXT(SourceCollector[[#This Row],[Source Date]], "MM/DD/YYYY")</f>
        <v>W6 59734 COLLECTED 10/05/2020</v>
      </c>
      <c r="C148" s="17" t="str">
        <f>IF(Master[[#This Row],[Cooperator (Collector) 2 -full record]]="","",Master[[#This Row],[Cooperator (Collector) 2 -full record]])</f>
        <v/>
      </c>
    </row>
    <row r="149" spans="2:3" x14ac:dyDescent="0.25">
      <c r="B149" s="7" t="str">
        <f>Master[[#This Row],[Accession Prefix (NPGS)]]&amp;" "&amp;Master[[#This Row],[Accession Number -Assigned]]&amp;" COLLECTED "&amp;TEXT(SourceCollector[[#This Row],[Source Date]], "MM/DD/YYYY")</f>
        <v>W6 59735 COLLECTED 07/29/2020</v>
      </c>
      <c r="C149" s="17" t="str">
        <f>IF(Master[[#This Row],[Cooperator (Collector) 2 -full record]]="","",Master[[#This Row],[Cooperator (Collector) 2 -full record]])</f>
        <v/>
      </c>
    </row>
    <row r="150" spans="2:3" x14ac:dyDescent="0.25">
      <c r="B150" s="7" t="str">
        <f>Master[[#This Row],[Accession Prefix (NPGS)]]&amp;" "&amp;Master[[#This Row],[Accession Number -Assigned]]&amp;" COLLECTED "&amp;TEXT(SourceCollector[[#This Row],[Source Date]], "MM/DD/YYYY")</f>
        <v>W6 59736 COLLECTED 10/07/2020</v>
      </c>
      <c r="C150" s="17" t="str">
        <f>IF(Master[[#This Row],[Cooperator (Collector) 2 -full record]]="","",Master[[#This Row],[Cooperator (Collector) 2 -full record]])</f>
        <v/>
      </c>
    </row>
    <row r="151" spans="2:3" x14ac:dyDescent="0.25">
      <c r="B151" s="7" t="str">
        <f>Master[[#This Row],[Accession Prefix (NPGS)]]&amp;" "&amp;Master[[#This Row],[Accession Number -Assigned]]&amp;" COLLECTED "&amp;TEXT(SourceCollector[[#This Row],[Source Date]], "MM/DD/YYYY")</f>
        <v>W6 59737 COLLECTED 08/18/2020</v>
      </c>
      <c r="C151" s="17" t="str">
        <f>IF(Master[[#This Row],[Cooperator (Collector) 2 -full record]]="","",Master[[#This Row],[Cooperator (Collector) 2 -full record]])</f>
        <v/>
      </c>
    </row>
    <row r="152" spans="2:3" x14ac:dyDescent="0.25">
      <c r="B152" s="7" t="str">
        <f>Master[[#This Row],[Accession Prefix (NPGS)]]&amp;" "&amp;Master[[#This Row],[Accession Number -Assigned]]&amp;" COLLECTED "&amp;TEXT(SourceCollector[[#This Row],[Source Date]], "MM/DD/YYYY")</f>
        <v xml:space="preserve">  COLLECTED </v>
      </c>
      <c r="C152" s="17" t="str">
        <f>IF(Master[[#This Row],[Cooperator (Collector) 2 -full record]]="","",Master[[#This Row],[Cooperator (Collector) 2 -full record]])</f>
        <v/>
      </c>
    </row>
    <row r="153" spans="2:3" x14ac:dyDescent="0.25">
      <c r="B153" s="7" t="str">
        <f>Master[[#This Row],[Accession Prefix (NPGS)]]&amp;" "&amp;Master[[#This Row],[Accession Number -Assigned]]&amp;" COLLECTED "&amp;TEXT(SourceCollector[[#This Row],[Source Date]], "MM/DD/YYYY")</f>
        <v xml:space="preserve">  COLLECTED </v>
      </c>
      <c r="C153" s="17" t="str">
        <f>IF(Master[[#This Row],[Cooperator (Collector) 2 -full record]]="","",Master[[#This Row],[Cooperator (Collector) 2 -full record]])</f>
        <v/>
      </c>
    </row>
    <row r="154" spans="2:3" x14ac:dyDescent="0.25">
      <c r="B154" s="7" t="str">
        <f>Master[[#This Row],[Accession Prefix (NPGS)]]&amp;" "&amp;Master[[#This Row],[Accession Number -Assigned]]&amp;" COLLECTED "&amp;TEXT(SourceCollector[[#This Row],[Source Date]], "MM/DD/YYYY")</f>
        <v xml:space="preserve">  COLLECTED </v>
      </c>
      <c r="C154" s="17" t="str">
        <f>IF(Master[[#This Row],[Cooperator (Collector) 2 -full record]]="","",Master[[#This Row],[Cooperator (Collector) 2 -full record]])</f>
        <v/>
      </c>
    </row>
    <row r="155" spans="2:3" x14ac:dyDescent="0.25">
      <c r="B155" s="7" t="str">
        <f>Master[[#This Row],[Accession Prefix (NPGS)]]&amp;" "&amp;Master[[#This Row],[Accession Number -Assigned]]&amp;" COLLECTED "&amp;TEXT(SourceCollector[[#This Row],[Source Date]], "MM/DD/YYYY")</f>
        <v xml:space="preserve">  COLLECTED </v>
      </c>
      <c r="C155" s="17" t="str">
        <f>IF(Master[[#This Row],[Cooperator (Collector) 2 -full record]]="","",Master[[#This Row],[Cooperator (Collector) 2 -full record]])</f>
        <v/>
      </c>
    </row>
    <row r="156" spans="2:3" x14ac:dyDescent="0.25">
      <c r="B156" s="7" t="str">
        <f>Master[[#This Row],[Accession Prefix (NPGS)]]&amp;" "&amp;Master[[#This Row],[Accession Number -Assigned]]&amp;" COLLECTED "&amp;TEXT(SourceCollector[[#This Row],[Source Date]], "MM/DD/YYYY")</f>
        <v xml:space="preserve">  COLLECTED </v>
      </c>
      <c r="C156" s="17" t="str">
        <f>IF(Master[[#This Row],[Cooperator (Collector) 2 -full record]]="","",Master[[#This Row],[Cooperator (Collector) 2 -full record]])</f>
        <v/>
      </c>
    </row>
    <row r="157" spans="2:3" x14ac:dyDescent="0.25">
      <c r="B157" s="7" t="str">
        <f>Master[[#This Row],[Accession Prefix (NPGS)]]&amp;" "&amp;Master[[#This Row],[Accession Number -Assigned]]&amp;" COLLECTED "&amp;TEXT(SourceCollector[[#This Row],[Source Date]], "MM/DD/YYYY")</f>
        <v xml:space="preserve">  COLLECTED </v>
      </c>
      <c r="C157" s="17" t="str">
        <f>IF(Master[[#This Row],[Cooperator (Collector) 2 -full record]]="","",Master[[#This Row],[Cooperator (Collector) 2 -full record]])</f>
        <v/>
      </c>
    </row>
    <row r="158" spans="2:3" x14ac:dyDescent="0.25">
      <c r="B158" s="7" t="str">
        <f>Master[[#This Row],[Accession Prefix (NPGS)]]&amp;" "&amp;Master[[#This Row],[Accession Number -Assigned]]&amp;" COLLECTED "&amp;TEXT(SourceCollector[[#This Row],[Source Date]], "MM/DD/YYYY")</f>
        <v xml:space="preserve">  COLLECTED </v>
      </c>
      <c r="C158" s="17" t="str">
        <f>IF(Master[[#This Row],[Cooperator (Collector) 2 -full record]]="","",Master[[#This Row],[Cooperator (Collector) 2 -full record]])</f>
        <v/>
      </c>
    </row>
    <row r="159" spans="2:3" x14ac:dyDescent="0.25">
      <c r="B159" s="7" t="str">
        <f>Master[[#This Row],[Accession Prefix (NPGS)]]&amp;" "&amp;Master[[#This Row],[Accession Number -Assigned]]&amp;" COLLECTED "&amp;TEXT(SourceCollector[[#This Row],[Source Date]], "MM/DD/YYYY")</f>
        <v xml:space="preserve">  COLLECTED </v>
      </c>
      <c r="C159" s="17" t="str">
        <f>IF(Master[[#This Row],[Cooperator (Collector) 2 -full record]]="","",Master[[#This Row],[Cooperator (Collector) 2 -full record]])</f>
        <v/>
      </c>
    </row>
    <row r="160" spans="2:3" x14ac:dyDescent="0.25">
      <c r="B160" s="7" t="str">
        <f>Master[[#This Row],[Accession Prefix (NPGS)]]&amp;" "&amp;Master[[#This Row],[Accession Number -Assigned]]&amp;" COLLECTED "&amp;TEXT(SourceCollector[[#This Row],[Source Date]], "MM/DD/YYYY")</f>
        <v xml:space="preserve">  COLLECTED </v>
      </c>
      <c r="C160" s="17" t="str">
        <f>IF(Master[[#This Row],[Cooperator (Collector) 2 -full record]]="","",Master[[#This Row],[Cooperator (Collector) 2 -full record]])</f>
        <v/>
      </c>
    </row>
    <row r="161" spans="2:3" x14ac:dyDescent="0.25">
      <c r="B161" s="7" t="str">
        <f>Master[[#This Row],[Accession Prefix (NPGS)]]&amp;" "&amp;Master[[#This Row],[Accession Number -Assigned]]&amp;" COLLECTED "&amp;TEXT(SourceCollector[[#This Row],[Source Date]], "MM/DD/YYYY")</f>
        <v xml:space="preserve">  COLLECTED </v>
      </c>
      <c r="C161" s="17" t="str">
        <f>IF(Master[[#This Row],[Cooperator (Collector) 2 -full record]]="","",Master[[#This Row],[Cooperator (Collector) 2 -full record]])</f>
        <v/>
      </c>
    </row>
    <row r="162" spans="2:3" x14ac:dyDescent="0.25">
      <c r="B162" s="7" t="str">
        <f>Master[[#This Row],[Accession Prefix (NPGS)]]&amp;" "&amp;Master[[#This Row],[Accession Number -Assigned]]&amp;" COLLECTED "&amp;TEXT(SourceCollector[[#This Row],[Source Date]], "MM/DD/YYYY")</f>
        <v xml:space="preserve">  COLLECTED </v>
      </c>
      <c r="C162" s="17" t="str">
        <f>IF(Master[[#This Row],[Cooperator (Collector) 2 -full record]]="","",Master[[#This Row],[Cooperator (Collector) 2 -full record]])</f>
        <v/>
      </c>
    </row>
    <row r="163" spans="2:3" x14ac:dyDescent="0.25">
      <c r="B163" s="7" t="str">
        <f>Master[[#This Row],[Accession Prefix (NPGS)]]&amp;" "&amp;Master[[#This Row],[Accession Number -Assigned]]&amp;" COLLECTED "&amp;TEXT(SourceCollector[[#This Row],[Source Date]], "MM/DD/YYYY")</f>
        <v xml:space="preserve">  COLLECTED </v>
      </c>
      <c r="C163" s="17" t="str">
        <f>IF(Master[[#This Row],[Cooperator (Collector) 2 -full record]]="","",Master[[#This Row],[Cooperator (Collector) 2 -full record]])</f>
        <v/>
      </c>
    </row>
    <row r="164" spans="2:3" x14ac:dyDescent="0.25">
      <c r="B164" s="7" t="str">
        <f>Master[[#This Row],[Accession Prefix (NPGS)]]&amp;" "&amp;Master[[#This Row],[Accession Number -Assigned]]&amp;" COLLECTED "&amp;TEXT(SourceCollector[[#This Row],[Source Date]], "MM/DD/YYYY")</f>
        <v xml:space="preserve">  COLLECTED </v>
      </c>
      <c r="C164" s="17" t="str">
        <f>IF(Master[[#This Row],[Cooperator (Collector) 2 -full record]]="","",Master[[#This Row],[Cooperator (Collector) 2 -full record]])</f>
        <v/>
      </c>
    </row>
    <row r="165" spans="2:3" x14ac:dyDescent="0.25">
      <c r="B165" s="7" t="str">
        <f>Master[[#This Row],[Accession Prefix (NPGS)]]&amp;" "&amp;Master[[#This Row],[Accession Number -Assigned]]&amp;" COLLECTED "&amp;TEXT(SourceCollector[[#This Row],[Source Date]], "MM/DD/YYYY")</f>
        <v xml:space="preserve">  COLLECTED </v>
      </c>
      <c r="C165" s="17" t="str">
        <f>IF(Master[[#This Row],[Cooperator (Collector) 2 -full record]]="","",Master[[#This Row],[Cooperator (Collector) 2 -full record]])</f>
        <v/>
      </c>
    </row>
    <row r="166" spans="2:3" x14ac:dyDescent="0.25">
      <c r="B166" s="7" t="str">
        <f>Master[[#This Row],[Accession Prefix (NPGS)]]&amp;" "&amp;Master[[#This Row],[Accession Number -Assigned]]&amp;" COLLECTED "&amp;TEXT(SourceCollector[[#This Row],[Source Date]], "MM/DD/YYYY")</f>
        <v xml:space="preserve">  COLLECTED </v>
      </c>
      <c r="C166" s="17" t="str">
        <f>IF(Master[[#This Row],[Cooperator (Collector) 2 -full record]]="","",Master[[#This Row],[Cooperator (Collector) 2 -full record]])</f>
        <v/>
      </c>
    </row>
    <row r="167" spans="2:3" x14ac:dyDescent="0.25">
      <c r="B167" s="7" t="str">
        <f>Master[[#This Row],[Accession Prefix (NPGS)]]&amp;" "&amp;Master[[#This Row],[Accession Number -Assigned]]&amp;" COLLECTED "&amp;TEXT(SourceCollector[[#This Row],[Source Date]], "MM/DD/YYYY")</f>
        <v xml:space="preserve">  COLLECTED </v>
      </c>
      <c r="C167" s="17" t="str">
        <f>IF(Master[[#This Row],[Cooperator (Collector) 2 -full record]]="","",Master[[#This Row],[Cooperator (Collector) 2 -full record]])</f>
        <v/>
      </c>
    </row>
    <row r="168" spans="2:3" x14ac:dyDescent="0.25">
      <c r="B168" s="7" t="str">
        <f>Master[[#This Row],[Accession Prefix (NPGS)]]&amp;" "&amp;Master[[#This Row],[Accession Number -Assigned]]&amp;" COLLECTED "&amp;TEXT(SourceCollector[[#This Row],[Source Date]], "MM/DD/YYYY")</f>
        <v xml:space="preserve">  COLLECTED </v>
      </c>
      <c r="C168" s="17" t="str">
        <f>IF(Master[[#This Row],[Cooperator (Collector) 2 -full record]]="","",Master[[#This Row],[Cooperator (Collector) 2 -full record]])</f>
        <v/>
      </c>
    </row>
    <row r="169" spans="2:3" x14ac:dyDescent="0.25">
      <c r="B169" s="7" t="str">
        <f>Master[[#This Row],[Accession Prefix (NPGS)]]&amp;" "&amp;Master[[#This Row],[Accession Number -Assigned]]&amp;" COLLECTED "&amp;TEXT(SourceCollector[[#This Row],[Source Date]], "MM/DD/YYYY")</f>
        <v xml:space="preserve">  COLLECTED </v>
      </c>
      <c r="C169" s="17" t="str">
        <f>IF(Master[[#This Row],[Cooperator (Collector) 2 -full record]]="","",Master[[#This Row],[Cooperator (Collector) 2 -full record]])</f>
        <v/>
      </c>
    </row>
    <row r="170" spans="2:3" x14ac:dyDescent="0.25">
      <c r="B170" s="7" t="str">
        <f>Master[[#This Row],[Accession Prefix (NPGS)]]&amp;" "&amp;Master[[#This Row],[Accession Number -Assigned]]&amp;" COLLECTED "&amp;TEXT(SourceCollector[[#This Row],[Source Date]], "MM/DD/YYYY")</f>
        <v xml:space="preserve">  COLLECTED </v>
      </c>
      <c r="C170" s="17" t="str">
        <f>IF(Master[[#This Row],[Cooperator (Collector) 2 -full record]]="","",Master[[#This Row],[Cooperator (Collector) 2 -full record]])</f>
        <v/>
      </c>
    </row>
    <row r="171" spans="2:3" x14ac:dyDescent="0.25">
      <c r="B171" s="7" t="str">
        <f>Master[[#This Row],[Accession Prefix (NPGS)]]&amp;" "&amp;Master[[#This Row],[Accession Number -Assigned]]&amp;" COLLECTED "&amp;TEXT(SourceCollector[[#This Row],[Source Date]], "MM/DD/YYYY")</f>
        <v xml:space="preserve">  COLLECTED </v>
      </c>
      <c r="C171" s="17" t="str">
        <f>IF(Master[[#This Row],[Cooperator (Collector) 2 -full record]]="","",Master[[#This Row],[Cooperator (Collector) 2 -full record]])</f>
        <v/>
      </c>
    </row>
    <row r="172" spans="2:3" x14ac:dyDescent="0.25">
      <c r="B172" s="7" t="str">
        <f>Master[[#This Row],[Accession Prefix (NPGS)]]&amp;" "&amp;Master[[#This Row],[Accession Number -Assigned]]&amp;" COLLECTED "&amp;TEXT(SourceCollector[[#This Row],[Source Date]], "MM/DD/YYYY")</f>
        <v xml:space="preserve">  COLLECTED </v>
      </c>
      <c r="C172" s="17" t="str">
        <f>IF(Master[[#This Row],[Cooperator (Collector) 2 -full record]]="","",Master[[#This Row],[Cooperator (Collector) 2 -full record]])</f>
        <v/>
      </c>
    </row>
    <row r="173" spans="2:3" x14ac:dyDescent="0.25">
      <c r="B173" s="7" t="str">
        <f>Master[[#This Row],[Accession Prefix (NPGS)]]&amp;" "&amp;Master[[#This Row],[Accession Number -Assigned]]&amp;" COLLECTED "&amp;TEXT(SourceCollector[[#This Row],[Source Date]], "MM/DD/YYYY")</f>
        <v xml:space="preserve">  COLLECTED </v>
      </c>
      <c r="C173" s="17" t="str">
        <f>IF(Master[[#This Row],[Cooperator (Collector) 2 -full record]]="","",Master[[#This Row],[Cooperator (Collector) 2 -full record]])</f>
        <v/>
      </c>
    </row>
    <row r="174" spans="2:3" x14ac:dyDescent="0.25">
      <c r="B174" s="7" t="str">
        <f>Master[[#This Row],[Accession Prefix (NPGS)]]&amp;" "&amp;Master[[#This Row],[Accession Number -Assigned]]&amp;" COLLECTED "&amp;TEXT(SourceCollector[[#This Row],[Source Date]], "MM/DD/YYYY")</f>
        <v xml:space="preserve">  COLLECTED </v>
      </c>
      <c r="C174" s="17" t="str">
        <f>IF(Master[[#This Row],[Cooperator (Collector) 2 -full record]]="","",Master[[#This Row],[Cooperator (Collector) 2 -full record]])</f>
        <v/>
      </c>
    </row>
    <row r="175" spans="2:3" x14ac:dyDescent="0.25">
      <c r="B175" s="7" t="str">
        <f>Master[[#This Row],[Accession Prefix (NPGS)]]&amp;" "&amp;Master[[#This Row],[Accession Number -Assigned]]&amp;" COLLECTED "&amp;TEXT(SourceCollector[[#This Row],[Source Date]], "MM/DD/YYYY")</f>
        <v xml:space="preserve">  COLLECTED </v>
      </c>
      <c r="C175" s="17" t="str">
        <f>IF(Master[[#This Row],[Cooperator (Collector) 2 -full record]]="","",Master[[#This Row],[Cooperator (Collector) 2 -full record]])</f>
        <v/>
      </c>
    </row>
    <row r="176" spans="2:3" x14ac:dyDescent="0.25">
      <c r="B176" s="7" t="str">
        <f>Master[[#This Row],[Accession Prefix (NPGS)]]&amp;" "&amp;Master[[#This Row],[Accession Number -Assigned]]&amp;" COLLECTED "&amp;TEXT(SourceCollector[[#This Row],[Source Date]], "MM/DD/YYYY")</f>
        <v xml:space="preserve">  COLLECTED </v>
      </c>
      <c r="C176" s="17" t="str">
        <f>IF(Master[[#This Row],[Cooperator (Collector) 2 -full record]]="","",Master[[#This Row],[Cooperator (Collector) 2 -full record]])</f>
        <v/>
      </c>
    </row>
    <row r="177" spans="2:3" x14ac:dyDescent="0.25">
      <c r="B177" s="7" t="str">
        <f>Master[[#This Row],[Accession Prefix (NPGS)]]&amp;" "&amp;Master[[#This Row],[Accession Number -Assigned]]&amp;" COLLECTED "&amp;TEXT(SourceCollector[[#This Row],[Source Date]], "MM/DD/YYYY")</f>
        <v xml:space="preserve">  COLLECTED </v>
      </c>
      <c r="C177" s="17" t="str">
        <f>IF(Master[[#This Row],[Cooperator (Collector) 2 -full record]]="","",Master[[#This Row],[Cooperator (Collector) 2 -full record]])</f>
        <v/>
      </c>
    </row>
    <row r="178" spans="2:3" x14ac:dyDescent="0.25">
      <c r="B178" s="7" t="str">
        <f>Master[[#This Row],[Accession Prefix (NPGS)]]&amp;" "&amp;Master[[#This Row],[Accession Number -Assigned]]&amp;" COLLECTED "&amp;TEXT(SourceCollector[[#This Row],[Source Date]], "MM/DD/YYYY")</f>
        <v xml:space="preserve">  COLLECTED </v>
      </c>
      <c r="C178" s="17" t="str">
        <f>IF(Master[[#This Row],[Cooperator (Collector) 2 -full record]]="","",Master[[#This Row],[Cooperator (Collector) 2 -full record]])</f>
        <v/>
      </c>
    </row>
    <row r="179" spans="2:3" x14ac:dyDescent="0.25">
      <c r="B179" s="7" t="str">
        <f>Master[[#This Row],[Accession Prefix (NPGS)]]&amp;" "&amp;Master[[#This Row],[Accession Number -Assigned]]&amp;" COLLECTED "&amp;TEXT(SourceCollector[[#This Row],[Source Date]], "MM/DD/YYYY")</f>
        <v xml:space="preserve">  COLLECTED </v>
      </c>
      <c r="C179" s="17" t="str">
        <f>IF(Master[[#This Row],[Cooperator (Collector) 2 -full record]]="","",Master[[#This Row],[Cooperator (Collector) 2 -full record]])</f>
        <v/>
      </c>
    </row>
    <row r="180" spans="2:3" x14ac:dyDescent="0.25">
      <c r="B180" s="7" t="str">
        <f>Master[[#This Row],[Accession Prefix (NPGS)]]&amp;" "&amp;Master[[#This Row],[Accession Number -Assigned]]&amp;" COLLECTED "&amp;TEXT(SourceCollector[[#This Row],[Source Date]], "MM/DD/YYYY")</f>
        <v xml:space="preserve">  COLLECTED </v>
      </c>
      <c r="C180" s="17" t="str">
        <f>IF(Master[[#This Row],[Cooperator (Collector) 2 -full record]]="","",Master[[#This Row],[Cooperator (Collector) 2 -full record]])</f>
        <v/>
      </c>
    </row>
    <row r="181" spans="2:3" x14ac:dyDescent="0.25">
      <c r="B181" s="7" t="str">
        <f>Master[[#This Row],[Accession Prefix (NPGS)]]&amp;" "&amp;Master[[#This Row],[Accession Number -Assigned]]&amp;" COLLECTED "&amp;TEXT(SourceCollector[[#This Row],[Source Date]], "MM/DD/YYYY")</f>
        <v xml:space="preserve">  COLLECTED </v>
      </c>
      <c r="C181" s="17" t="str">
        <f>IF(Master[[#This Row],[Cooperator (Collector) 2 -full record]]="","",Master[[#This Row],[Cooperator (Collector) 2 -full record]])</f>
        <v/>
      </c>
    </row>
    <row r="182" spans="2:3" x14ac:dyDescent="0.25">
      <c r="B182" s="7" t="str">
        <f>Master[[#This Row],[Accession Prefix (NPGS)]]&amp;" "&amp;Master[[#This Row],[Accession Number -Assigned]]&amp;" COLLECTED "&amp;TEXT(SourceCollector[[#This Row],[Source Date]], "MM/DD/YYYY")</f>
        <v xml:space="preserve">  COLLECTED </v>
      </c>
      <c r="C182" s="17" t="str">
        <f>IF(Master[[#This Row],[Cooperator (Collector) 2 -full record]]="","",Master[[#This Row],[Cooperator (Collector) 2 -full record]])</f>
        <v/>
      </c>
    </row>
    <row r="183" spans="2:3" x14ac:dyDescent="0.25">
      <c r="B183" s="7" t="str">
        <f>Master[[#This Row],[Accession Prefix (NPGS)]]&amp;" "&amp;Master[[#This Row],[Accession Number -Assigned]]&amp;" COLLECTED "&amp;TEXT(SourceCollector[[#This Row],[Source Date]], "MM/DD/YYYY")</f>
        <v xml:space="preserve">  COLLECTED </v>
      </c>
      <c r="C183" s="17" t="str">
        <f>IF(Master[[#This Row],[Cooperator (Collector) 2 -full record]]="","",Master[[#This Row],[Cooperator (Collector) 2 -full record]])</f>
        <v/>
      </c>
    </row>
    <row r="184" spans="2:3" x14ac:dyDescent="0.25">
      <c r="B184" s="7" t="str">
        <f>Master[[#This Row],[Accession Prefix (NPGS)]]&amp;" "&amp;Master[[#This Row],[Accession Number -Assigned]]&amp;" COLLECTED "&amp;TEXT(SourceCollector[[#This Row],[Source Date]], "MM/DD/YYYY")</f>
        <v xml:space="preserve">  COLLECTED </v>
      </c>
      <c r="C184" s="17" t="str">
        <f>IF(Master[[#This Row],[Cooperator (Collector) 2 -full record]]="","",Master[[#This Row],[Cooperator (Collector) 2 -full record]])</f>
        <v/>
      </c>
    </row>
    <row r="185" spans="2:3" x14ac:dyDescent="0.25">
      <c r="B185" s="7" t="str">
        <f>Master[[#This Row],[Accession Prefix (NPGS)]]&amp;" "&amp;Master[[#This Row],[Accession Number -Assigned]]&amp;" COLLECTED "&amp;TEXT(SourceCollector[[#This Row],[Source Date]], "MM/DD/YYYY")</f>
        <v xml:space="preserve">  COLLECTED </v>
      </c>
      <c r="C185" s="17" t="str">
        <f>IF(Master[[#This Row],[Cooperator (Collector) 2 -full record]]="","",Master[[#This Row],[Cooperator (Collector) 2 -full record]])</f>
        <v/>
      </c>
    </row>
    <row r="186" spans="2:3" x14ac:dyDescent="0.25">
      <c r="B186" s="7" t="str">
        <f>Master[[#This Row],[Accession Prefix (NPGS)]]&amp;" "&amp;Master[[#This Row],[Accession Number -Assigned]]&amp;" COLLECTED "&amp;TEXT(SourceCollector[[#This Row],[Source Date]], "MM/DD/YYYY")</f>
        <v xml:space="preserve">  COLLECTED </v>
      </c>
      <c r="C186" s="17" t="str">
        <f>IF(Master[[#This Row],[Cooperator (Collector) 2 -full record]]="","",Master[[#This Row],[Cooperator (Collector) 2 -full record]])</f>
        <v/>
      </c>
    </row>
    <row r="187" spans="2:3" x14ac:dyDescent="0.25">
      <c r="B187" s="7" t="str">
        <f>Master[[#This Row],[Accession Prefix (NPGS)]]&amp;" "&amp;Master[[#This Row],[Accession Number -Assigned]]&amp;" COLLECTED "&amp;TEXT(SourceCollector[[#This Row],[Source Date]], "MM/DD/YYYY")</f>
        <v xml:space="preserve">  COLLECTED </v>
      </c>
      <c r="C187" s="17" t="str">
        <f>IF(Master[[#This Row],[Cooperator (Collector) 2 -full record]]="","",Master[[#This Row],[Cooperator (Collector) 2 -full record]])</f>
        <v/>
      </c>
    </row>
    <row r="188" spans="2:3" x14ac:dyDescent="0.25">
      <c r="B188" s="7" t="str">
        <f>Master[[#This Row],[Accession Prefix (NPGS)]]&amp;" "&amp;Master[[#This Row],[Accession Number -Assigned]]&amp;" COLLECTED "&amp;TEXT(SourceCollector[[#This Row],[Source Date]], "MM/DD/YYYY")</f>
        <v xml:space="preserve">  COLLECTED </v>
      </c>
      <c r="C188" s="17" t="str">
        <f>IF(Master[[#This Row],[Cooperator (Collector) 2 -full record]]="","",Master[[#This Row],[Cooperator (Collector) 2 -full record]])</f>
        <v/>
      </c>
    </row>
    <row r="189" spans="2:3" x14ac:dyDescent="0.25">
      <c r="B189" s="7" t="str">
        <f>Master[[#This Row],[Accession Prefix (NPGS)]]&amp;" "&amp;Master[[#This Row],[Accession Number -Assigned]]&amp;" COLLECTED "&amp;TEXT(SourceCollector[[#This Row],[Source Date]], "MM/DD/YYYY")</f>
        <v xml:space="preserve">  COLLECTED </v>
      </c>
      <c r="C189" s="17" t="str">
        <f>IF(Master[[#This Row],[Cooperator (Collector) 2 -full record]]="","",Master[[#This Row],[Cooperator (Collector) 2 -full record]])</f>
        <v/>
      </c>
    </row>
    <row r="190" spans="2:3" x14ac:dyDescent="0.25">
      <c r="B190" s="7" t="str">
        <f>Master[[#This Row],[Accession Prefix (NPGS)]]&amp;" "&amp;Master[[#This Row],[Accession Number -Assigned]]&amp;" COLLECTED "&amp;TEXT(SourceCollector[[#This Row],[Source Date]], "MM/DD/YYYY")</f>
        <v xml:space="preserve">  COLLECTED </v>
      </c>
      <c r="C190" s="17" t="str">
        <f>IF(Master[[#This Row],[Cooperator (Collector) 2 -full record]]="","",Master[[#This Row],[Cooperator (Collector) 2 -full record]])</f>
        <v/>
      </c>
    </row>
    <row r="191" spans="2:3" x14ac:dyDescent="0.25">
      <c r="B191" s="7" t="str">
        <f>Master[[#This Row],[Accession Prefix (NPGS)]]&amp;" "&amp;Master[[#This Row],[Accession Number -Assigned]]&amp;" COLLECTED "&amp;TEXT(SourceCollector[[#This Row],[Source Date]], "MM/DD/YYYY")</f>
        <v xml:space="preserve">  COLLECTED </v>
      </c>
      <c r="C191" s="17" t="str">
        <f>IF(Master[[#This Row],[Cooperator (Collector) 2 -full record]]="","",Master[[#This Row],[Cooperator (Collector) 2 -full record]])</f>
        <v/>
      </c>
    </row>
    <row r="192" spans="2:3" x14ac:dyDescent="0.25">
      <c r="B192" s="7" t="str">
        <f>Master[[#This Row],[Accession Prefix (NPGS)]]&amp;" "&amp;Master[[#This Row],[Accession Number -Assigned]]&amp;" COLLECTED "&amp;TEXT(SourceCollector[[#This Row],[Source Date]], "MM/DD/YYYY")</f>
        <v xml:space="preserve">  COLLECTED </v>
      </c>
      <c r="C192" s="17" t="str">
        <f>IF(Master[[#This Row],[Cooperator (Collector) 2 -full record]]="","",Master[[#This Row],[Cooperator (Collector) 2 -full record]])</f>
        <v/>
      </c>
    </row>
    <row r="193" spans="2:3" x14ac:dyDescent="0.25">
      <c r="B193" s="7" t="str">
        <f>Master[[#This Row],[Accession Prefix (NPGS)]]&amp;" "&amp;Master[[#This Row],[Accession Number -Assigned]]&amp;" COLLECTED "&amp;TEXT(SourceCollector[[#This Row],[Source Date]], "MM/DD/YYYY")</f>
        <v xml:space="preserve">  COLLECTED </v>
      </c>
      <c r="C193" s="17" t="str">
        <f>IF(Master[[#This Row],[Cooperator (Collector) 2 -full record]]="","",Master[[#This Row],[Cooperator (Collector) 2 -full record]])</f>
        <v/>
      </c>
    </row>
    <row r="194" spans="2:3" x14ac:dyDescent="0.25">
      <c r="B194" s="7" t="str">
        <f>Master[[#This Row],[Accession Prefix (NPGS)]]&amp;" "&amp;Master[[#This Row],[Accession Number -Assigned]]&amp;" COLLECTED "&amp;TEXT(SourceCollector[[#This Row],[Source Date]], "MM/DD/YYYY")</f>
        <v xml:space="preserve">  COLLECTED </v>
      </c>
      <c r="C194" s="17" t="str">
        <f>IF(Master[[#This Row],[Cooperator (Collector) 2 -full record]]="","",Master[[#This Row],[Cooperator (Collector) 2 -full record]])</f>
        <v/>
      </c>
    </row>
    <row r="195" spans="2:3" x14ac:dyDescent="0.25">
      <c r="B195" s="7" t="str">
        <f>Master[[#This Row],[Accession Prefix (NPGS)]]&amp;" "&amp;Master[[#This Row],[Accession Number -Assigned]]&amp;" COLLECTED "&amp;TEXT(SourceCollector[[#This Row],[Source Date]], "MM/DD/YYYY")</f>
        <v xml:space="preserve">  COLLECTED </v>
      </c>
      <c r="C195" s="17" t="str">
        <f>IF(Master[[#This Row],[Cooperator (Collector) 2 -full record]]="","",Master[[#This Row],[Cooperator (Collector) 2 -full record]])</f>
        <v/>
      </c>
    </row>
    <row r="196" spans="2:3" x14ac:dyDescent="0.25">
      <c r="B196" s="7" t="str">
        <f>Master[[#This Row],[Accession Prefix (NPGS)]]&amp;" "&amp;Master[[#This Row],[Accession Number -Assigned]]&amp;" COLLECTED "&amp;TEXT(SourceCollector[[#This Row],[Source Date]], "MM/DD/YYYY")</f>
        <v xml:space="preserve">  COLLECTED </v>
      </c>
      <c r="C196" s="17" t="str">
        <f>IF(Master[[#This Row],[Cooperator (Collector) 2 -full record]]="","",Master[[#This Row],[Cooperator (Collector) 2 -full record]])</f>
        <v/>
      </c>
    </row>
    <row r="197" spans="2:3" x14ac:dyDescent="0.25">
      <c r="B197" s="7" t="str">
        <f>Master[[#This Row],[Accession Prefix (NPGS)]]&amp;" "&amp;Master[[#This Row],[Accession Number -Assigned]]&amp;" COLLECTED "&amp;TEXT(SourceCollector[[#This Row],[Source Date]], "MM/DD/YYYY")</f>
        <v xml:space="preserve">  COLLECTED </v>
      </c>
      <c r="C197" s="17" t="str">
        <f>IF(Master[[#This Row],[Cooperator (Collector) 2 -full record]]="","",Master[[#This Row],[Cooperator (Collector) 2 -full record]])</f>
        <v/>
      </c>
    </row>
    <row r="198" spans="2:3" x14ac:dyDescent="0.25">
      <c r="B198" s="7" t="str">
        <f>Master[[#This Row],[Accession Prefix (NPGS)]]&amp;" "&amp;Master[[#This Row],[Accession Number -Assigned]]&amp;" COLLECTED "&amp;TEXT(SourceCollector[[#This Row],[Source Date]], "MM/DD/YYYY")</f>
        <v xml:space="preserve">  COLLECTED </v>
      </c>
      <c r="C198" s="17" t="str">
        <f>IF(Master[[#This Row],[Cooperator (Collector) 2 -full record]]="","",Master[[#This Row],[Cooperator (Collector) 2 -full record]])</f>
        <v/>
      </c>
    </row>
    <row r="199" spans="2:3" x14ac:dyDescent="0.25">
      <c r="B199" s="7" t="str">
        <f>Master[[#This Row],[Accession Prefix (NPGS)]]&amp;" "&amp;Master[[#This Row],[Accession Number -Assigned]]&amp;" COLLECTED "&amp;TEXT(SourceCollector[[#This Row],[Source Date]], "MM/DD/YYYY")</f>
        <v xml:space="preserve">  COLLECTED </v>
      </c>
      <c r="C199" s="17" t="str">
        <f>IF(Master[[#This Row],[Cooperator (Collector) 2 -full record]]="","",Master[[#This Row],[Cooperator (Collector) 2 -full record]])</f>
        <v/>
      </c>
    </row>
    <row r="200" spans="2:3" x14ac:dyDescent="0.25">
      <c r="B200" s="7" t="str">
        <f>Master[[#This Row],[Accession Prefix (NPGS)]]&amp;" "&amp;Master[[#This Row],[Accession Number -Assigned]]&amp;" COLLECTED "&amp;TEXT(SourceCollector[[#This Row],[Source Date]], "MM/DD/YYYY")</f>
        <v xml:space="preserve">  COLLECTED </v>
      </c>
      <c r="C200" s="17" t="str">
        <f>IF(Master[[#This Row],[Cooperator (Collector) 2 -full record]]="","",Master[[#This Row],[Cooperator (Collector) 2 -full record]])</f>
        <v/>
      </c>
    </row>
    <row r="201" spans="2:3" x14ac:dyDescent="0.25">
      <c r="B201" s="7" t="str">
        <f>Master[[#This Row],[Accession Prefix (NPGS)]]&amp;" "&amp;Master[[#This Row],[Accession Number -Assigned]]&amp;" COLLECTED "&amp;TEXT(SourceCollector[[#This Row],[Source Date]], "MM/DD/YYYY")</f>
        <v xml:space="preserve">  COLLECTED </v>
      </c>
      <c r="C201" s="17" t="str">
        <f>IF(Master[[#This Row],[Cooperator (Collector) 2 -full record]]="","",Master[[#This Row],[Cooperator (Collector) 2 -full record]])</f>
        <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0">
    <tabColor theme="4" tint="0.59999389629810485"/>
  </sheetPr>
  <dimension ref="A1:D201"/>
  <sheetViews>
    <sheetView workbookViewId="0">
      <selection activeCell="A2" sqref="A2"/>
    </sheetView>
  </sheetViews>
  <sheetFormatPr defaultColWidth="9.140625" defaultRowHeight="15" x14ac:dyDescent="0.25"/>
  <cols>
    <col min="1" max="1" width="9.85546875" style="7" customWidth="1"/>
    <col min="2" max="2" width="33.140625" style="7" customWidth="1"/>
    <col min="3" max="3" width="33.5703125" style="7" customWidth="1"/>
    <col min="4" max="4" width="9.7109375" style="7" bestFit="1" customWidth="1"/>
    <col min="5" max="16384" width="9.140625" style="7"/>
  </cols>
  <sheetData>
    <row r="1" spans="1:4" s="116" customFormat="1" ht="45" x14ac:dyDescent="0.25">
      <c r="A1" s="116" t="s">
        <v>73</v>
      </c>
      <c r="B1" s="118" t="s">
        <v>74</v>
      </c>
      <c r="C1" s="118" t="s">
        <v>55</v>
      </c>
    </row>
    <row r="2" spans="1:4" ht="15.75" x14ac:dyDescent="0.25">
      <c r="A2" s="1"/>
      <c r="B2" s="7" t="str">
        <f>Master[[#This Row],[Accession Prefix (NPGS)]]&amp;" "&amp;Master[[#This Row],[Accession Number -Assigned]]&amp;" COLLECTED "&amp;TEXT(SourceCollector[[#This Row],[Source Date]], "MM/DD/YYYY")</f>
        <v>W6 57036 COLLECTED 07/09/2018</v>
      </c>
      <c r="C2" s="17" t="str">
        <f>IF(Master[[#This Row],[Cooperator (Collector) 3 -full record]]="","",Master[[#This Row],[Cooperator (Collector) 3 -full record]])</f>
        <v/>
      </c>
      <c r="D2" s="2"/>
    </row>
    <row r="3" spans="1:4" x14ac:dyDescent="0.25">
      <c r="B3" s="7" t="str">
        <f>Master[[#This Row],[Accession Prefix (NPGS)]]&amp;" "&amp;Master[[#This Row],[Accession Number -Assigned]]&amp;" COLLECTED "&amp;TEXT(SourceCollector[[#This Row],[Source Date]], "MM/DD/YYYY")</f>
        <v>W6  COLLECTED COLL_DT</v>
      </c>
      <c r="C3" s="17" t="str">
        <f>IF(Master[[#This Row],[Cooperator (Collector) 3 -full record]]="","",Master[[#This Row],[Cooperator (Collector) 3 -full record]])</f>
        <v/>
      </c>
      <c r="D3" s="2"/>
    </row>
    <row r="4" spans="1:4" x14ac:dyDescent="0.25">
      <c r="B4" s="7" t="str">
        <f>Master[[#This Row],[Accession Prefix (NPGS)]]&amp;" "&amp;Master[[#This Row],[Accession Number -Assigned]]&amp;" COLLECTED "&amp;TEXT(SourceCollector[[#This Row],[Source Date]], "MM/DD/YYYY")</f>
        <v>W6 59590 COLLECTED 07/01/2020</v>
      </c>
      <c r="C4" s="17" t="str">
        <f>IF(Master[[#This Row],[Cooperator (Collector) 3 -full record]]="","",Master[[#This Row],[Cooperator (Collector) 3 -full record]])</f>
        <v/>
      </c>
      <c r="D4" s="2"/>
    </row>
    <row r="5" spans="1:4" x14ac:dyDescent="0.25">
      <c r="B5" s="7" t="str">
        <f>Master[[#This Row],[Accession Prefix (NPGS)]]&amp;" "&amp;Master[[#This Row],[Accession Number -Assigned]]&amp;" COLLECTED "&amp;TEXT(SourceCollector[[#This Row],[Source Date]], "MM/DD/YYYY")</f>
        <v>W6 59591 COLLECTED 07/14/2020</v>
      </c>
      <c r="C5" s="17" t="str">
        <f>IF(Master[[#This Row],[Cooperator (Collector) 3 -full record]]="","",Master[[#This Row],[Cooperator (Collector) 3 -full record]])</f>
        <v/>
      </c>
      <c r="D5" s="2"/>
    </row>
    <row r="6" spans="1:4" x14ac:dyDescent="0.25">
      <c r="B6" s="7" t="str">
        <f>Master[[#This Row],[Accession Prefix (NPGS)]]&amp;" "&amp;Master[[#This Row],[Accession Number -Assigned]]&amp;" COLLECTED "&amp;TEXT(SourceCollector[[#This Row],[Source Date]], "MM/DD/YYYY")</f>
        <v>W6 59592 COLLECTED 07/29/2020</v>
      </c>
      <c r="C6" s="17" t="str">
        <f>IF(Master[[#This Row],[Cooperator (Collector) 3 -full record]]="","",Master[[#This Row],[Cooperator (Collector) 3 -full record]])</f>
        <v/>
      </c>
      <c r="D6" s="2"/>
    </row>
    <row r="7" spans="1:4" x14ac:dyDescent="0.25">
      <c r="B7" s="7" t="str">
        <f>Master[[#This Row],[Accession Prefix (NPGS)]]&amp;" "&amp;Master[[#This Row],[Accession Number -Assigned]]&amp;" COLLECTED "&amp;TEXT(SourceCollector[[#This Row],[Source Date]], "MM/DD/YYYY")</f>
        <v>W6 59593 COLLECTED 08/04/2020</v>
      </c>
      <c r="C7" s="17" t="str">
        <f>IF(Master[[#This Row],[Cooperator (Collector) 3 -full record]]="","",Master[[#This Row],[Cooperator (Collector) 3 -full record]])</f>
        <v/>
      </c>
      <c r="D7" s="2"/>
    </row>
    <row r="8" spans="1:4" x14ac:dyDescent="0.25">
      <c r="B8" s="7" t="str">
        <f>Master[[#This Row],[Accession Prefix (NPGS)]]&amp;" "&amp;Master[[#This Row],[Accession Number -Assigned]]&amp;" COLLECTED "&amp;TEXT(SourceCollector[[#This Row],[Source Date]], "MM/DD/YYYY")</f>
        <v>W6 59594 COLLECTED 08/10/2020</v>
      </c>
      <c r="C8" s="17" t="str">
        <f>IF(Master[[#This Row],[Cooperator (Collector) 3 -full record]]="","",Master[[#This Row],[Cooperator (Collector) 3 -full record]])</f>
        <v/>
      </c>
      <c r="D8" s="2"/>
    </row>
    <row r="9" spans="1:4" x14ac:dyDescent="0.25">
      <c r="B9" s="7" t="str">
        <f>Master[[#This Row],[Accession Prefix (NPGS)]]&amp;" "&amp;Master[[#This Row],[Accession Number -Assigned]]&amp;" COLLECTED "&amp;TEXT(SourceCollector[[#This Row],[Source Date]], "MM/DD/YYYY")</f>
        <v>W6 59595 COLLECTED 08/12/2020</v>
      </c>
      <c r="C9" s="17" t="str">
        <f>IF(Master[[#This Row],[Cooperator (Collector) 3 -full record]]="","",Master[[#This Row],[Cooperator (Collector) 3 -full record]])</f>
        <v/>
      </c>
      <c r="D9" s="2"/>
    </row>
    <row r="10" spans="1:4" x14ac:dyDescent="0.25">
      <c r="B10" s="7" t="str">
        <f>Master[[#This Row],[Accession Prefix (NPGS)]]&amp;" "&amp;Master[[#This Row],[Accession Number -Assigned]]&amp;" COLLECTED "&amp;TEXT(SourceCollector[[#This Row],[Source Date]], "MM/DD/YYYY")</f>
        <v>W6 59596 COLLECTED 08/13/2020</v>
      </c>
      <c r="C10" s="17" t="str">
        <f>IF(Master[[#This Row],[Cooperator (Collector) 3 -full record]]="","",Master[[#This Row],[Cooperator (Collector) 3 -full record]])</f>
        <v/>
      </c>
      <c r="D10" s="2"/>
    </row>
    <row r="11" spans="1:4" x14ac:dyDescent="0.25">
      <c r="B11" s="7" t="str">
        <f>Master[[#This Row],[Accession Prefix (NPGS)]]&amp;" "&amp;Master[[#This Row],[Accession Number -Assigned]]&amp;" COLLECTED "&amp;TEXT(SourceCollector[[#This Row],[Source Date]], "MM/DD/YYYY")</f>
        <v>W6 59597 COLLECTED 08/18/2020</v>
      </c>
      <c r="C11" s="17" t="str">
        <f>IF(Master[[#This Row],[Cooperator (Collector) 3 -full record]]="","",Master[[#This Row],[Cooperator (Collector) 3 -full record]])</f>
        <v/>
      </c>
      <c r="D11" s="2"/>
    </row>
    <row r="12" spans="1:4" x14ac:dyDescent="0.25">
      <c r="B12" s="7" t="str">
        <f>Master[[#This Row],[Accession Prefix (NPGS)]]&amp;" "&amp;Master[[#This Row],[Accession Number -Assigned]]&amp;" COLLECTED "&amp;TEXT(SourceCollector[[#This Row],[Source Date]], "MM/DD/YYYY")</f>
        <v>W6 59598 COLLECTED 08/18/2020</v>
      </c>
      <c r="C12" s="17" t="str">
        <f>IF(Master[[#This Row],[Cooperator (Collector) 3 -full record]]="","",Master[[#This Row],[Cooperator (Collector) 3 -full record]])</f>
        <v/>
      </c>
      <c r="D12" s="2"/>
    </row>
    <row r="13" spans="1:4" x14ac:dyDescent="0.25">
      <c r="B13" s="7" t="str">
        <f>Master[[#This Row],[Accession Prefix (NPGS)]]&amp;" "&amp;Master[[#This Row],[Accession Number -Assigned]]&amp;" COLLECTED "&amp;TEXT(SourceCollector[[#This Row],[Source Date]], "MM/DD/YYYY")</f>
        <v>W6 59599 COLLECTED 08/19/2020</v>
      </c>
      <c r="C13" s="17" t="str">
        <f>IF(Master[[#This Row],[Cooperator (Collector) 3 -full record]]="","",Master[[#This Row],[Cooperator (Collector) 3 -full record]])</f>
        <v/>
      </c>
      <c r="D13" s="2"/>
    </row>
    <row r="14" spans="1:4" x14ac:dyDescent="0.25">
      <c r="B14" s="7" t="str">
        <f>Master[[#This Row],[Accession Prefix (NPGS)]]&amp;" "&amp;Master[[#This Row],[Accession Number -Assigned]]&amp;" COLLECTED "&amp;TEXT(SourceCollector[[#This Row],[Source Date]], "MM/DD/YYYY")</f>
        <v>W6 59600 COLLECTED 08/20/2020</v>
      </c>
      <c r="C14" s="17" t="str">
        <f>IF(Master[[#This Row],[Cooperator (Collector) 3 -full record]]="","",Master[[#This Row],[Cooperator (Collector) 3 -full record]])</f>
        <v/>
      </c>
      <c r="D14" s="2"/>
    </row>
    <row r="15" spans="1:4" x14ac:dyDescent="0.25">
      <c r="B15" s="7" t="str">
        <f>Master[[#This Row],[Accession Prefix (NPGS)]]&amp;" "&amp;Master[[#This Row],[Accession Number -Assigned]]&amp;" COLLECTED "&amp;TEXT(SourceCollector[[#This Row],[Source Date]], "MM/DD/YYYY")</f>
        <v>W6 59601 COLLECTED 08/26/2020</v>
      </c>
      <c r="C15" s="17" t="str">
        <f>IF(Master[[#This Row],[Cooperator (Collector) 3 -full record]]="","",Master[[#This Row],[Cooperator (Collector) 3 -full record]])</f>
        <v/>
      </c>
      <c r="D15" s="2"/>
    </row>
    <row r="16" spans="1:4" x14ac:dyDescent="0.25">
      <c r="B16" s="7" t="str">
        <f>Master[[#This Row],[Accession Prefix (NPGS)]]&amp;" "&amp;Master[[#This Row],[Accession Number -Assigned]]&amp;" COLLECTED "&amp;TEXT(SourceCollector[[#This Row],[Source Date]], "MM/DD/YYYY")</f>
        <v>W6 59602 COLLECTED 08/27/2020</v>
      </c>
      <c r="C16" s="17" t="str">
        <f>IF(Master[[#This Row],[Cooperator (Collector) 3 -full record]]="","",Master[[#This Row],[Cooperator (Collector) 3 -full record]])</f>
        <v/>
      </c>
      <c r="D16" s="2"/>
    </row>
    <row r="17" spans="2:4" x14ac:dyDescent="0.25">
      <c r="B17" s="7" t="str">
        <f>Master[[#This Row],[Accession Prefix (NPGS)]]&amp;" "&amp;Master[[#This Row],[Accession Number -Assigned]]&amp;" COLLECTED "&amp;TEXT(SourceCollector[[#This Row],[Source Date]], "MM/DD/YYYY")</f>
        <v>W6 59603 COLLECTED 09/02/2020</v>
      </c>
      <c r="C17" s="17" t="str">
        <f>IF(Master[[#This Row],[Cooperator (Collector) 3 -full record]]="","",Master[[#This Row],[Cooperator (Collector) 3 -full record]])</f>
        <v/>
      </c>
      <c r="D17" s="2"/>
    </row>
    <row r="18" spans="2:4" x14ac:dyDescent="0.25">
      <c r="B18" s="7" t="str">
        <f>Master[[#This Row],[Accession Prefix (NPGS)]]&amp;" "&amp;Master[[#This Row],[Accession Number -Assigned]]&amp;" COLLECTED "&amp;TEXT(SourceCollector[[#This Row],[Source Date]], "MM/DD/YYYY")</f>
        <v>W6 59604 COLLECTED 09/03/2020</v>
      </c>
      <c r="C18" s="17" t="str">
        <f>IF(Master[[#This Row],[Cooperator (Collector) 3 -full record]]="","",Master[[#This Row],[Cooperator (Collector) 3 -full record]])</f>
        <v/>
      </c>
      <c r="D18" s="2"/>
    </row>
    <row r="19" spans="2:4" x14ac:dyDescent="0.25">
      <c r="B19" s="7" t="str">
        <f>Master[[#This Row],[Accession Prefix (NPGS)]]&amp;" "&amp;Master[[#This Row],[Accession Number -Assigned]]&amp;" COLLECTED "&amp;TEXT(SourceCollector[[#This Row],[Source Date]], "MM/DD/YYYY")</f>
        <v>W6 59605 COLLECTED 09/10/2020</v>
      </c>
      <c r="C19" s="17" t="str">
        <f>IF(Master[[#This Row],[Cooperator (Collector) 3 -full record]]="","",Master[[#This Row],[Cooperator (Collector) 3 -full record]])</f>
        <v/>
      </c>
      <c r="D19" s="2"/>
    </row>
    <row r="20" spans="2:4" x14ac:dyDescent="0.25">
      <c r="B20" s="7" t="str">
        <f>Master[[#This Row],[Accession Prefix (NPGS)]]&amp;" "&amp;Master[[#This Row],[Accession Number -Assigned]]&amp;" COLLECTED "&amp;TEXT(SourceCollector[[#This Row],[Source Date]], "MM/DD/YYYY")</f>
        <v>W6 59606 COLLECTED 09/15/2020</v>
      </c>
      <c r="C20" s="17" t="str">
        <f>IF(Master[[#This Row],[Cooperator (Collector) 3 -full record]]="","",Master[[#This Row],[Cooperator (Collector) 3 -full record]])</f>
        <v/>
      </c>
      <c r="D20" s="2"/>
    </row>
    <row r="21" spans="2:4" x14ac:dyDescent="0.25">
      <c r="B21" s="7" t="str">
        <f>Master[[#This Row],[Accession Prefix (NPGS)]]&amp;" "&amp;Master[[#This Row],[Accession Number -Assigned]]&amp;" COLLECTED "&amp;TEXT(SourceCollector[[#This Row],[Source Date]], "MM/DD/YYYY")</f>
        <v>W6 59607 COLLECTED 09/15/2020</v>
      </c>
      <c r="C21" s="17" t="str">
        <f>IF(Master[[#This Row],[Cooperator (Collector) 3 -full record]]="","",Master[[#This Row],[Cooperator (Collector) 3 -full record]])</f>
        <v/>
      </c>
      <c r="D21" s="2"/>
    </row>
    <row r="22" spans="2:4" x14ac:dyDescent="0.25">
      <c r="B22" s="7" t="str">
        <f>Master[[#This Row],[Accession Prefix (NPGS)]]&amp;" "&amp;Master[[#This Row],[Accession Number -Assigned]]&amp;" COLLECTED "&amp;TEXT(SourceCollector[[#This Row],[Source Date]], "MM/DD/YYYY")</f>
        <v>W6 59608 COLLECTED 09/16/2020</v>
      </c>
      <c r="C22" s="17" t="str">
        <f>IF(Master[[#This Row],[Cooperator (Collector) 3 -full record]]="","",Master[[#This Row],[Cooperator (Collector) 3 -full record]])</f>
        <v/>
      </c>
      <c r="D22" s="2"/>
    </row>
    <row r="23" spans="2:4" x14ac:dyDescent="0.25">
      <c r="B23" s="7" t="str">
        <f>Master[[#This Row],[Accession Prefix (NPGS)]]&amp;" "&amp;Master[[#This Row],[Accession Number -Assigned]]&amp;" COLLECTED "&amp;TEXT(SourceCollector[[#This Row],[Source Date]], "MM/DD/YYYY")</f>
        <v>W6 59609 COLLECTED 09/16/2020</v>
      </c>
      <c r="C23" s="17" t="str">
        <f>IF(Master[[#This Row],[Cooperator (Collector) 3 -full record]]="","",Master[[#This Row],[Cooperator (Collector) 3 -full record]])</f>
        <v/>
      </c>
      <c r="D23" s="2"/>
    </row>
    <row r="24" spans="2:4" x14ac:dyDescent="0.25">
      <c r="B24" s="7" t="str">
        <f>Master[[#This Row],[Accession Prefix (NPGS)]]&amp;" "&amp;Master[[#This Row],[Accession Number -Assigned]]&amp;" COLLECTED "&amp;TEXT(SourceCollector[[#This Row],[Source Date]], "MM/DD/YYYY")</f>
        <v>W6 59610 COLLECTED 09/17/2020</v>
      </c>
      <c r="C24" s="17" t="str">
        <f>IF(Master[[#This Row],[Cooperator (Collector) 3 -full record]]="","",Master[[#This Row],[Cooperator (Collector) 3 -full record]])</f>
        <v/>
      </c>
      <c r="D24" s="2"/>
    </row>
    <row r="25" spans="2:4" x14ac:dyDescent="0.25">
      <c r="B25" s="7" t="str">
        <f>Master[[#This Row],[Accession Prefix (NPGS)]]&amp;" "&amp;Master[[#This Row],[Accession Number -Assigned]]&amp;" COLLECTED "&amp;TEXT(SourceCollector[[#This Row],[Source Date]], "MM/DD/YYYY")</f>
        <v>W6 59611 COLLECTED 09/24/2020</v>
      </c>
      <c r="C25" s="17" t="str">
        <f>IF(Master[[#This Row],[Cooperator (Collector) 3 -full record]]="","",Master[[#This Row],[Cooperator (Collector) 3 -full record]])</f>
        <v/>
      </c>
      <c r="D25" s="2"/>
    </row>
    <row r="26" spans="2:4" x14ac:dyDescent="0.25">
      <c r="B26" s="7" t="str">
        <f>Master[[#This Row],[Accession Prefix (NPGS)]]&amp;" "&amp;Master[[#This Row],[Accession Number -Assigned]]&amp;" COLLECTED "&amp;TEXT(SourceCollector[[#This Row],[Source Date]], "MM/DD/YYYY")</f>
        <v>W6 59612 COLLECTED 09/24/2020</v>
      </c>
      <c r="C26" s="17" t="str">
        <f>IF(Master[[#This Row],[Cooperator (Collector) 3 -full record]]="","",Master[[#This Row],[Cooperator (Collector) 3 -full record]])</f>
        <v/>
      </c>
      <c r="D26" s="2"/>
    </row>
    <row r="27" spans="2:4" x14ac:dyDescent="0.25">
      <c r="B27" s="7" t="str">
        <f>Master[[#This Row],[Accession Prefix (NPGS)]]&amp;" "&amp;Master[[#This Row],[Accession Number -Assigned]]&amp;" COLLECTED "&amp;TEXT(SourceCollector[[#This Row],[Source Date]], "MM/DD/YYYY")</f>
        <v>W6 59613 COLLECTED 09/30/2020</v>
      </c>
      <c r="C27" s="17" t="str">
        <f>IF(Master[[#This Row],[Cooperator (Collector) 3 -full record]]="","",Master[[#This Row],[Cooperator (Collector) 3 -full record]])</f>
        <v/>
      </c>
      <c r="D27" s="2"/>
    </row>
    <row r="28" spans="2:4" x14ac:dyDescent="0.25">
      <c r="B28" s="7" t="str">
        <f>Master[[#This Row],[Accession Prefix (NPGS)]]&amp;" "&amp;Master[[#This Row],[Accession Number -Assigned]]&amp;" COLLECTED "&amp;TEXT(SourceCollector[[#This Row],[Source Date]], "MM/DD/YYYY")</f>
        <v>W6 59614 COLLECTED 09/30/2020</v>
      </c>
      <c r="C28" s="17" t="str">
        <f>IF(Master[[#This Row],[Cooperator (Collector) 3 -full record]]="","",Master[[#This Row],[Cooperator (Collector) 3 -full record]])</f>
        <v/>
      </c>
      <c r="D28" s="2"/>
    </row>
    <row r="29" spans="2:4" x14ac:dyDescent="0.25">
      <c r="B29" s="7" t="str">
        <f>Master[[#This Row],[Accession Prefix (NPGS)]]&amp;" "&amp;Master[[#This Row],[Accession Number -Assigned]]&amp;" COLLECTED "&amp;TEXT(SourceCollector[[#This Row],[Source Date]], "MM/DD/YYYY")</f>
        <v>W6 59615 COLLECTED 10/08/2020</v>
      </c>
      <c r="C29" s="17" t="str">
        <f>IF(Master[[#This Row],[Cooperator (Collector) 3 -full record]]="","",Master[[#This Row],[Cooperator (Collector) 3 -full record]])</f>
        <v/>
      </c>
      <c r="D29" s="2"/>
    </row>
    <row r="30" spans="2:4" x14ac:dyDescent="0.25">
      <c r="B30" s="7" t="str">
        <f>Master[[#This Row],[Accession Prefix (NPGS)]]&amp;" "&amp;Master[[#This Row],[Accession Number -Assigned]]&amp;" COLLECTED "&amp;TEXT(SourceCollector[[#This Row],[Source Date]], "MM/DD/YYYY")</f>
        <v>W6 59616 COLLECTED 10/22/2020</v>
      </c>
      <c r="C30" s="17" t="str">
        <f>IF(Master[[#This Row],[Cooperator (Collector) 3 -full record]]="","",Master[[#This Row],[Cooperator (Collector) 3 -full record]])</f>
        <v/>
      </c>
      <c r="D30" s="2"/>
    </row>
    <row r="31" spans="2:4" x14ac:dyDescent="0.25">
      <c r="B31" s="7" t="str">
        <f>Master[[#This Row],[Accession Prefix (NPGS)]]&amp;" "&amp;Master[[#This Row],[Accession Number -Assigned]]&amp;" COLLECTED "&amp;TEXT(SourceCollector[[#This Row],[Source Date]], "MM/DD/YYYY")</f>
        <v>W6 59617 COLLECTED 08/25/2020</v>
      </c>
      <c r="C31" s="17" t="str">
        <f>IF(Master[[#This Row],[Cooperator (Collector) 3 -full record]]="","",Master[[#This Row],[Cooperator (Collector) 3 -full record]])</f>
        <v/>
      </c>
      <c r="D31" s="2"/>
    </row>
    <row r="32" spans="2:4" x14ac:dyDescent="0.25">
      <c r="B32" s="7" t="str">
        <f>Master[[#This Row],[Accession Prefix (NPGS)]]&amp;" "&amp;Master[[#This Row],[Accession Number -Assigned]]&amp;" COLLECTED "&amp;TEXT(SourceCollector[[#This Row],[Source Date]], "MM/DD/YYYY")</f>
        <v>W6 59618 COLLECTED 09/02/2020</v>
      </c>
      <c r="C32" s="17" t="str">
        <f>IF(Master[[#This Row],[Cooperator (Collector) 3 -full record]]="","",Master[[#This Row],[Cooperator (Collector) 3 -full record]])</f>
        <v/>
      </c>
      <c r="D32" s="2"/>
    </row>
    <row r="33" spans="2:4" x14ac:dyDescent="0.25">
      <c r="B33" s="7" t="str">
        <f>Master[[#This Row],[Accession Prefix (NPGS)]]&amp;" "&amp;Master[[#This Row],[Accession Number -Assigned]]&amp;" COLLECTED "&amp;TEXT(SourceCollector[[#This Row],[Source Date]], "MM/DD/YYYY")</f>
        <v>W6 59619 COLLECTED 09/03/2020</v>
      </c>
      <c r="C33" s="17" t="str">
        <f>IF(Master[[#This Row],[Cooperator (Collector) 3 -full record]]="","",Master[[#This Row],[Cooperator (Collector) 3 -full record]])</f>
        <v/>
      </c>
      <c r="D33" s="2"/>
    </row>
    <row r="34" spans="2:4" x14ac:dyDescent="0.25">
      <c r="B34" s="7" t="str">
        <f>Master[[#This Row],[Accession Prefix (NPGS)]]&amp;" "&amp;Master[[#This Row],[Accession Number -Assigned]]&amp;" COLLECTED "&amp;TEXT(SourceCollector[[#This Row],[Source Date]], "MM/DD/YYYY")</f>
        <v>W6 59620 COLLECTED 09/10/2020</v>
      </c>
      <c r="C34" s="17" t="str">
        <f>IF(Master[[#This Row],[Cooperator (Collector) 3 -full record]]="","",Master[[#This Row],[Cooperator (Collector) 3 -full record]])</f>
        <v/>
      </c>
      <c r="D34" s="2"/>
    </row>
    <row r="35" spans="2:4" x14ac:dyDescent="0.25">
      <c r="B35" s="7" t="str">
        <f>Master[[#This Row],[Accession Prefix (NPGS)]]&amp;" "&amp;Master[[#This Row],[Accession Number -Assigned]]&amp;" COLLECTED "&amp;TEXT(SourceCollector[[#This Row],[Source Date]], "MM/DD/YYYY")</f>
        <v>W6 59621 COLLECTED 09/22/2020</v>
      </c>
      <c r="C35" s="17" t="str">
        <f>IF(Master[[#This Row],[Cooperator (Collector) 3 -full record]]="","",Master[[#This Row],[Cooperator (Collector) 3 -full record]])</f>
        <v/>
      </c>
      <c r="D35" s="2"/>
    </row>
    <row r="36" spans="2:4" x14ac:dyDescent="0.25">
      <c r="B36" s="7" t="str">
        <f>Master[[#This Row],[Accession Prefix (NPGS)]]&amp;" "&amp;Master[[#This Row],[Accession Number -Assigned]]&amp;" COLLECTED "&amp;TEXT(SourceCollector[[#This Row],[Source Date]], "MM/DD/YYYY")</f>
        <v>W6 59622 COLLECTED 09/22/2020</v>
      </c>
      <c r="C36" s="17" t="str">
        <f>IF(Master[[#This Row],[Cooperator (Collector) 3 -full record]]="","",Master[[#This Row],[Cooperator (Collector) 3 -full record]])</f>
        <v/>
      </c>
      <c r="D36" s="2"/>
    </row>
    <row r="37" spans="2:4" x14ac:dyDescent="0.25">
      <c r="B37" s="7" t="str">
        <f>Master[[#This Row],[Accession Prefix (NPGS)]]&amp;" "&amp;Master[[#This Row],[Accession Number -Assigned]]&amp;" COLLECTED "&amp;TEXT(SourceCollector[[#This Row],[Source Date]], "MM/DD/YYYY")</f>
        <v>W6 59623 COLLECTED 10/10/2020</v>
      </c>
      <c r="C37" s="17" t="str">
        <f>IF(Master[[#This Row],[Cooperator (Collector) 3 -full record]]="","",Master[[#This Row],[Cooperator (Collector) 3 -full record]])</f>
        <v/>
      </c>
      <c r="D37" s="2"/>
    </row>
    <row r="38" spans="2:4" x14ac:dyDescent="0.25">
      <c r="B38" s="7" t="str">
        <f>Master[[#This Row],[Accession Prefix (NPGS)]]&amp;" "&amp;Master[[#This Row],[Accession Number -Assigned]]&amp;" COLLECTED "&amp;TEXT(SourceCollector[[#This Row],[Source Date]], "MM/DD/YYYY")</f>
        <v>W6 59624 COLLECTED 10/10/2020</v>
      </c>
      <c r="C38" s="17" t="str">
        <f>IF(Master[[#This Row],[Cooperator (Collector) 3 -full record]]="","",Master[[#This Row],[Cooperator (Collector) 3 -full record]])</f>
        <v/>
      </c>
      <c r="D38" s="2"/>
    </row>
    <row r="39" spans="2:4" x14ac:dyDescent="0.25">
      <c r="B39" s="7" t="str">
        <f>Master[[#This Row],[Accession Prefix (NPGS)]]&amp;" "&amp;Master[[#This Row],[Accession Number -Assigned]]&amp;" COLLECTED "&amp;TEXT(SourceCollector[[#This Row],[Source Date]], "MM/DD/YYYY")</f>
        <v>W6 59625 COLLECTED 10/10/2020</v>
      </c>
      <c r="C39" s="17" t="str">
        <f>IF(Master[[#This Row],[Cooperator (Collector) 3 -full record]]="","",Master[[#This Row],[Cooperator (Collector) 3 -full record]])</f>
        <v/>
      </c>
      <c r="D39" s="2"/>
    </row>
    <row r="40" spans="2:4" x14ac:dyDescent="0.25">
      <c r="B40" s="7" t="str">
        <f>Master[[#This Row],[Accession Prefix (NPGS)]]&amp;" "&amp;Master[[#This Row],[Accession Number -Assigned]]&amp;" COLLECTED "&amp;TEXT(SourceCollector[[#This Row],[Source Date]], "MM/DD/YYYY")</f>
        <v>W6 59626 COLLECTED 10/14/2020</v>
      </c>
      <c r="C40" s="17" t="str">
        <f>IF(Master[[#This Row],[Cooperator (Collector) 3 -full record]]="","",Master[[#This Row],[Cooperator (Collector) 3 -full record]])</f>
        <v/>
      </c>
      <c r="D40" s="2"/>
    </row>
    <row r="41" spans="2:4" x14ac:dyDescent="0.25">
      <c r="B41" s="7" t="str">
        <f>Master[[#This Row],[Accession Prefix (NPGS)]]&amp;" "&amp;Master[[#This Row],[Accession Number -Assigned]]&amp;" COLLECTED "&amp;TEXT(SourceCollector[[#This Row],[Source Date]], "MM/DD/YYYY")</f>
        <v>W6 59627 COLLECTED 10/14/2020</v>
      </c>
      <c r="C41" s="17" t="str">
        <f>IF(Master[[#This Row],[Cooperator (Collector) 3 -full record]]="","",Master[[#This Row],[Cooperator (Collector) 3 -full record]])</f>
        <v/>
      </c>
      <c r="D41" s="2"/>
    </row>
    <row r="42" spans="2:4" x14ac:dyDescent="0.25">
      <c r="B42" s="7" t="str">
        <f>Master[[#This Row],[Accession Prefix (NPGS)]]&amp;" "&amp;Master[[#This Row],[Accession Number -Assigned]]&amp;" COLLECTED "&amp;TEXT(SourceCollector[[#This Row],[Source Date]], "MM/DD/YYYY")</f>
        <v>W6 59628 COLLECTED 10/14/2020</v>
      </c>
      <c r="C42" s="17" t="str">
        <f>IF(Master[[#This Row],[Cooperator (Collector) 3 -full record]]="","",Master[[#This Row],[Cooperator (Collector) 3 -full record]])</f>
        <v/>
      </c>
      <c r="D42" s="2"/>
    </row>
    <row r="43" spans="2:4" x14ac:dyDescent="0.25">
      <c r="B43" s="7" t="str">
        <f>Master[[#This Row],[Accession Prefix (NPGS)]]&amp;" "&amp;Master[[#This Row],[Accession Number -Assigned]]&amp;" COLLECTED "&amp;TEXT(SourceCollector[[#This Row],[Source Date]], "MM/DD/YYYY")</f>
        <v>W6 59629 COLLECTED 10/15/2020</v>
      </c>
      <c r="C43" s="17" t="str">
        <f>IF(Master[[#This Row],[Cooperator (Collector) 3 -full record]]="","",Master[[#This Row],[Cooperator (Collector) 3 -full record]])</f>
        <v/>
      </c>
      <c r="D43" s="2"/>
    </row>
    <row r="44" spans="2:4" x14ac:dyDescent="0.25">
      <c r="B44" s="7" t="str">
        <f>Master[[#This Row],[Accession Prefix (NPGS)]]&amp;" "&amp;Master[[#This Row],[Accession Number -Assigned]]&amp;" COLLECTED "&amp;TEXT(SourceCollector[[#This Row],[Source Date]], "MM/DD/YYYY")</f>
        <v>W6 59630 COLLECTED 10/15/2020</v>
      </c>
      <c r="C44" s="17" t="str">
        <f>IF(Master[[#This Row],[Cooperator (Collector) 3 -full record]]="","",Master[[#This Row],[Cooperator (Collector) 3 -full record]])</f>
        <v/>
      </c>
      <c r="D44" s="2"/>
    </row>
    <row r="45" spans="2:4" x14ac:dyDescent="0.25">
      <c r="B45" s="7" t="str">
        <f>Master[[#This Row],[Accession Prefix (NPGS)]]&amp;" "&amp;Master[[#This Row],[Accession Number -Assigned]]&amp;" COLLECTED "&amp;TEXT(SourceCollector[[#This Row],[Source Date]], "MM/DD/YYYY")</f>
        <v>W6 59631 COLLECTED 10/20/2020</v>
      </c>
      <c r="C45" s="17" t="str">
        <f>IF(Master[[#This Row],[Cooperator (Collector) 3 -full record]]="","",Master[[#This Row],[Cooperator (Collector) 3 -full record]])</f>
        <v/>
      </c>
      <c r="D45" s="2"/>
    </row>
    <row r="46" spans="2:4" x14ac:dyDescent="0.25">
      <c r="B46" s="7" t="str">
        <f>Master[[#This Row],[Accession Prefix (NPGS)]]&amp;" "&amp;Master[[#This Row],[Accession Number -Assigned]]&amp;" COLLECTED "&amp;TEXT(SourceCollector[[#This Row],[Source Date]], "MM/DD/YYYY")</f>
        <v>W6 59632 COLLECTED 10/27/2020</v>
      </c>
      <c r="C46" s="17" t="str">
        <f>IF(Master[[#This Row],[Cooperator (Collector) 3 -full record]]="","",Master[[#This Row],[Cooperator (Collector) 3 -full record]])</f>
        <v/>
      </c>
      <c r="D46" s="2"/>
    </row>
    <row r="47" spans="2:4" x14ac:dyDescent="0.25">
      <c r="B47" s="7" t="str">
        <f>Master[[#This Row],[Accession Prefix (NPGS)]]&amp;" "&amp;Master[[#This Row],[Accession Number -Assigned]]&amp;" COLLECTED "&amp;TEXT(SourceCollector[[#This Row],[Source Date]], "MM/DD/YYYY")</f>
        <v>W6 59633 COLLECTED 11/10/2020</v>
      </c>
      <c r="C47" s="17" t="str">
        <f>IF(Master[[#This Row],[Cooperator (Collector) 3 -full record]]="","",Master[[#This Row],[Cooperator (Collector) 3 -full record]])</f>
        <v/>
      </c>
      <c r="D47" s="2"/>
    </row>
    <row r="48" spans="2:4" x14ac:dyDescent="0.25">
      <c r="B48" s="7" t="str">
        <f>Master[[#This Row],[Accession Prefix (NPGS)]]&amp;" "&amp;Master[[#This Row],[Accession Number -Assigned]]&amp;" COLLECTED "&amp;TEXT(SourceCollector[[#This Row],[Source Date]], "MM/DD/YYYY")</f>
        <v>W6 59634 COLLECTED 11/10/2020</v>
      </c>
      <c r="C48" s="17" t="str">
        <f>IF(Master[[#This Row],[Cooperator (Collector) 3 -full record]]="","",Master[[#This Row],[Cooperator (Collector) 3 -full record]])</f>
        <v/>
      </c>
      <c r="D48" s="2"/>
    </row>
    <row r="49" spans="2:4" x14ac:dyDescent="0.25">
      <c r="B49" s="7" t="str">
        <f>Master[[#This Row],[Accession Prefix (NPGS)]]&amp;" "&amp;Master[[#This Row],[Accession Number -Assigned]]&amp;" COLLECTED "&amp;TEXT(SourceCollector[[#This Row],[Source Date]], "MM/DD/YYYY")</f>
        <v>W6 59635 COLLECTED 11/19/2020</v>
      </c>
      <c r="C49" s="17" t="str">
        <f>IF(Master[[#This Row],[Cooperator (Collector) 3 -full record]]="","",Master[[#This Row],[Cooperator (Collector) 3 -full record]])</f>
        <v/>
      </c>
      <c r="D49" s="2"/>
    </row>
    <row r="50" spans="2:4" x14ac:dyDescent="0.25">
      <c r="B50" s="7" t="str">
        <f>Master[[#This Row],[Accession Prefix (NPGS)]]&amp;" "&amp;Master[[#This Row],[Accession Number -Assigned]]&amp;" COLLECTED "&amp;TEXT(SourceCollector[[#This Row],[Source Date]], "MM/DD/YYYY")</f>
        <v>W6 59636 COLLECTED 11/23/2020</v>
      </c>
      <c r="C50" s="17" t="str">
        <f>IF(Master[[#This Row],[Cooperator (Collector) 3 -full record]]="","",Master[[#This Row],[Cooperator (Collector) 3 -full record]])</f>
        <v/>
      </c>
      <c r="D50" s="2"/>
    </row>
    <row r="51" spans="2:4" x14ac:dyDescent="0.25">
      <c r="B51" s="7" t="str">
        <f>Master[[#This Row],[Accession Prefix (NPGS)]]&amp;" "&amp;Master[[#This Row],[Accession Number -Assigned]]&amp;" COLLECTED "&amp;TEXT(SourceCollector[[#This Row],[Source Date]], "MM/DD/YYYY")</f>
        <v>W6 59637 COLLECTED 12/03/2020</v>
      </c>
      <c r="C51" s="17" t="str">
        <f>IF(Master[[#This Row],[Cooperator (Collector) 3 -full record]]="","",Master[[#This Row],[Cooperator (Collector) 3 -full record]])</f>
        <v/>
      </c>
      <c r="D51" s="2"/>
    </row>
    <row r="52" spans="2:4" x14ac:dyDescent="0.25">
      <c r="B52" s="7" t="str">
        <f>Master[[#This Row],[Accession Prefix (NPGS)]]&amp;" "&amp;Master[[#This Row],[Accession Number -Assigned]]&amp;" COLLECTED "&amp;TEXT(SourceCollector[[#This Row],[Source Date]], "MM/DD/YYYY")</f>
        <v>W6 59638 COLLECTED 12/03/2020</v>
      </c>
      <c r="C52" s="17" t="str">
        <f>IF(Master[[#This Row],[Cooperator (Collector) 3 -full record]]="","",Master[[#This Row],[Cooperator (Collector) 3 -full record]])</f>
        <v/>
      </c>
      <c r="D52" s="2"/>
    </row>
    <row r="53" spans="2:4" x14ac:dyDescent="0.25">
      <c r="B53" s="7" t="str">
        <f>Master[[#This Row],[Accession Prefix (NPGS)]]&amp;" "&amp;Master[[#This Row],[Accession Number -Assigned]]&amp;" COLLECTED "&amp;TEXT(SourceCollector[[#This Row],[Source Date]], "MM/DD/YYYY")</f>
        <v>W6 59639 COLLECTED 12/03/2020</v>
      </c>
      <c r="C53" s="17" t="str">
        <f>IF(Master[[#This Row],[Cooperator (Collector) 3 -full record]]="","",Master[[#This Row],[Cooperator (Collector) 3 -full record]])</f>
        <v/>
      </c>
      <c r="D53" s="2"/>
    </row>
    <row r="54" spans="2:4" x14ac:dyDescent="0.25">
      <c r="B54" s="7" t="str">
        <f>Master[[#This Row],[Accession Prefix (NPGS)]]&amp;" "&amp;Master[[#This Row],[Accession Number -Assigned]]&amp;" COLLECTED "&amp;TEXT(SourceCollector[[#This Row],[Source Date]], "MM/DD/YYYY")</f>
        <v>W6 59640 COLLECTED 12/15/2020</v>
      </c>
      <c r="C54" s="17" t="str">
        <f>IF(Master[[#This Row],[Cooperator (Collector) 3 -full record]]="","",Master[[#This Row],[Cooperator (Collector) 3 -full record]])</f>
        <v/>
      </c>
      <c r="D54" s="2"/>
    </row>
    <row r="55" spans="2:4" x14ac:dyDescent="0.25">
      <c r="B55" s="7" t="str">
        <f>Master[[#This Row],[Accession Prefix (NPGS)]]&amp;" "&amp;Master[[#This Row],[Accession Number -Assigned]]&amp;" COLLECTED "&amp;TEXT(SourceCollector[[#This Row],[Source Date]], "MM/DD/YYYY")</f>
        <v>W6 59641 COLLECTED 08/17/2020</v>
      </c>
      <c r="C55" s="17" t="str">
        <f>IF(Master[[#This Row],[Cooperator (Collector) 3 -full record]]="","",Master[[#This Row],[Cooperator (Collector) 3 -full record]])</f>
        <v/>
      </c>
      <c r="D55" s="2"/>
    </row>
    <row r="56" spans="2:4" x14ac:dyDescent="0.25">
      <c r="B56" s="7" t="str">
        <f>Master[[#This Row],[Accession Prefix (NPGS)]]&amp;" "&amp;Master[[#This Row],[Accession Number -Assigned]]&amp;" COLLECTED "&amp;TEXT(SourceCollector[[#This Row],[Source Date]], "MM/DD/YYYY")</f>
        <v>W6 59642 COLLECTED 08/25/2020</v>
      </c>
      <c r="C56" s="17" t="str">
        <f>IF(Master[[#This Row],[Cooperator (Collector) 3 -full record]]="","",Master[[#This Row],[Cooperator (Collector) 3 -full record]])</f>
        <v/>
      </c>
      <c r="D56" s="2"/>
    </row>
    <row r="57" spans="2:4" x14ac:dyDescent="0.25">
      <c r="B57" s="7" t="str">
        <f>Master[[#This Row],[Accession Prefix (NPGS)]]&amp;" "&amp;Master[[#This Row],[Accession Number -Assigned]]&amp;" COLLECTED "&amp;TEXT(SourceCollector[[#This Row],[Source Date]], "MM/DD/YYYY")</f>
        <v>W6 59643 COLLECTED 05/26/2020</v>
      </c>
      <c r="C57" s="17" t="str">
        <f>IF(Master[[#This Row],[Cooperator (Collector) 3 -full record]]="","",Master[[#This Row],[Cooperator (Collector) 3 -full record]])</f>
        <v/>
      </c>
      <c r="D57" s="2"/>
    </row>
    <row r="58" spans="2:4" x14ac:dyDescent="0.25">
      <c r="B58" s="7" t="str">
        <f>Master[[#This Row],[Accession Prefix (NPGS)]]&amp;" "&amp;Master[[#This Row],[Accession Number -Assigned]]&amp;" COLLECTED "&amp;TEXT(SourceCollector[[#This Row],[Source Date]], "MM/DD/YYYY")</f>
        <v>W6 59644 COLLECTED 05/27/2020</v>
      </c>
      <c r="C58" s="17" t="str">
        <f>IF(Master[[#This Row],[Cooperator (Collector) 3 -full record]]="","",Master[[#This Row],[Cooperator (Collector) 3 -full record]])</f>
        <v/>
      </c>
      <c r="D58" s="2"/>
    </row>
    <row r="59" spans="2:4" x14ac:dyDescent="0.25">
      <c r="B59" s="7" t="str">
        <f>Master[[#This Row],[Accession Prefix (NPGS)]]&amp;" "&amp;Master[[#This Row],[Accession Number -Assigned]]&amp;" COLLECTED "&amp;TEXT(SourceCollector[[#This Row],[Source Date]], "MM/DD/YYYY")</f>
        <v>W6 59645 COLLECTED 06/09/2020</v>
      </c>
      <c r="C59" s="17" t="str">
        <f>IF(Master[[#This Row],[Cooperator (Collector) 3 -full record]]="","",Master[[#This Row],[Cooperator (Collector) 3 -full record]])</f>
        <v/>
      </c>
      <c r="D59" s="2"/>
    </row>
    <row r="60" spans="2:4" x14ac:dyDescent="0.25">
      <c r="B60" s="7" t="str">
        <f>Master[[#This Row],[Accession Prefix (NPGS)]]&amp;" "&amp;Master[[#This Row],[Accession Number -Assigned]]&amp;" COLLECTED "&amp;TEXT(SourceCollector[[#This Row],[Source Date]], "MM/DD/YYYY")</f>
        <v>W6 59646 COLLECTED 06/24/2020</v>
      </c>
      <c r="C60" s="17" t="str">
        <f>IF(Master[[#This Row],[Cooperator (Collector) 3 -full record]]="","",Master[[#This Row],[Cooperator (Collector) 3 -full record]])</f>
        <v/>
      </c>
      <c r="D60" s="2"/>
    </row>
    <row r="61" spans="2:4" x14ac:dyDescent="0.25">
      <c r="B61" s="7" t="str">
        <f>Master[[#This Row],[Accession Prefix (NPGS)]]&amp;" "&amp;Master[[#This Row],[Accession Number -Assigned]]&amp;" COLLECTED "&amp;TEXT(SourceCollector[[#This Row],[Source Date]], "MM/DD/YYYY")</f>
        <v>W6 59647 COLLECTED 07/07/2020</v>
      </c>
      <c r="C61" s="17" t="str">
        <f>IF(Master[[#This Row],[Cooperator (Collector) 3 -full record]]="","",Master[[#This Row],[Cooperator (Collector) 3 -full record]])</f>
        <v/>
      </c>
      <c r="D61" s="2"/>
    </row>
    <row r="62" spans="2:4" x14ac:dyDescent="0.25">
      <c r="B62" s="7" t="str">
        <f>Master[[#This Row],[Accession Prefix (NPGS)]]&amp;" "&amp;Master[[#This Row],[Accession Number -Assigned]]&amp;" COLLECTED "&amp;TEXT(SourceCollector[[#This Row],[Source Date]], "MM/DD/YYYY")</f>
        <v>W6 59648 COLLECTED 07/09/2020</v>
      </c>
      <c r="C62" s="17" t="str">
        <f>IF(Master[[#This Row],[Cooperator (Collector) 3 -full record]]="","",Master[[#This Row],[Cooperator (Collector) 3 -full record]])</f>
        <v/>
      </c>
      <c r="D62" s="2"/>
    </row>
    <row r="63" spans="2:4" x14ac:dyDescent="0.25">
      <c r="B63" s="7" t="str">
        <f>Master[[#This Row],[Accession Prefix (NPGS)]]&amp;" "&amp;Master[[#This Row],[Accession Number -Assigned]]&amp;" COLLECTED "&amp;TEXT(SourceCollector[[#This Row],[Source Date]], "MM/DD/YYYY")</f>
        <v>W6 59649 COLLECTED 07/13/2020</v>
      </c>
      <c r="C63" s="17" t="str">
        <f>IF(Master[[#This Row],[Cooperator (Collector) 3 -full record]]="","",Master[[#This Row],[Cooperator (Collector) 3 -full record]])</f>
        <v/>
      </c>
      <c r="D63" s="2"/>
    </row>
    <row r="64" spans="2:4" x14ac:dyDescent="0.25">
      <c r="B64" s="7" t="str">
        <f>Master[[#This Row],[Accession Prefix (NPGS)]]&amp;" "&amp;Master[[#This Row],[Accession Number -Assigned]]&amp;" COLLECTED "&amp;TEXT(SourceCollector[[#This Row],[Source Date]], "MM/DD/YYYY")</f>
        <v>W6 59650 COLLECTED 08/10/2020</v>
      </c>
      <c r="C64" s="17" t="str">
        <f>IF(Master[[#This Row],[Cooperator (Collector) 3 -full record]]="","",Master[[#This Row],[Cooperator (Collector) 3 -full record]])</f>
        <v/>
      </c>
      <c r="D64" s="2"/>
    </row>
    <row r="65" spans="2:4" x14ac:dyDescent="0.25">
      <c r="B65" s="7" t="str">
        <f>Master[[#This Row],[Accession Prefix (NPGS)]]&amp;" "&amp;Master[[#This Row],[Accession Number -Assigned]]&amp;" COLLECTED "&amp;TEXT(SourceCollector[[#This Row],[Source Date]], "MM/DD/YYYY")</f>
        <v>W6 59651 COLLECTED 08/11/2020</v>
      </c>
      <c r="C65" s="17" t="str">
        <f>IF(Master[[#This Row],[Cooperator (Collector) 3 -full record]]="","",Master[[#This Row],[Cooperator (Collector) 3 -full record]])</f>
        <v/>
      </c>
      <c r="D65" s="2"/>
    </row>
    <row r="66" spans="2:4" x14ac:dyDescent="0.25">
      <c r="B66" s="7" t="str">
        <f>Master[[#This Row],[Accession Prefix (NPGS)]]&amp;" "&amp;Master[[#This Row],[Accession Number -Assigned]]&amp;" COLLECTED "&amp;TEXT(SourceCollector[[#This Row],[Source Date]], "MM/DD/YYYY")</f>
        <v>W6 59652 COLLECTED 08/11/2020</v>
      </c>
      <c r="C66" s="17" t="str">
        <f>IF(Master[[#This Row],[Cooperator (Collector) 3 -full record]]="","",Master[[#This Row],[Cooperator (Collector) 3 -full record]])</f>
        <v/>
      </c>
      <c r="D66" s="2"/>
    </row>
    <row r="67" spans="2:4" x14ac:dyDescent="0.25">
      <c r="B67" s="7" t="str">
        <f>Master[[#This Row],[Accession Prefix (NPGS)]]&amp;" "&amp;Master[[#This Row],[Accession Number -Assigned]]&amp;" COLLECTED "&amp;TEXT(SourceCollector[[#This Row],[Source Date]], "MM/DD/YYYY")</f>
        <v>W6 59653 COLLECTED 08/12/2020</v>
      </c>
      <c r="C67" s="17" t="str">
        <f>IF(Master[[#This Row],[Cooperator (Collector) 3 -full record]]="","",Master[[#This Row],[Cooperator (Collector) 3 -full record]])</f>
        <v/>
      </c>
      <c r="D67" s="2"/>
    </row>
    <row r="68" spans="2:4" x14ac:dyDescent="0.25">
      <c r="B68" s="7" t="str">
        <f>Master[[#This Row],[Accession Prefix (NPGS)]]&amp;" "&amp;Master[[#This Row],[Accession Number -Assigned]]&amp;" COLLECTED "&amp;TEXT(SourceCollector[[#This Row],[Source Date]], "MM/DD/YYYY")</f>
        <v>W6 59654 COLLECTED 08/12/2020</v>
      </c>
      <c r="C68" s="17" t="str">
        <f>IF(Master[[#This Row],[Cooperator (Collector) 3 -full record]]="","",Master[[#This Row],[Cooperator (Collector) 3 -full record]])</f>
        <v/>
      </c>
      <c r="D68" s="2"/>
    </row>
    <row r="69" spans="2:4" x14ac:dyDescent="0.25">
      <c r="B69" s="7" t="str">
        <f>Master[[#This Row],[Accession Prefix (NPGS)]]&amp;" "&amp;Master[[#This Row],[Accession Number -Assigned]]&amp;" COLLECTED "&amp;TEXT(SourceCollector[[#This Row],[Source Date]], "MM/DD/YYYY")</f>
        <v>W6 59655 COLLECTED 06/11/2020</v>
      </c>
      <c r="C69" s="17" t="str">
        <f>IF(Master[[#This Row],[Cooperator (Collector) 3 -full record]]="","",Master[[#This Row],[Cooperator (Collector) 3 -full record]])</f>
        <v/>
      </c>
      <c r="D69" s="2"/>
    </row>
    <row r="70" spans="2:4" x14ac:dyDescent="0.25">
      <c r="B70" s="7" t="str">
        <f>Master[[#This Row],[Accession Prefix (NPGS)]]&amp;" "&amp;Master[[#This Row],[Accession Number -Assigned]]&amp;" COLLECTED "&amp;TEXT(SourceCollector[[#This Row],[Source Date]], "MM/DD/YYYY")</f>
        <v>W6 59656 COLLECTED 06/15/2020</v>
      </c>
      <c r="C70" s="17" t="str">
        <f>IF(Master[[#This Row],[Cooperator (Collector) 3 -full record]]="","",Master[[#This Row],[Cooperator (Collector) 3 -full record]])</f>
        <v/>
      </c>
      <c r="D70" s="2"/>
    </row>
    <row r="71" spans="2:4" x14ac:dyDescent="0.25">
      <c r="B71" s="7" t="str">
        <f>Master[[#This Row],[Accession Prefix (NPGS)]]&amp;" "&amp;Master[[#This Row],[Accession Number -Assigned]]&amp;" COLLECTED "&amp;TEXT(SourceCollector[[#This Row],[Source Date]], "MM/DD/YYYY")</f>
        <v>W6 59657 COLLECTED 06/16/2020</v>
      </c>
      <c r="C71" s="17" t="str">
        <f>IF(Master[[#This Row],[Cooperator (Collector) 3 -full record]]="","",Master[[#This Row],[Cooperator (Collector) 3 -full record]])</f>
        <v/>
      </c>
      <c r="D71" s="2"/>
    </row>
    <row r="72" spans="2:4" x14ac:dyDescent="0.25">
      <c r="B72" s="7" t="str">
        <f>Master[[#This Row],[Accession Prefix (NPGS)]]&amp;" "&amp;Master[[#This Row],[Accession Number -Assigned]]&amp;" COLLECTED "&amp;TEXT(SourceCollector[[#This Row],[Source Date]], "MM/DD/YYYY")</f>
        <v>W6 59658 COLLECTED 06/16/2020</v>
      </c>
      <c r="C72" s="17" t="str">
        <f>IF(Master[[#This Row],[Cooperator (Collector) 3 -full record]]="","",Master[[#This Row],[Cooperator (Collector) 3 -full record]])</f>
        <v/>
      </c>
      <c r="D72" s="2"/>
    </row>
    <row r="73" spans="2:4" x14ac:dyDescent="0.25">
      <c r="B73" s="7" t="str">
        <f>Master[[#This Row],[Accession Prefix (NPGS)]]&amp;" "&amp;Master[[#This Row],[Accession Number -Assigned]]&amp;" COLLECTED "&amp;TEXT(SourceCollector[[#This Row],[Source Date]], "MM/DD/YYYY")</f>
        <v>W6 59659 COLLECTED 06/17/2020</v>
      </c>
      <c r="C73" s="17" t="str">
        <f>IF(Master[[#This Row],[Cooperator (Collector) 3 -full record]]="","",Master[[#This Row],[Cooperator (Collector) 3 -full record]])</f>
        <v/>
      </c>
      <c r="D73" s="2"/>
    </row>
    <row r="74" spans="2:4" x14ac:dyDescent="0.25">
      <c r="B74" s="7" t="str">
        <f>Master[[#This Row],[Accession Prefix (NPGS)]]&amp;" "&amp;Master[[#This Row],[Accession Number -Assigned]]&amp;" COLLECTED "&amp;TEXT(SourceCollector[[#This Row],[Source Date]], "MM/DD/YYYY")</f>
        <v>W6 59660 COLLECTED 06/24/2020</v>
      </c>
      <c r="C74" s="17" t="str">
        <f>IF(Master[[#This Row],[Cooperator (Collector) 3 -full record]]="","",Master[[#This Row],[Cooperator (Collector) 3 -full record]])</f>
        <v/>
      </c>
      <c r="D74" s="2"/>
    </row>
    <row r="75" spans="2:4" x14ac:dyDescent="0.25">
      <c r="B75" s="7" t="str">
        <f>Master[[#This Row],[Accession Prefix (NPGS)]]&amp;" "&amp;Master[[#This Row],[Accession Number -Assigned]]&amp;" COLLECTED "&amp;TEXT(SourceCollector[[#This Row],[Source Date]], "MM/DD/YYYY")</f>
        <v>W6 59661 COLLECTED 06/24/2020</v>
      </c>
      <c r="C75" s="17" t="str">
        <f>IF(Master[[#This Row],[Cooperator (Collector) 3 -full record]]="","",Master[[#This Row],[Cooperator (Collector) 3 -full record]])</f>
        <v/>
      </c>
      <c r="D75" s="2"/>
    </row>
    <row r="76" spans="2:4" x14ac:dyDescent="0.25">
      <c r="B76" s="7" t="str">
        <f>Master[[#This Row],[Accession Prefix (NPGS)]]&amp;" "&amp;Master[[#This Row],[Accession Number -Assigned]]&amp;" COLLECTED "&amp;TEXT(SourceCollector[[#This Row],[Source Date]], "MM/DD/YYYY")</f>
        <v>W6 59662 COLLECTED 07/01/2020</v>
      </c>
      <c r="C76" s="17" t="str">
        <f>IF(Master[[#This Row],[Cooperator (Collector) 3 -full record]]="","",Master[[#This Row],[Cooperator (Collector) 3 -full record]])</f>
        <v/>
      </c>
      <c r="D76" s="2"/>
    </row>
    <row r="77" spans="2:4" x14ac:dyDescent="0.25">
      <c r="B77" s="7" t="str">
        <f>Master[[#This Row],[Accession Prefix (NPGS)]]&amp;" "&amp;Master[[#This Row],[Accession Number -Assigned]]&amp;" COLLECTED "&amp;TEXT(SourceCollector[[#This Row],[Source Date]], "MM/DD/YYYY")</f>
        <v>W6 59663 COLLECTED 06/25/2020</v>
      </c>
      <c r="C77" s="17" t="str">
        <f>IF(Master[[#This Row],[Cooperator (Collector) 3 -full record]]="","",Master[[#This Row],[Cooperator (Collector) 3 -full record]])</f>
        <v/>
      </c>
      <c r="D77" s="2"/>
    </row>
    <row r="78" spans="2:4" x14ac:dyDescent="0.25">
      <c r="B78" s="7" t="str">
        <f>Master[[#This Row],[Accession Prefix (NPGS)]]&amp;" "&amp;Master[[#This Row],[Accession Number -Assigned]]&amp;" COLLECTED "&amp;TEXT(SourceCollector[[#This Row],[Source Date]], "MM/DD/YYYY")</f>
        <v>W6 59664 COLLECTED 08/11/2020</v>
      </c>
      <c r="C78" s="17" t="str">
        <f>IF(Master[[#This Row],[Cooperator (Collector) 3 -full record]]="","",Master[[#This Row],[Cooperator (Collector) 3 -full record]])</f>
        <v/>
      </c>
      <c r="D78" s="2"/>
    </row>
    <row r="79" spans="2:4" x14ac:dyDescent="0.25">
      <c r="B79" s="7" t="str">
        <f>Master[[#This Row],[Accession Prefix (NPGS)]]&amp;" "&amp;Master[[#This Row],[Accession Number -Assigned]]&amp;" COLLECTED "&amp;TEXT(SourceCollector[[#This Row],[Source Date]], "MM/DD/YYYY")</f>
        <v>W6 59665 COLLECTED 07/01/2020</v>
      </c>
      <c r="C79" s="17" t="str">
        <f>IF(Master[[#This Row],[Cooperator (Collector) 3 -full record]]="","",Master[[#This Row],[Cooperator (Collector) 3 -full record]])</f>
        <v/>
      </c>
      <c r="D79" s="2"/>
    </row>
    <row r="80" spans="2:4" x14ac:dyDescent="0.25">
      <c r="B80" s="7" t="str">
        <f>Master[[#This Row],[Accession Prefix (NPGS)]]&amp;" "&amp;Master[[#This Row],[Accession Number -Assigned]]&amp;" COLLECTED "&amp;TEXT(SourceCollector[[#This Row],[Source Date]], "MM/DD/YYYY")</f>
        <v>W6 59666 COLLECTED 06/29/2020</v>
      </c>
      <c r="C80" s="17" t="str">
        <f>IF(Master[[#This Row],[Cooperator (Collector) 3 -full record]]="","",Master[[#This Row],[Cooperator (Collector) 3 -full record]])</f>
        <v/>
      </c>
      <c r="D80" s="2"/>
    </row>
    <row r="81" spans="2:4" x14ac:dyDescent="0.25">
      <c r="B81" s="7" t="str">
        <f>Master[[#This Row],[Accession Prefix (NPGS)]]&amp;" "&amp;Master[[#This Row],[Accession Number -Assigned]]&amp;" COLLECTED "&amp;TEXT(SourceCollector[[#This Row],[Source Date]], "MM/DD/YYYY")</f>
        <v>W6 59667 COLLECTED 06/29/2020</v>
      </c>
      <c r="C81" s="17" t="str">
        <f>IF(Master[[#This Row],[Cooperator (Collector) 3 -full record]]="","",Master[[#This Row],[Cooperator (Collector) 3 -full record]])</f>
        <v/>
      </c>
      <c r="D81" s="2"/>
    </row>
    <row r="82" spans="2:4" x14ac:dyDescent="0.25">
      <c r="B82" s="7" t="str">
        <f>Master[[#This Row],[Accession Prefix (NPGS)]]&amp;" "&amp;Master[[#This Row],[Accession Number -Assigned]]&amp;" COLLECTED "&amp;TEXT(SourceCollector[[#This Row],[Source Date]], "MM/DD/YYYY")</f>
        <v>W6 59668 COLLECTED 07/07/2020</v>
      </c>
      <c r="C82" s="17" t="str">
        <f>IF(Master[[#This Row],[Cooperator (Collector) 3 -full record]]="","",Master[[#This Row],[Cooperator (Collector) 3 -full record]])</f>
        <v/>
      </c>
      <c r="D82" s="2"/>
    </row>
    <row r="83" spans="2:4" x14ac:dyDescent="0.25">
      <c r="B83" s="7" t="str">
        <f>Master[[#This Row],[Accession Prefix (NPGS)]]&amp;" "&amp;Master[[#This Row],[Accession Number -Assigned]]&amp;" COLLECTED "&amp;TEXT(SourceCollector[[#This Row],[Source Date]], "MM/DD/YYYY")</f>
        <v>W6 59669 COLLECTED 08/10/2020</v>
      </c>
      <c r="C83" s="17" t="str">
        <f>IF(Master[[#This Row],[Cooperator (Collector) 3 -full record]]="","",Master[[#This Row],[Cooperator (Collector) 3 -full record]])</f>
        <v/>
      </c>
      <c r="D83" s="2"/>
    </row>
    <row r="84" spans="2:4" x14ac:dyDescent="0.25">
      <c r="B84" s="7" t="str">
        <f>Master[[#This Row],[Accession Prefix (NPGS)]]&amp;" "&amp;Master[[#This Row],[Accession Number -Assigned]]&amp;" COLLECTED "&amp;TEXT(SourceCollector[[#This Row],[Source Date]], "MM/DD/YYYY")</f>
        <v>W6 59670 COLLECTED 08/11/2020</v>
      </c>
      <c r="C84" s="17" t="str">
        <f>IF(Master[[#This Row],[Cooperator (Collector) 3 -full record]]="","",Master[[#This Row],[Cooperator (Collector) 3 -full record]])</f>
        <v/>
      </c>
      <c r="D84" s="2"/>
    </row>
    <row r="85" spans="2:4" x14ac:dyDescent="0.25">
      <c r="B85" s="7" t="str">
        <f>Master[[#This Row],[Accession Prefix (NPGS)]]&amp;" "&amp;Master[[#This Row],[Accession Number -Assigned]]&amp;" COLLECTED "&amp;TEXT(SourceCollector[[#This Row],[Source Date]], "MM/DD/YYYY")</f>
        <v>W6 59671 COLLECTED 08/17/2020</v>
      </c>
      <c r="C85" s="17" t="str">
        <f>IF(Master[[#This Row],[Cooperator (Collector) 3 -full record]]="","",Master[[#This Row],[Cooperator (Collector) 3 -full record]])</f>
        <v/>
      </c>
      <c r="D85" s="2"/>
    </row>
    <row r="86" spans="2:4" x14ac:dyDescent="0.25">
      <c r="B86" s="7" t="str">
        <f>Master[[#This Row],[Accession Prefix (NPGS)]]&amp;" "&amp;Master[[#This Row],[Accession Number -Assigned]]&amp;" COLLECTED "&amp;TEXT(SourceCollector[[#This Row],[Source Date]], "MM/DD/YYYY")</f>
        <v>W6 59672 COLLECTED 07/16/2020</v>
      </c>
      <c r="C86" s="17" t="str">
        <f>IF(Master[[#This Row],[Cooperator (Collector) 3 -full record]]="","",Master[[#This Row],[Cooperator (Collector) 3 -full record]])</f>
        <v/>
      </c>
      <c r="D86" s="2"/>
    </row>
    <row r="87" spans="2:4" x14ac:dyDescent="0.25">
      <c r="B87" s="7" t="str">
        <f>Master[[#This Row],[Accession Prefix (NPGS)]]&amp;" "&amp;Master[[#This Row],[Accession Number -Assigned]]&amp;" COLLECTED "&amp;TEXT(SourceCollector[[#This Row],[Source Date]], "MM/DD/YYYY")</f>
        <v>W6 59673 COLLECTED 07/16/2020</v>
      </c>
      <c r="C87" s="17" t="str">
        <f>IF(Master[[#This Row],[Cooperator (Collector) 3 -full record]]="","",Master[[#This Row],[Cooperator (Collector) 3 -full record]])</f>
        <v/>
      </c>
      <c r="D87" s="2"/>
    </row>
    <row r="88" spans="2:4" x14ac:dyDescent="0.25">
      <c r="B88" s="7" t="str">
        <f>Master[[#This Row],[Accession Prefix (NPGS)]]&amp;" "&amp;Master[[#This Row],[Accession Number -Assigned]]&amp;" COLLECTED "&amp;TEXT(SourceCollector[[#This Row],[Source Date]], "MM/DD/YYYY")</f>
        <v>W6 59674 COLLECTED 07/16/2020</v>
      </c>
      <c r="C88" s="17" t="str">
        <f>IF(Master[[#This Row],[Cooperator (Collector) 3 -full record]]="","",Master[[#This Row],[Cooperator (Collector) 3 -full record]])</f>
        <v/>
      </c>
      <c r="D88" s="2"/>
    </row>
    <row r="89" spans="2:4" x14ac:dyDescent="0.25">
      <c r="B89" s="7" t="str">
        <f>Master[[#This Row],[Accession Prefix (NPGS)]]&amp;" "&amp;Master[[#This Row],[Accession Number -Assigned]]&amp;" COLLECTED "&amp;TEXT(SourceCollector[[#This Row],[Source Date]], "MM/DD/YYYY")</f>
        <v>W6 59675 COLLECTED 08/26/2020</v>
      </c>
      <c r="C89" s="17" t="str">
        <f>IF(Master[[#This Row],[Cooperator (Collector) 3 -full record]]="","",Master[[#This Row],[Cooperator (Collector) 3 -full record]])</f>
        <v/>
      </c>
      <c r="D89" s="2"/>
    </row>
    <row r="90" spans="2:4" x14ac:dyDescent="0.25">
      <c r="B90" s="7" t="str">
        <f>Master[[#This Row],[Accession Prefix (NPGS)]]&amp;" "&amp;Master[[#This Row],[Accession Number -Assigned]]&amp;" COLLECTED "&amp;TEXT(SourceCollector[[#This Row],[Source Date]], "MM/DD/YYYY")</f>
        <v>W6 59676 COLLECTED 08/20/2020</v>
      </c>
      <c r="C90" s="17" t="str">
        <f>IF(Master[[#This Row],[Cooperator (Collector) 3 -full record]]="","",Master[[#This Row],[Cooperator (Collector) 3 -full record]])</f>
        <v/>
      </c>
      <c r="D90" s="2"/>
    </row>
    <row r="91" spans="2:4" x14ac:dyDescent="0.25">
      <c r="B91" s="7" t="str">
        <f>Master[[#This Row],[Accession Prefix (NPGS)]]&amp;" "&amp;Master[[#This Row],[Accession Number -Assigned]]&amp;" COLLECTED "&amp;TEXT(SourceCollector[[#This Row],[Source Date]], "MM/DD/YYYY")</f>
        <v>W6 59677 COLLECTED 08/20/2020</v>
      </c>
      <c r="C91" s="17" t="str">
        <f>IF(Master[[#This Row],[Cooperator (Collector) 3 -full record]]="","",Master[[#This Row],[Cooperator (Collector) 3 -full record]])</f>
        <v/>
      </c>
      <c r="D91" s="2"/>
    </row>
    <row r="92" spans="2:4" x14ac:dyDescent="0.25">
      <c r="B92" s="7" t="str">
        <f>Master[[#This Row],[Accession Prefix (NPGS)]]&amp;" "&amp;Master[[#This Row],[Accession Number -Assigned]]&amp;" COLLECTED "&amp;TEXT(SourceCollector[[#This Row],[Source Date]], "MM/DD/YYYY")</f>
        <v>W6 59678 COLLECTED 10/01/2020</v>
      </c>
      <c r="C92" s="17" t="str">
        <f>IF(Master[[#This Row],[Cooperator (Collector) 3 -full record]]="","",Master[[#This Row],[Cooperator (Collector) 3 -full record]])</f>
        <v/>
      </c>
      <c r="D92" s="2"/>
    </row>
    <row r="93" spans="2:4" x14ac:dyDescent="0.25">
      <c r="B93" s="7" t="str">
        <f>Master[[#This Row],[Accession Prefix (NPGS)]]&amp;" "&amp;Master[[#This Row],[Accession Number -Assigned]]&amp;" COLLECTED "&amp;TEXT(SourceCollector[[#This Row],[Source Date]], "MM/DD/YYYY")</f>
        <v>W6 59679 COLLECTED 09/30/2020</v>
      </c>
      <c r="C93" s="17" t="str">
        <f>IF(Master[[#This Row],[Cooperator (Collector) 3 -full record]]="","",Master[[#This Row],[Cooperator (Collector) 3 -full record]])</f>
        <v/>
      </c>
      <c r="D93" s="2"/>
    </row>
    <row r="94" spans="2:4" x14ac:dyDescent="0.25">
      <c r="B94" s="7" t="str">
        <f>Master[[#This Row],[Accession Prefix (NPGS)]]&amp;" "&amp;Master[[#This Row],[Accession Number -Assigned]]&amp;" COLLECTED "&amp;TEXT(SourceCollector[[#This Row],[Source Date]], "MM/DD/YYYY")</f>
        <v>W6 59680 COLLECTED 10/01/2020</v>
      </c>
      <c r="C94" s="17" t="str">
        <f>IF(Master[[#This Row],[Cooperator (Collector) 3 -full record]]="","",Master[[#This Row],[Cooperator (Collector) 3 -full record]])</f>
        <v/>
      </c>
      <c r="D94" s="2"/>
    </row>
    <row r="95" spans="2:4" x14ac:dyDescent="0.25">
      <c r="B95" s="7" t="str">
        <f>Master[[#This Row],[Accession Prefix (NPGS)]]&amp;" "&amp;Master[[#This Row],[Accession Number -Assigned]]&amp;" COLLECTED "&amp;TEXT(SourceCollector[[#This Row],[Source Date]], "MM/DD/YYYY")</f>
        <v>W6 59681 COLLECTED 08/15/2020</v>
      </c>
      <c r="C95" s="17" t="str">
        <f>IF(Master[[#This Row],[Cooperator (Collector) 3 -full record]]="","",Master[[#This Row],[Cooperator (Collector) 3 -full record]])</f>
        <v/>
      </c>
      <c r="D95" s="2"/>
    </row>
    <row r="96" spans="2:4" x14ac:dyDescent="0.25">
      <c r="B96" s="7" t="str">
        <f>Master[[#This Row],[Accession Prefix (NPGS)]]&amp;" "&amp;Master[[#This Row],[Accession Number -Assigned]]&amp;" COLLECTED "&amp;TEXT(SourceCollector[[#This Row],[Source Date]], "MM/DD/YYYY")</f>
        <v>W6 59682 COLLECTED 09/30/2020</v>
      </c>
      <c r="C96" s="17" t="str">
        <f>IF(Master[[#This Row],[Cooperator (Collector) 3 -full record]]="","",Master[[#This Row],[Cooperator (Collector) 3 -full record]])</f>
        <v/>
      </c>
      <c r="D96" s="2"/>
    </row>
    <row r="97" spans="2:3" x14ac:dyDescent="0.25">
      <c r="B97" s="7" t="str">
        <f>Master[[#This Row],[Accession Prefix (NPGS)]]&amp;" "&amp;Master[[#This Row],[Accession Number -Assigned]]&amp;" COLLECTED "&amp;TEXT(SourceCollector[[#This Row],[Source Date]], "MM/DD/YYYY")</f>
        <v>W6 59683 COLLECTED 07/08/2020</v>
      </c>
      <c r="C97" s="17" t="str">
        <f>IF(Master[[#This Row],[Cooperator (Collector) 3 -full record]]="","",Master[[#This Row],[Cooperator (Collector) 3 -full record]])</f>
        <v/>
      </c>
    </row>
    <row r="98" spans="2:3" x14ac:dyDescent="0.25">
      <c r="B98" s="7" t="str">
        <f>Master[[#This Row],[Accession Prefix (NPGS)]]&amp;" "&amp;Master[[#This Row],[Accession Number -Assigned]]&amp;" COLLECTED "&amp;TEXT(SourceCollector[[#This Row],[Source Date]], "MM/DD/YYYY")</f>
        <v>W6 59684 COLLECTED 06/15/2020</v>
      </c>
      <c r="C98" s="17" t="str">
        <f>IF(Master[[#This Row],[Cooperator (Collector) 3 -full record]]="","",Master[[#This Row],[Cooperator (Collector) 3 -full record]])</f>
        <v/>
      </c>
    </row>
    <row r="99" spans="2:3" x14ac:dyDescent="0.25">
      <c r="B99" s="7" t="str">
        <f>Master[[#This Row],[Accession Prefix (NPGS)]]&amp;" "&amp;Master[[#This Row],[Accession Number -Assigned]]&amp;" COLLECTED "&amp;TEXT(SourceCollector[[#This Row],[Source Date]], "MM/DD/YYYY")</f>
        <v>W6 59685 COLLECTED 06/16/2020</v>
      </c>
      <c r="C99" s="17" t="str">
        <f>IF(Master[[#This Row],[Cooperator (Collector) 3 -full record]]="","",Master[[#This Row],[Cooperator (Collector) 3 -full record]])</f>
        <v/>
      </c>
    </row>
    <row r="100" spans="2:3" x14ac:dyDescent="0.25">
      <c r="B100" s="7" t="str">
        <f>Master[[#This Row],[Accession Prefix (NPGS)]]&amp;" "&amp;Master[[#This Row],[Accession Number -Assigned]]&amp;" COLLECTED "&amp;TEXT(SourceCollector[[#This Row],[Source Date]], "MM/DD/YYYY")</f>
        <v>W6 59686 COLLECTED 06/17/2020</v>
      </c>
      <c r="C100" s="17" t="str">
        <f>IF(Master[[#This Row],[Cooperator (Collector) 3 -full record]]="","",Master[[#This Row],[Cooperator (Collector) 3 -full record]])</f>
        <v/>
      </c>
    </row>
    <row r="101" spans="2:3" x14ac:dyDescent="0.25">
      <c r="B101" s="7" t="str">
        <f>Master[[#This Row],[Accession Prefix (NPGS)]]&amp;" "&amp;Master[[#This Row],[Accession Number -Assigned]]&amp;" COLLECTED "&amp;TEXT(SourceCollector[[#This Row],[Source Date]], "MM/DD/YYYY")</f>
        <v>W6 59687 COLLECTED 06/23/2020</v>
      </c>
      <c r="C101" s="17" t="str">
        <f>IF(Master[[#This Row],[Cooperator (Collector) 3 -full record]]="","",Master[[#This Row],[Cooperator (Collector) 3 -full record]])</f>
        <v/>
      </c>
    </row>
    <row r="102" spans="2:3" x14ac:dyDescent="0.25">
      <c r="B102" s="7" t="str">
        <f>Master[[#This Row],[Accession Prefix (NPGS)]]&amp;" "&amp;Master[[#This Row],[Accession Number -Assigned]]&amp;" COLLECTED "&amp;TEXT(SourceCollector[[#This Row],[Source Date]], "MM/DD/YYYY")</f>
        <v>W6 59688 COLLECTED 06/25/2020</v>
      </c>
      <c r="C102" s="17" t="str">
        <f>IF(Master[[#This Row],[Cooperator (Collector) 3 -full record]]="","",Master[[#This Row],[Cooperator (Collector) 3 -full record]])</f>
        <v/>
      </c>
    </row>
    <row r="103" spans="2:3" x14ac:dyDescent="0.25">
      <c r="B103" s="7" t="str">
        <f>Master[[#This Row],[Accession Prefix (NPGS)]]&amp;" "&amp;Master[[#This Row],[Accession Number -Assigned]]&amp;" COLLECTED "&amp;TEXT(SourceCollector[[#This Row],[Source Date]], "MM/DD/YYYY")</f>
        <v>W6 59689 COLLECTED 06/30/2020</v>
      </c>
      <c r="C103" s="17" t="str">
        <f>IF(Master[[#This Row],[Cooperator (Collector) 3 -full record]]="","",Master[[#This Row],[Cooperator (Collector) 3 -full record]])</f>
        <v/>
      </c>
    </row>
    <row r="104" spans="2:3" x14ac:dyDescent="0.25">
      <c r="B104" s="7" t="str">
        <f>Master[[#This Row],[Accession Prefix (NPGS)]]&amp;" "&amp;Master[[#This Row],[Accession Number -Assigned]]&amp;" COLLECTED "&amp;TEXT(SourceCollector[[#This Row],[Source Date]], "MM/DD/YYYY")</f>
        <v>W6 59690 COLLECTED 06/30/2020</v>
      </c>
      <c r="C104" s="17" t="str">
        <f>IF(Master[[#This Row],[Cooperator (Collector) 3 -full record]]="","",Master[[#This Row],[Cooperator (Collector) 3 -full record]])</f>
        <v/>
      </c>
    </row>
    <row r="105" spans="2:3" x14ac:dyDescent="0.25">
      <c r="B105" s="7" t="str">
        <f>Master[[#This Row],[Accession Prefix (NPGS)]]&amp;" "&amp;Master[[#This Row],[Accession Number -Assigned]]&amp;" COLLECTED "&amp;TEXT(SourceCollector[[#This Row],[Source Date]], "MM/DD/YYYY")</f>
        <v>W6 59691 COLLECTED 07/07/2020</v>
      </c>
      <c r="C105" s="17" t="str">
        <f>IF(Master[[#This Row],[Cooperator (Collector) 3 -full record]]="","",Master[[#This Row],[Cooperator (Collector) 3 -full record]])</f>
        <v/>
      </c>
    </row>
    <row r="106" spans="2:3" x14ac:dyDescent="0.25">
      <c r="B106" s="7" t="str">
        <f>Master[[#This Row],[Accession Prefix (NPGS)]]&amp;" "&amp;Master[[#This Row],[Accession Number -Assigned]]&amp;" COLLECTED "&amp;TEXT(SourceCollector[[#This Row],[Source Date]], "MM/DD/YYYY")</f>
        <v>W6 59692 COLLECTED 07/08/2020</v>
      </c>
      <c r="C106" s="17" t="str">
        <f>IF(Master[[#This Row],[Cooperator (Collector) 3 -full record]]="","",Master[[#This Row],[Cooperator (Collector) 3 -full record]])</f>
        <v/>
      </c>
    </row>
    <row r="107" spans="2:3" x14ac:dyDescent="0.25">
      <c r="B107" s="7" t="str">
        <f>Master[[#This Row],[Accession Prefix (NPGS)]]&amp;" "&amp;Master[[#This Row],[Accession Number -Assigned]]&amp;" COLLECTED "&amp;TEXT(SourceCollector[[#This Row],[Source Date]], "MM/DD/YYYY")</f>
        <v>W6 59693 COLLECTED 07/09/2020</v>
      </c>
      <c r="C107" s="17" t="str">
        <f>IF(Master[[#This Row],[Cooperator (Collector) 3 -full record]]="","",Master[[#This Row],[Cooperator (Collector) 3 -full record]])</f>
        <v/>
      </c>
    </row>
    <row r="108" spans="2:3" x14ac:dyDescent="0.25">
      <c r="B108" s="7" t="str">
        <f>Master[[#This Row],[Accession Prefix (NPGS)]]&amp;" "&amp;Master[[#This Row],[Accession Number -Assigned]]&amp;" COLLECTED "&amp;TEXT(SourceCollector[[#This Row],[Source Date]], "MM/DD/YYYY")</f>
        <v>W6 59694 COLLECTED 07/13/2020</v>
      </c>
      <c r="C108" s="17" t="str">
        <f>IF(Master[[#This Row],[Cooperator (Collector) 3 -full record]]="","",Master[[#This Row],[Cooperator (Collector) 3 -full record]])</f>
        <v/>
      </c>
    </row>
    <row r="109" spans="2:3" x14ac:dyDescent="0.25">
      <c r="B109" s="7" t="str">
        <f>Master[[#This Row],[Accession Prefix (NPGS)]]&amp;" "&amp;Master[[#This Row],[Accession Number -Assigned]]&amp;" COLLECTED "&amp;TEXT(SourceCollector[[#This Row],[Source Date]], "MM/DD/YYYY")</f>
        <v>W6 59695 COLLECTED 07/14/2020</v>
      </c>
      <c r="C109" s="17" t="str">
        <f>IF(Master[[#This Row],[Cooperator (Collector) 3 -full record]]="","",Master[[#This Row],[Cooperator (Collector) 3 -full record]])</f>
        <v/>
      </c>
    </row>
    <row r="110" spans="2:3" x14ac:dyDescent="0.25">
      <c r="B110" s="7" t="str">
        <f>Master[[#This Row],[Accession Prefix (NPGS)]]&amp;" "&amp;Master[[#This Row],[Accession Number -Assigned]]&amp;" COLLECTED "&amp;TEXT(SourceCollector[[#This Row],[Source Date]], "MM/DD/YYYY")</f>
        <v>W6 59696 COLLECTED 07/15/2020</v>
      </c>
      <c r="C110" s="17" t="str">
        <f>IF(Master[[#This Row],[Cooperator (Collector) 3 -full record]]="","",Master[[#This Row],[Cooperator (Collector) 3 -full record]])</f>
        <v/>
      </c>
    </row>
    <row r="111" spans="2:3" x14ac:dyDescent="0.25">
      <c r="B111" s="7" t="str">
        <f>Master[[#This Row],[Accession Prefix (NPGS)]]&amp;" "&amp;Master[[#This Row],[Accession Number -Assigned]]&amp;" COLLECTED "&amp;TEXT(SourceCollector[[#This Row],[Source Date]], "MM/DD/YYYY")</f>
        <v>W6 59697 COLLECTED 07/15/2020</v>
      </c>
      <c r="C111" s="17" t="str">
        <f>IF(Master[[#This Row],[Cooperator (Collector) 3 -full record]]="","",Master[[#This Row],[Cooperator (Collector) 3 -full record]])</f>
        <v/>
      </c>
    </row>
    <row r="112" spans="2:3" x14ac:dyDescent="0.25">
      <c r="B112" s="7" t="str">
        <f>Master[[#This Row],[Accession Prefix (NPGS)]]&amp;" "&amp;Master[[#This Row],[Accession Number -Assigned]]&amp;" COLLECTED "&amp;TEXT(SourceCollector[[#This Row],[Source Date]], "MM/DD/YYYY")</f>
        <v>W6 59698 COLLECTED 07/16/2020</v>
      </c>
      <c r="C112" s="17" t="str">
        <f>IF(Master[[#This Row],[Cooperator (Collector) 3 -full record]]="","",Master[[#This Row],[Cooperator (Collector) 3 -full record]])</f>
        <v/>
      </c>
    </row>
    <row r="113" spans="2:3" x14ac:dyDescent="0.25">
      <c r="B113" s="7" t="str">
        <f>Master[[#This Row],[Accession Prefix (NPGS)]]&amp;" "&amp;Master[[#This Row],[Accession Number -Assigned]]&amp;" COLLECTED "&amp;TEXT(SourceCollector[[#This Row],[Source Date]], "MM/DD/YYYY")</f>
        <v>W6 59699 COLLECTED 07/27/2020</v>
      </c>
      <c r="C113" s="17" t="str">
        <f>IF(Master[[#This Row],[Cooperator (Collector) 3 -full record]]="","",Master[[#This Row],[Cooperator (Collector) 3 -full record]])</f>
        <v/>
      </c>
    </row>
    <row r="114" spans="2:3" x14ac:dyDescent="0.25">
      <c r="B114" s="7" t="str">
        <f>Master[[#This Row],[Accession Prefix (NPGS)]]&amp;" "&amp;Master[[#This Row],[Accession Number -Assigned]]&amp;" COLLECTED "&amp;TEXT(SourceCollector[[#This Row],[Source Date]], "MM/DD/YYYY")</f>
        <v>W6 59700 COLLECTED 08/03/2020</v>
      </c>
      <c r="C114" s="17" t="str">
        <f>IF(Master[[#This Row],[Cooperator (Collector) 3 -full record]]="","",Master[[#This Row],[Cooperator (Collector) 3 -full record]])</f>
        <v/>
      </c>
    </row>
    <row r="115" spans="2:3" x14ac:dyDescent="0.25">
      <c r="B115" s="7" t="str">
        <f>Master[[#This Row],[Accession Prefix (NPGS)]]&amp;" "&amp;Master[[#This Row],[Accession Number -Assigned]]&amp;" COLLECTED "&amp;TEXT(SourceCollector[[#This Row],[Source Date]], "MM/DD/YYYY")</f>
        <v>W6 59701 COLLECTED 08/05/2020</v>
      </c>
      <c r="C115" s="17" t="str">
        <f>IF(Master[[#This Row],[Cooperator (Collector) 3 -full record]]="","",Master[[#This Row],[Cooperator (Collector) 3 -full record]])</f>
        <v/>
      </c>
    </row>
    <row r="116" spans="2:3" x14ac:dyDescent="0.25">
      <c r="B116" s="7" t="str">
        <f>Master[[#This Row],[Accession Prefix (NPGS)]]&amp;" "&amp;Master[[#This Row],[Accession Number -Assigned]]&amp;" COLLECTED "&amp;TEXT(SourceCollector[[#This Row],[Source Date]], "MM/DD/YYYY")</f>
        <v>W6 59702 COLLECTED 08/05/2020</v>
      </c>
      <c r="C116" s="17" t="str">
        <f>IF(Master[[#This Row],[Cooperator (Collector) 3 -full record]]="","",Master[[#This Row],[Cooperator (Collector) 3 -full record]])</f>
        <v/>
      </c>
    </row>
    <row r="117" spans="2:3" x14ac:dyDescent="0.25">
      <c r="B117" s="7" t="str">
        <f>Master[[#This Row],[Accession Prefix (NPGS)]]&amp;" "&amp;Master[[#This Row],[Accession Number -Assigned]]&amp;" COLLECTED "&amp;TEXT(SourceCollector[[#This Row],[Source Date]], "MM/DD/YYYY")</f>
        <v>W6 59703 COLLECTED 08/06/2020</v>
      </c>
      <c r="C117" s="17" t="str">
        <f>IF(Master[[#This Row],[Cooperator (Collector) 3 -full record]]="","",Master[[#This Row],[Cooperator (Collector) 3 -full record]])</f>
        <v/>
      </c>
    </row>
    <row r="118" spans="2:3" x14ac:dyDescent="0.25">
      <c r="B118" s="7" t="str">
        <f>Master[[#This Row],[Accession Prefix (NPGS)]]&amp;" "&amp;Master[[#This Row],[Accession Number -Assigned]]&amp;" COLLECTED "&amp;TEXT(SourceCollector[[#This Row],[Source Date]], "MM/DD/YYYY")</f>
        <v>W6 59704 COLLECTED 08/10/2020</v>
      </c>
      <c r="C118" s="17" t="str">
        <f>IF(Master[[#This Row],[Cooperator (Collector) 3 -full record]]="","",Master[[#This Row],[Cooperator (Collector) 3 -full record]])</f>
        <v/>
      </c>
    </row>
    <row r="119" spans="2:3" x14ac:dyDescent="0.25">
      <c r="B119" s="7" t="str">
        <f>Master[[#This Row],[Accession Prefix (NPGS)]]&amp;" "&amp;Master[[#This Row],[Accession Number -Assigned]]&amp;" COLLECTED "&amp;TEXT(SourceCollector[[#This Row],[Source Date]], "MM/DD/YYYY")</f>
        <v>W6 59705 COLLECTED 08/13/2020</v>
      </c>
      <c r="C119" s="17" t="str">
        <f>IF(Master[[#This Row],[Cooperator (Collector) 3 -full record]]="","",Master[[#This Row],[Cooperator (Collector) 3 -full record]])</f>
        <v/>
      </c>
    </row>
    <row r="120" spans="2:3" x14ac:dyDescent="0.25">
      <c r="B120" s="7" t="str">
        <f>Master[[#This Row],[Accession Prefix (NPGS)]]&amp;" "&amp;Master[[#This Row],[Accession Number -Assigned]]&amp;" COLLECTED "&amp;TEXT(SourceCollector[[#This Row],[Source Date]], "MM/DD/YYYY")</f>
        <v>W6 59706 COLLECTED 08/17/2020</v>
      </c>
      <c r="C120" s="17" t="str">
        <f>IF(Master[[#This Row],[Cooperator (Collector) 3 -full record]]="","",Master[[#This Row],[Cooperator (Collector) 3 -full record]])</f>
        <v/>
      </c>
    </row>
    <row r="121" spans="2:3" x14ac:dyDescent="0.25">
      <c r="B121" s="7" t="str">
        <f>Master[[#This Row],[Accession Prefix (NPGS)]]&amp;" "&amp;Master[[#This Row],[Accession Number -Assigned]]&amp;" COLLECTED "&amp;TEXT(SourceCollector[[#This Row],[Source Date]], "MM/DD/YYYY")</f>
        <v>W6 59707 COLLECTED 08/17/2020</v>
      </c>
      <c r="C121" s="17" t="str">
        <f>IF(Master[[#This Row],[Cooperator (Collector) 3 -full record]]="","",Master[[#This Row],[Cooperator (Collector) 3 -full record]])</f>
        <v/>
      </c>
    </row>
    <row r="122" spans="2:3" x14ac:dyDescent="0.25">
      <c r="B122" s="7" t="str">
        <f>Master[[#This Row],[Accession Prefix (NPGS)]]&amp;" "&amp;Master[[#This Row],[Accession Number -Assigned]]&amp;" COLLECTED "&amp;TEXT(SourceCollector[[#This Row],[Source Date]], "MM/DD/YYYY")</f>
        <v>W6 59708 COLLECTED 08/18/2020</v>
      </c>
      <c r="C122" s="17" t="str">
        <f>IF(Master[[#This Row],[Cooperator (Collector) 3 -full record]]="","",Master[[#This Row],[Cooperator (Collector) 3 -full record]])</f>
        <v/>
      </c>
    </row>
    <row r="123" spans="2:3" x14ac:dyDescent="0.25">
      <c r="B123" s="7" t="str">
        <f>Master[[#This Row],[Accession Prefix (NPGS)]]&amp;" "&amp;Master[[#This Row],[Accession Number -Assigned]]&amp;" COLLECTED "&amp;TEXT(SourceCollector[[#This Row],[Source Date]], "MM/DD/YYYY")</f>
        <v>W6 59709 COLLECTED 08/19/2020</v>
      </c>
      <c r="C123" s="17" t="str">
        <f>IF(Master[[#This Row],[Cooperator (Collector) 3 -full record]]="","",Master[[#This Row],[Cooperator (Collector) 3 -full record]])</f>
        <v/>
      </c>
    </row>
    <row r="124" spans="2:3" x14ac:dyDescent="0.25">
      <c r="B124" s="7" t="str">
        <f>Master[[#This Row],[Accession Prefix (NPGS)]]&amp;" "&amp;Master[[#This Row],[Accession Number -Assigned]]&amp;" COLLECTED "&amp;TEXT(SourceCollector[[#This Row],[Source Date]], "MM/DD/YYYY")</f>
        <v>W6 59710 COLLECTED 08/24/2020</v>
      </c>
      <c r="C124" s="17" t="str">
        <f>IF(Master[[#This Row],[Cooperator (Collector) 3 -full record]]="","",Master[[#This Row],[Cooperator (Collector) 3 -full record]])</f>
        <v/>
      </c>
    </row>
    <row r="125" spans="2:3" x14ac:dyDescent="0.25">
      <c r="B125" s="7" t="str">
        <f>Master[[#This Row],[Accession Prefix (NPGS)]]&amp;" "&amp;Master[[#This Row],[Accession Number -Assigned]]&amp;" COLLECTED "&amp;TEXT(SourceCollector[[#This Row],[Source Date]], "MM/DD/YYYY")</f>
        <v>W6 59711 COLLECTED 08/27/2020</v>
      </c>
      <c r="C125" s="17" t="str">
        <f>IF(Master[[#This Row],[Cooperator (Collector) 3 -full record]]="","",Master[[#This Row],[Cooperator (Collector) 3 -full record]])</f>
        <v/>
      </c>
    </row>
    <row r="126" spans="2:3" x14ac:dyDescent="0.25">
      <c r="B126" s="7" t="str">
        <f>Master[[#This Row],[Accession Prefix (NPGS)]]&amp;" "&amp;Master[[#This Row],[Accession Number -Assigned]]&amp;" COLLECTED "&amp;TEXT(SourceCollector[[#This Row],[Source Date]], "MM/DD/YYYY")</f>
        <v>W6 59712 COLLECTED 09/01/2020</v>
      </c>
      <c r="C126" s="17" t="str">
        <f>IF(Master[[#This Row],[Cooperator (Collector) 3 -full record]]="","",Master[[#This Row],[Cooperator (Collector) 3 -full record]])</f>
        <v/>
      </c>
    </row>
    <row r="127" spans="2:3" x14ac:dyDescent="0.25">
      <c r="B127" s="7" t="str">
        <f>Master[[#This Row],[Accession Prefix (NPGS)]]&amp;" "&amp;Master[[#This Row],[Accession Number -Assigned]]&amp;" COLLECTED "&amp;TEXT(SourceCollector[[#This Row],[Source Date]], "MM/DD/YYYY")</f>
        <v>W6 59713 COLLECTED 08/03/2020</v>
      </c>
      <c r="C127" s="17" t="str">
        <f>IF(Master[[#This Row],[Cooperator (Collector) 3 -full record]]="","",Master[[#This Row],[Cooperator (Collector) 3 -full record]])</f>
        <v/>
      </c>
    </row>
    <row r="128" spans="2:3" x14ac:dyDescent="0.25">
      <c r="B128" s="7" t="str">
        <f>Master[[#This Row],[Accession Prefix (NPGS)]]&amp;" "&amp;Master[[#This Row],[Accession Number -Assigned]]&amp;" COLLECTED "&amp;TEXT(SourceCollector[[#This Row],[Source Date]], "MM/DD/YYYY")</f>
        <v>W6 59714 COLLECTED 08/05/2020</v>
      </c>
      <c r="C128" s="17" t="str">
        <f>IF(Master[[#This Row],[Cooperator (Collector) 3 -full record]]="","",Master[[#This Row],[Cooperator (Collector) 3 -full record]])</f>
        <v/>
      </c>
    </row>
    <row r="129" spans="2:3" x14ac:dyDescent="0.25">
      <c r="B129" s="7" t="str">
        <f>Master[[#This Row],[Accession Prefix (NPGS)]]&amp;" "&amp;Master[[#This Row],[Accession Number -Assigned]]&amp;" COLLECTED "&amp;TEXT(SourceCollector[[#This Row],[Source Date]], "MM/DD/YYYY")</f>
        <v>W6 59715 COLLECTED 08/12/2020</v>
      </c>
      <c r="C129" s="17" t="str">
        <f>IF(Master[[#This Row],[Cooperator (Collector) 3 -full record]]="","",Master[[#This Row],[Cooperator (Collector) 3 -full record]])</f>
        <v/>
      </c>
    </row>
    <row r="130" spans="2:3" x14ac:dyDescent="0.25">
      <c r="B130" s="7" t="str">
        <f>Master[[#This Row],[Accession Prefix (NPGS)]]&amp;" "&amp;Master[[#This Row],[Accession Number -Assigned]]&amp;" COLLECTED "&amp;TEXT(SourceCollector[[#This Row],[Source Date]], "MM/DD/YYYY")</f>
        <v>W6 59716 COLLECTED 08/17/2020</v>
      </c>
      <c r="C130" s="17" t="str">
        <f>IF(Master[[#This Row],[Cooperator (Collector) 3 -full record]]="","",Master[[#This Row],[Cooperator (Collector) 3 -full record]])</f>
        <v/>
      </c>
    </row>
    <row r="131" spans="2:3" x14ac:dyDescent="0.25">
      <c r="B131" s="7" t="str">
        <f>Master[[#This Row],[Accession Prefix (NPGS)]]&amp;" "&amp;Master[[#This Row],[Accession Number -Assigned]]&amp;" COLLECTED "&amp;TEXT(SourceCollector[[#This Row],[Source Date]], "MM/DD/YYYY")</f>
        <v>W6 59717 COLLECTED 08/19/2020</v>
      </c>
      <c r="C131" s="17" t="str">
        <f>IF(Master[[#This Row],[Cooperator (Collector) 3 -full record]]="","",Master[[#This Row],[Cooperator (Collector) 3 -full record]])</f>
        <v/>
      </c>
    </row>
    <row r="132" spans="2:3" x14ac:dyDescent="0.25">
      <c r="B132" s="7" t="str">
        <f>Master[[#This Row],[Accession Prefix (NPGS)]]&amp;" "&amp;Master[[#This Row],[Accession Number -Assigned]]&amp;" COLLECTED "&amp;TEXT(SourceCollector[[#This Row],[Source Date]], "MM/DD/YYYY")</f>
        <v>W6 59718 COLLECTED 08/19/2020</v>
      </c>
      <c r="C132" s="17" t="str">
        <f>IF(Master[[#This Row],[Cooperator (Collector) 3 -full record]]="","",Master[[#This Row],[Cooperator (Collector) 3 -full record]])</f>
        <v/>
      </c>
    </row>
    <row r="133" spans="2:3" x14ac:dyDescent="0.25">
      <c r="B133" s="7" t="str">
        <f>Master[[#This Row],[Accession Prefix (NPGS)]]&amp;" "&amp;Master[[#This Row],[Accession Number -Assigned]]&amp;" COLLECTED "&amp;TEXT(SourceCollector[[#This Row],[Source Date]], "MM/DD/YYYY")</f>
        <v>W6 59719 COLLECTED 08/26/2020</v>
      </c>
      <c r="C133" s="17" t="str">
        <f>IF(Master[[#This Row],[Cooperator (Collector) 3 -full record]]="","",Master[[#This Row],[Cooperator (Collector) 3 -full record]])</f>
        <v/>
      </c>
    </row>
    <row r="134" spans="2:3" x14ac:dyDescent="0.25">
      <c r="B134" s="7" t="str">
        <f>Master[[#This Row],[Accession Prefix (NPGS)]]&amp;" "&amp;Master[[#This Row],[Accession Number -Assigned]]&amp;" COLLECTED "&amp;TEXT(SourceCollector[[#This Row],[Source Date]], "MM/DD/YYYY")</f>
        <v>W6 59720 COLLECTED 08/26/2020</v>
      </c>
      <c r="C134" s="17" t="str">
        <f>IF(Master[[#This Row],[Cooperator (Collector) 3 -full record]]="","",Master[[#This Row],[Cooperator (Collector) 3 -full record]])</f>
        <v/>
      </c>
    </row>
    <row r="135" spans="2:3" x14ac:dyDescent="0.25">
      <c r="B135" s="7" t="str">
        <f>Master[[#This Row],[Accession Prefix (NPGS)]]&amp;" "&amp;Master[[#This Row],[Accession Number -Assigned]]&amp;" COLLECTED "&amp;TEXT(SourceCollector[[#This Row],[Source Date]], "MM/DD/YYYY")</f>
        <v>W6 59721 COLLECTED 08/27/2020</v>
      </c>
      <c r="C135" s="17" t="str">
        <f>IF(Master[[#This Row],[Cooperator (Collector) 3 -full record]]="","",Master[[#This Row],[Cooperator (Collector) 3 -full record]])</f>
        <v/>
      </c>
    </row>
    <row r="136" spans="2:3" x14ac:dyDescent="0.25">
      <c r="B136" s="7" t="str">
        <f>Master[[#This Row],[Accession Prefix (NPGS)]]&amp;" "&amp;Master[[#This Row],[Accession Number -Assigned]]&amp;" COLLECTED "&amp;TEXT(SourceCollector[[#This Row],[Source Date]], "MM/DD/YYYY")</f>
        <v>W6 59722 COLLECTED 09/09/2020</v>
      </c>
      <c r="C136" s="17" t="str">
        <f>IF(Master[[#This Row],[Cooperator (Collector) 3 -full record]]="","",Master[[#This Row],[Cooperator (Collector) 3 -full record]])</f>
        <v/>
      </c>
    </row>
    <row r="137" spans="2:3" x14ac:dyDescent="0.25">
      <c r="B137" s="7" t="str">
        <f>Master[[#This Row],[Accession Prefix (NPGS)]]&amp;" "&amp;Master[[#This Row],[Accession Number -Assigned]]&amp;" COLLECTED "&amp;TEXT(SourceCollector[[#This Row],[Source Date]], "MM/DD/YYYY")</f>
        <v>W6 59723 COLLECTED 09/10/2020</v>
      </c>
      <c r="C137" s="17" t="str">
        <f>IF(Master[[#This Row],[Cooperator (Collector) 3 -full record]]="","",Master[[#This Row],[Cooperator (Collector) 3 -full record]])</f>
        <v/>
      </c>
    </row>
    <row r="138" spans="2:3" x14ac:dyDescent="0.25">
      <c r="B138" s="7" t="str">
        <f>Master[[#This Row],[Accession Prefix (NPGS)]]&amp;" "&amp;Master[[#This Row],[Accession Number -Assigned]]&amp;" COLLECTED "&amp;TEXT(SourceCollector[[#This Row],[Source Date]], "MM/DD/YYYY")</f>
        <v>W6 59724 COLLECTED 09/10/2020</v>
      </c>
      <c r="C138" s="17" t="str">
        <f>IF(Master[[#This Row],[Cooperator (Collector) 3 -full record]]="","",Master[[#This Row],[Cooperator (Collector) 3 -full record]])</f>
        <v/>
      </c>
    </row>
    <row r="139" spans="2:3" x14ac:dyDescent="0.25">
      <c r="B139" s="7" t="str">
        <f>Master[[#This Row],[Accession Prefix (NPGS)]]&amp;" "&amp;Master[[#This Row],[Accession Number -Assigned]]&amp;" COLLECTED "&amp;TEXT(SourceCollector[[#This Row],[Source Date]], "MM/DD/YYYY")</f>
        <v>W6 59725 COLLECTED 09/15/2020</v>
      </c>
      <c r="C139" s="17" t="str">
        <f>IF(Master[[#This Row],[Cooperator (Collector) 3 -full record]]="","",Master[[#This Row],[Cooperator (Collector) 3 -full record]])</f>
        <v/>
      </c>
    </row>
    <row r="140" spans="2:3" x14ac:dyDescent="0.25">
      <c r="B140" s="7" t="str">
        <f>Master[[#This Row],[Accession Prefix (NPGS)]]&amp;" "&amp;Master[[#This Row],[Accession Number -Assigned]]&amp;" COLLECTED "&amp;TEXT(SourceCollector[[#This Row],[Source Date]], "MM/DD/YYYY")</f>
        <v>W6 59726 COLLECTED 09/17/2020</v>
      </c>
      <c r="C140" s="17" t="str">
        <f>IF(Master[[#This Row],[Cooperator (Collector) 3 -full record]]="","",Master[[#This Row],[Cooperator (Collector) 3 -full record]])</f>
        <v/>
      </c>
    </row>
    <row r="141" spans="2:3" x14ac:dyDescent="0.25">
      <c r="B141" s="7" t="str">
        <f>Master[[#This Row],[Accession Prefix (NPGS)]]&amp;" "&amp;Master[[#This Row],[Accession Number -Assigned]]&amp;" COLLECTED "&amp;TEXT(SourceCollector[[#This Row],[Source Date]], "MM/DD/YYYY")</f>
        <v>W6 59727 COLLECTED 09/17/2020</v>
      </c>
      <c r="C141" s="17" t="str">
        <f>IF(Master[[#This Row],[Cooperator (Collector) 3 -full record]]="","",Master[[#This Row],[Cooperator (Collector) 3 -full record]])</f>
        <v/>
      </c>
    </row>
    <row r="142" spans="2:3" x14ac:dyDescent="0.25">
      <c r="B142" s="7" t="str">
        <f>Master[[#This Row],[Accession Prefix (NPGS)]]&amp;" "&amp;Master[[#This Row],[Accession Number -Assigned]]&amp;" COLLECTED "&amp;TEXT(SourceCollector[[#This Row],[Source Date]], "MM/DD/YYYY")</f>
        <v>W6 59728 COLLECTED 09/21/2020</v>
      </c>
      <c r="C142" s="17" t="str">
        <f>IF(Master[[#This Row],[Cooperator (Collector) 3 -full record]]="","",Master[[#This Row],[Cooperator (Collector) 3 -full record]])</f>
        <v/>
      </c>
    </row>
    <row r="143" spans="2:3" x14ac:dyDescent="0.25">
      <c r="B143" s="7" t="str">
        <f>Master[[#This Row],[Accession Prefix (NPGS)]]&amp;" "&amp;Master[[#This Row],[Accession Number -Assigned]]&amp;" COLLECTED "&amp;TEXT(SourceCollector[[#This Row],[Source Date]], "MM/DD/YYYY")</f>
        <v>W6 59729 COLLECTED 09/23/2020</v>
      </c>
      <c r="C143" s="17" t="str">
        <f>IF(Master[[#This Row],[Cooperator (Collector) 3 -full record]]="","",Master[[#This Row],[Cooperator (Collector) 3 -full record]])</f>
        <v/>
      </c>
    </row>
    <row r="144" spans="2:3" x14ac:dyDescent="0.25">
      <c r="B144" s="7" t="str">
        <f>Master[[#This Row],[Accession Prefix (NPGS)]]&amp;" "&amp;Master[[#This Row],[Accession Number -Assigned]]&amp;" COLLECTED "&amp;TEXT(SourceCollector[[#This Row],[Source Date]], "MM/DD/YYYY")</f>
        <v>W6 59730 COLLECTED 09/24/2020</v>
      </c>
      <c r="C144" s="17" t="str">
        <f>IF(Master[[#This Row],[Cooperator (Collector) 3 -full record]]="","",Master[[#This Row],[Cooperator (Collector) 3 -full record]])</f>
        <v/>
      </c>
    </row>
    <row r="145" spans="2:3" x14ac:dyDescent="0.25">
      <c r="B145" s="7" t="str">
        <f>Master[[#This Row],[Accession Prefix (NPGS)]]&amp;" "&amp;Master[[#This Row],[Accession Number -Assigned]]&amp;" COLLECTED "&amp;TEXT(SourceCollector[[#This Row],[Source Date]], "MM/DD/YYYY")</f>
        <v>W6 59731 COLLECTED 10/01/2020</v>
      </c>
      <c r="C145" s="17" t="str">
        <f>IF(Master[[#This Row],[Cooperator (Collector) 3 -full record]]="","",Master[[#This Row],[Cooperator (Collector) 3 -full record]])</f>
        <v/>
      </c>
    </row>
    <row r="146" spans="2:3" x14ac:dyDescent="0.25">
      <c r="B146" s="7" t="str">
        <f>Master[[#This Row],[Accession Prefix (NPGS)]]&amp;" "&amp;Master[[#This Row],[Accession Number -Assigned]]&amp;" COLLECTED "&amp;TEXT(SourceCollector[[#This Row],[Source Date]], "MM/DD/YYYY")</f>
        <v>W6 59732 COLLECTED 10/02/2020</v>
      </c>
      <c r="C146" s="17" t="str">
        <f>IF(Master[[#This Row],[Cooperator (Collector) 3 -full record]]="","",Master[[#This Row],[Cooperator (Collector) 3 -full record]])</f>
        <v/>
      </c>
    </row>
    <row r="147" spans="2:3" x14ac:dyDescent="0.25">
      <c r="B147" s="7" t="str">
        <f>Master[[#This Row],[Accession Prefix (NPGS)]]&amp;" "&amp;Master[[#This Row],[Accession Number -Assigned]]&amp;" COLLECTED "&amp;TEXT(SourceCollector[[#This Row],[Source Date]], "MM/DD/YYYY")</f>
        <v>W6 59733 COLLECTED 10/05/2020</v>
      </c>
      <c r="C147" s="17" t="str">
        <f>IF(Master[[#This Row],[Cooperator (Collector) 3 -full record]]="","",Master[[#This Row],[Cooperator (Collector) 3 -full record]])</f>
        <v/>
      </c>
    </row>
    <row r="148" spans="2:3" x14ac:dyDescent="0.25">
      <c r="B148" s="7" t="str">
        <f>Master[[#This Row],[Accession Prefix (NPGS)]]&amp;" "&amp;Master[[#This Row],[Accession Number -Assigned]]&amp;" COLLECTED "&amp;TEXT(SourceCollector[[#This Row],[Source Date]], "MM/DD/YYYY")</f>
        <v>W6 59734 COLLECTED 10/05/2020</v>
      </c>
      <c r="C148" s="17" t="str">
        <f>IF(Master[[#This Row],[Cooperator (Collector) 3 -full record]]="","",Master[[#This Row],[Cooperator (Collector) 3 -full record]])</f>
        <v/>
      </c>
    </row>
    <row r="149" spans="2:3" x14ac:dyDescent="0.25">
      <c r="B149" s="7" t="str">
        <f>Master[[#This Row],[Accession Prefix (NPGS)]]&amp;" "&amp;Master[[#This Row],[Accession Number -Assigned]]&amp;" COLLECTED "&amp;TEXT(SourceCollector[[#This Row],[Source Date]], "MM/DD/YYYY")</f>
        <v>W6 59735 COLLECTED 07/29/2020</v>
      </c>
      <c r="C149" s="17" t="str">
        <f>IF(Master[[#This Row],[Cooperator (Collector) 3 -full record]]="","",Master[[#This Row],[Cooperator (Collector) 3 -full record]])</f>
        <v/>
      </c>
    </row>
    <row r="150" spans="2:3" x14ac:dyDescent="0.25">
      <c r="B150" s="7" t="str">
        <f>Master[[#This Row],[Accession Prefix (NPGS)]]&amp;" "&amp;Master[[#This Row],[Accession Number -Assigned]]&amp;" COLLECTED "&amp;TEXT(SourceCollector[[#This Row],[Source Date]], "MM/DD/YYYY")</f>
        <v>W6 59736 COLLECTED 10/07/2020</v>
      </c>
      <c r="C150" s="17" t="str">
        <f>IF(Master[[#This Row],[Cooperator (Collector) 3 -full record]]="","",Master[[#This Row],[Cooperator (Collector) 3 -full record]])</f>
        <v/>
      </c>
    </row>
    <row r="151" spans="2:3" x14ac:dyDescent="0.25">
      <c r="B151" s="7" t="str">
        <f>Master[[#This Row],[Accession Prefix (NPGS)]]&amp;" "&amp;Master[[#This Row],[Accession Number -Assigned]]&amp;" COLLECTED "&amp;TEXT(SourceCollector[[#This Row],[Source Date]], "MM/DD/YYYY")</f>
        <v>W6 59737 COLLECTED 08/18/2020</v>
      </c>
      <c r="C151" s="17" t="str">
        <f>IF(Master[[#This Row],[Cooperator (Collector) 3 -full record]]="","",Master[[#This Row],[Cooperator (Collector) 3 -full record]])</f>
        <v/>
      </c>
    </row>
    <row r="152" spans="2:3" x14ac:dyDescent="0.25">
      <c r="B152" s="7" t="str">
        <f>Master[[#This Row],[Accession Prefix (NPGS)]]&amp;" "&amp;Master[[#This Row],[Accession Number -Assigned]]&amp;" COLLECTED "&amp;TEXT(SourceCollector[[#This Row],[Source Date]], "MM/DD/YYYY")</f>
        <v xml:space="preserve">  COLLECTED </v>
      </c>
      <c r="C152" s="17" t="str">
        <f>IF(Master[[#This Row],[Cooperator (Collector) 3 -full record]]="","",Master[[#This Row],[Cooperator (Collector) 3 -full record]])</f>
        <v/>
      </c>
    </row>
    <row r="153" spans="2:3" x14ac:dyDescent="0.25">
      <c r="B153" s="7" t="str">
        <f>Master[[#This Row],[Accession Prefix (NPGS)]]&amp;" "&amp;Master[[#This Row],[Accession Number -Assigned]]&amp;" COLLECTED "&amp;TEXT(SourceCollector[[#This Row],[Source Date]], "MM/DD/YYYY")</f>
        <v xml:space="preserve">  COLLECTED </v>
      </c>
      <c r="C153" s="17" t="str">
        <f>IF(Master[[#This Row],[Cooperator (Collector) 3 -full record]]="","",Master[[#This Row],[Cooperator (Collector) 3 -full record]])</f>
        <v/>
      </c>
    </row>
    <row r="154" spans="2:3" x14ac:dyDescent="0.25">
      <c r="B154" s="7" t="str">
        <f>Master[[#This Row],[Accession Prefix (NPGS)]]&amp;" "&amp;Master[[#This Row],[Accession Number -Assigned]]&amp;" COLLECTED "&amp;TEXT(SourceCollector[[#This Row],[Source Date]], "MM/DD/YYYY")</f>
        <v xml:space="preserve">  COLLECTED </v>
      </c>
      <c r="C154" s="17" t="str">
        <f>IF(Master[[#This Row],[Cooperator (Collector) 3 -full record]]="","",Master[[#This Row],[Cooperator (Collector) 3 -full record]])</f>
        <v/>
      </c>
    </row>
    <row r="155" spans="2:3" x14ac:dyDescent="0.25">
      <c r="B155" s="7" t="str">
        <f>Master[[#This Row],[Accession Prefix (NPGS)]]&amp;" "&amp;Master[[#This Row],[Accession Number -Assigned]]&amp;" COLLECTED "&amp;TEXT(SourceCollector[[#This Row],[Source Date]], "MM/DD/YYYY")</f>
        <v xml:space="preserve">  COLLECTED </v>
      </c>
      <c r="C155" s="17" t="str">
        <f>IF(Master[[#This Row],[Cooperator (Collector) 3 -full record]]="","",Master[[#This Row],[Cooperator (Collector) 3 -full record]])</f>
        <v/>
      </c>
    </row>
    <row r="156" spans="2:3" x14ac:dyDescent="0.25">
      <c r="B156" s="7" t="str">
        <f>Master[[#This Row],[Accession Prefix (NPGS)]]&amp;" "&amp;Master[[#This Row],[Accession Number -Assigned]]&amp;" COLLECTED "&amp;TEXT(SourceCollector[[#This Row],[Source Date]], "MM/DD/YYYY")</f>
        <v xml:space="preserve">  COLLECTED </v>
      </c>
      <c r="C156" s="17" t="str">
        <f>IF(Master[[#This Row],[Cooperator (Collector) 3 -full record]]="","",Master[[#This Row],[Cooperator (Collector) 3 -full record]])</f>
        <v/>
      </c>
    </row>
    <row r="157" spans="2:3" x14ac:dyDescent="0.25">
      <c r="B157" s="7" t="str">
        <f>Master[[#This Row],[Accession Prefix (NPGS)]]&amp;" "&amp;Master[[#This Row],[Accession Number -Assigned]]&amp;" COLLECTED "&amp;TEXT(SourceCollector[[#This Row],[Source Date]], "MM/DD/YYYY")</f>
        <v xml:space="preserve">  COLLECTED </v>
      </c>
      <c r="C157" s="17" t="str">
        <f>IF(Master[[#This Row],[Cooperator (Collector) 3 -full record]]="","",Master[[#This Row],[Cooperator (Collector) 3 -full record]])</f>
        <v/>
      </c>
    </row>
    <row r="158" spans="2:3" x14ac:dyDescent="0.25">
      <c r="B158" s="7" t="str">
        <f>Master[[#This Row],[Accession Prefix (NPGS)]]&amp;" "&amp;Master[[#This Row],[Accession Number -Assigned]]&amp;" COLLECTED "&amp;TEXT(SourceCollector[[#This Row],[Source Date]], "MM/DD/YYYY")</f>
        <v xml:space="preserve">  COLLECTED </v>
      </c>
      <c r="C158" s="17" t="str">
        <f>IF(Master[[#This Row],[Cooperator (Collector) 3 -full record]]="","",Master[[#This Row],[Cooperator (Collector) 3 -full record]])</f>
        <v/>
      </c>
    </row>
    <row r="159" spans="2:3" x14ac:dyDescent="0.25">
      <c r="B159" s="7" t="str">
        <f>Master[[#This Row],[Accession Prefix (NPGS)]]&amp;" "&amp;Master[[#This Row],[Accession Number -Assigned]]&amp;" COLLECTED "&amp;TEXT(SourceCollector[[#This Row],[Source Date]], "MM/DD/YYYY")</f>
        <v xml:space="preserve">  COLLECTED </v>
      </c>
      <c r="C159" s="17" t="str">
        <f>IF(Master[[#This Row],[Cooperator (Collector) 3 -full record]]="","",Master[[#This Row],[Cooperator (Collector) 3 -full record]])</f>
        <v/>
      </c>
    </row>
    <row r="160" spans="2:3" x14ac:dyDescent="0.25">
      <c r="B160" s="7" t="str">
        <f>Master[[#This Row],[Accession Prefix (NPGS)]]&amp;" "&amp;Master[[#This Row],[Accession Number -Assigned]]&amp;" COLLECTED "&amp;TEXT(SourceCollector[[#This Row],[Source Date]], "MM/DD/YYYY")</f>
        <v xml:space="preserve">  COLLECTED </v>
      </c>
      <c r="C160" s="17" t="str">
        <f>IF(Master[[#This Row],[Cooperator (Collector) 3 -full record]]="","",Master[[#This Row],[Cooperator (Collector) 3 -full record]])</f>
        <v/>
      </c>
    </row>
    <row r="161" spans="2:3" x14ac:dyDescent="0.25">
      <c r="B161" s="7" t="str">
        <f>Master[[#This Row],[Accession Prefix (NPGS)]]&amp;" "&amp;Master[[#This Row],[Accession Number -Assigned]]&amp;" COLLECTED "&amp;TEXT(SourceCollector[[#This Row],[Source Date]], "MM/DD/YYYY")</f>
        <v xml:space="preserve">  COLLECTED </v>
      </c>
      <c r="C161" s="17" t="str">
        <f>IF(Master[[#This Row],[Cooperator (Collector) 3 -full record]]="","",Master[[#This Row],[Cooperator (Collector) 3 -full record]])</f>
        <v/>
      </c>
    </row>
    <row r="162" spans="2:3" x14ac:dyDescent="0.25">
      <c r="B162" s="7" t="str">
        <f>Master[[#This Row],[Accession Prefix (NPGS)]]&amp;" "&amp;Master[[#This Row],[Accession Number -Assigned]]&amp;" COLLECTED "&amp;TEXT(SourceCollector[[#This Row],[Source Date]], "MM/DD/YYYY")</f>
        <v xml:space="preserve">  COLLECTED </v>
      </c>
      <c r="C162" s="17" t="str">
        <f>IF(Master[[#This Row],[Cooperator (Collector) 3 -full record]]="","",Master[[#This Row],[Cooperator (Collector) 3 -full record]])</f>
        <v/>
      </c>
    </row>
    <row r="163" spans="2:3" x14ac:dyDescent="0.25">
      <c r="B163" s="7" t="str">
        <f>Master[[#This Row],[Accession Prefix (NPGS)]]&amp;" "&amp;Master[[#This Row],[Accession Number -Assigned]]&amp;" COLLECTED "&amp;TEXT(SourceCollector[[#This Row],[Source Date]], "MM/DD/YYYY")</f>
        <v xml:space="preserve">  COLLECTED </v>
      </c>
      <c r="C163" s="17" t="str">
        <f>IF(Master[[#This Row],[Cooperator (Collector) 3 -full record]]="","",Master[[#This Row],[Cooperator (Collector) 3 -full record]])</f>
        <v/>
      </c>
    </row>
    <row r="164" spans="2:3" x14ac:dyDescent="0.25">
      <c r="B164" s="7" t="str">
        <f>Master[[#This Row],[Accession Prefix (NPGS)]]&amp;" "&amp;Master[[#This Row],[Accession Number -Assigned]]&amp;" COLLECTED "&amp;TEXT(SourceCollector[[#This Row],[Source Date]], "MM/DD/YYYY")</f>
        <v xml:space="preserve">  COLLECTED </v>
      </c>
      <c r="C164" s="17" t="str">
        <f>IF(Master[[#This Row],[Cooperator (Collector) 3 -full record]]="","",Master[[#This Row],[Cooperator (Collector) 3 -full record]])</f>
        <v/>
      </c>
    </row>
    <row r="165" spans="2:3" x14ac:dyDescent="0.25">
      <c r="B165" s="7" t="str">
        <f>Master[[#This Row],[Accession Prefix (NPGS)]]&amp;" "&amp;Master[[#This Row],[Accession Number -Assigned]]&amp;" COLLECTED "&amp;TEXT(SourceCollector[[#This Row],[Source Date]], "MM/DD/YYYY")</f>
        <v xml:space="preserve">  COLLECTED </v>
      </c>
      <c r="C165" s="17" t="str">
        <f>IF(Master[[#This Row],[Cooperator (Collector) 3 -full record]]="","",Master[[#This Row],[Cooperator (Collector) 3 -full record]])</f>
        <v/>
      </c>
    </row>
    <row r="166" spans="2:3" x14ac:dyDescent="0.25">
      <c r="B166" s="7" t="str">
        <f>Master[[#This Row],[Accession Prefix (NPGS)]]&amp;" "&amp;Master[[#This Row],[Accession Number -Assigned]]&amp;" COLLECTED "&amp;TEXT(SourceCollector[[#This Row],[Source Date]], "MM/DD/YYYY")</f>
        <v xml:space="preserve">  COLLECTED </v>
      </c>
      <c r="C166" s="17" t="str">
        <f>IF(Master[[#This Row],[Cooperator (Collector) 3 -full record]]="","",Master[[#This Row],[Cooperator (Collector) 3 -full record]])</f>
        <v/>
      </c>
    </row>
    <row r="167" spans="2:3" x14ac:dyDescent="0.25">
      <c r="B167" s="7" t="str">
        <f>Master[[#This Row],[Accession Prefix (NPGS)]]&amp;" "&amp;Master[[#This Row],[Accession Number -Assigned]]&amp;" COLLECTED "&amp;TEXT(SourceCollector[[#This Row],[Source Date]], "MM/DD/YYYY")</f>
        <v xml:space="preserve">  COLLECTED </v>
      </c>
      <c r="C167" s="17" t="str">
        <f>IF(Master[[#This Row],[Cooperator (Collector) 3 -full record]]="","",Master[[#This Row],[Cooperator (Collector) 3 -full record]])</f>
        <v/>
      </c>
    </row>
    <row r="168" spans="2:3" x14ac:dyDescent="0.25">
      <c r="B168" s="7" t="str">
        <f>Master[[#This Row],[Accession Prefix (NPGS)]]&amp;" "&amp;Master[[#This Row],[Accession Number -Assigned]]&amp;" COLLECTED "&amp;TEXT(SourceCollector[[#This Row],[Source Date]], "MM/DD/YYYY")</f>
        <v xml:space="preserve">  COLLECTED </v>
      </c>
      <c r="C168" s="17" t="str">
        <f>IF(Master[[#This Row],[Cooperator (Collector) 3 -full record]]="","",Master[[#This Row],[Cooperator (Collector) 3 -full record]])</f>
        <v/>
      </c>
    </row>
    <row r="169" spans="2:3" x14ac:dyDescent="0.25">
      <c r="B169" s="7" t="str">
        <f>Master[[#This Row],[Accession Prefix (NPGS)]]&amp;" "&amp;Master[[#This Row],[Accession Number -Assigned]]&amp;" COLLECTED "&amp;TEXT(SourceCollector[[#This Row],[Source Date]], "MM/DD/YYYY")</f>
        <v xml:space="preserve">  COLLECTED </v>
      </c>
      <c r="C169" s="17" t="str">
        <f>IF(Master[[#This Row],[Cooperator (Collector) 3 -full record]]="","",Master[[#This Row],[Cooperator (Collector) 3 -full record]])</f>
        <v/>
      </c>
    </row>
    <row r="170" spans="2:3" x14ac:dyDescent="0.25">
      <c r="B170" s="7" t="str">
        <f>Master[[#This Row],[Accession Prefix (NPGS)]]&amp;" "&amp;Master[[#This Row],[Accession Number -Assigned]]&amp;" COLLECTED "&amp;TEXT(SourceCollector[[#This Row],[Source Date]], "MM/DD/YYYY")</f>
        <v xml:space="preserve">  COLLECTED </v>
      </c>
      <c r="C170" s="17" t="str">
        <f>IF(Master[[#This Row],[Cooperator (Collector) 3 -full record]]="","",Master[[#This Row],[Cooperator (Collector) 3 -full record]])</f>
        <v/>
      </c>
    </row>
    <row r="171" spans="2:3" x14ac:dyDescent="0.25">
      <c r="B171" s="7" t="str">
        <f>Master[[#This Row],[Accession Prefix (NPGS)]]&amp;" "&amp;Master[[#This Row],[Accession Number -Assigned]]&amp;" COLLECTED "&amp;TEXT(SourceCollector[[#This Row],[Source Date]], "MM/DD/YYYY")</f>
        <v xml:space="preserve">  COLLECTED </v>
      </c>
      <c r="C171" s="17" t="str">
        <f>IF(Master[[#This Row],[Cooperator (Collector) 3 -full record]]="","",Master[[#This Row],[Cooperator (Collector) 3 -full record]])</f>
        <v/>
      </c>
    </row>
    <row r="172" spans="2:3" x14ac:dyDescent="0.25">
      <c r="B172" s="7" t="str">
        <f>Master[[#This Row],[Accession Prefix (NPGS)]]&amp;" "&amp;Master[[#This Row],[Accession Number -Assigned]]&amp;" COLLECTED "&amp;TEXT(SourceCollector[[#This Row],[Source Date]], "MM/DD/YYYY")</f>
        <v xml:space="preserve">  COLLECTED </v>
      </c>
      <c r="C172" s="17" t="str">
        <f>IF(Master[[#This Row],[Cooperator (Collector) 3 -full record]]="","",Master[[#This Row],[Cooperator (Collector) 3 -full record]])</f>
        <v/>
      </c>
    </row>
    <row r="173" spans="2:3" x14ac:dyDescent="0.25">
      <c r="B173" s="7" t="str">
        <f>Master[[#This Row],[Accession Prefix (NPGS)]]&amp;" "&amp;Master[[#This Row],[Accession Number -Assigned]]&amp;" COLLECTED "&amp;TEXT(SourceCollector[[#This Row],[Source Date]], "MM/DD/YYYY")</f>
        <v xml:space="preserve">  COLLECTED </v>
      </c>
      <c r="C173" s="17" t="str">
        <f>IF(Master[[#This Row],[Cooperator (Collector) 3 -full record]]="","",Master[[#This Row],[Cooperator (Collector) 3 -full record]])</f>
        <v/>
      </c>
    </row>
    <row r="174" spans="2:3" x14ac:dyDescent="0.25">
      <c r="B174" s="7" t="str">
        <f>Master[[#This Row],[Accession Prefix (NPGS)]]&amp;" "&amp;Master[[#This Row],[Accession Number -Assigned]]&amp;" COLLECTED "&amp;TEXT(SourceCollector[[#This Row],[Source Date]], "MM/DD/YYYY")</f>
        <v xml:space="preserve">  COLLECTED </v>
      </c>
      <c r="C174" s="17" t="str">
        <f>IF(Master[[#This Row],[Cooperator (Collector) 3 -full record]]="","",Master[[#This Row],[Cooperator (Collector) 3 -full record]])</f>
        <v/>
      </c>
    </row>
    <row r="175" spans="2:3" x14ac:dyDescent="0.25">
      <c r="B175" s="7" t="str">
        <f>Master[[#This Row],[Accession Prefix (NPGS)]]&amp;" "&amp;Master[[#This Row],[Accession Number -Assigned]]&amp;" COLLECTED "&amp;TEXT(SourceCollector[[#This Row],[Source Date]], "MM/DD/YYYY")</f>
        <v xml:space="preserve">  COLLECTED </v>
      </c>
      <c r="C175" s="17" t="str">
        <f>IF(Master[[#This Row],[Cooperator (Collector) 3 -full record]]="","",Master[[#This Row],[Cooperator (Collector) 3 -full record]])</f>
        <v/>
      </c>
    </row>
    <row r="176" spans="2:3" x14ac:dyDescent="0.25">
      <c r="B176" s="7" t="str">
        <f>Master[[#This Row],[Accession Prefix (NPGS)]]&amp;" "&amp;Master[[#This Row],[Accession Number -Assigned]]&amp;" COLLECTED "&amp;TEXT(SourceCollector[[#This Row],[Source Date]], "MM/DD/YYYY")</f>
        <v xml:space="preserve">  COLLECTED </v>
      </c>
      <c r="C176" s="17" t="str">
        <f>IF(Master[[#This Row],[Cooperator (Collector) 3 -full record]]="","",Master[[#This Row],[Cooperator (Collector) 3 -full record]])</f>
        <v/>
      </c>
    </row>
    <row r="177" spans="2:3" x14ac:dyDescent="0.25">
      <c r="B177" s="7" t="str">
        <f>Master[[#This Row],[Accession Prefix (NPGS)]]&amp;" "&amp;Master[[#This Row],[Accession Number -Assigned]]&amp;" COLLECTED "&amp;TEXT(SourceCollector[[#This Row],[Source Date]], "MM/DD/YYYY")</f>
        <v xml:space="preserve">  COLLECTED </v>
      </c>
      <c r="C177" s="17" t="str">
        <f>IF(Master[[#This Row],[Cooperator (Collector) 3 -full record]]="","",Master[[#This Row],[Cooperator (Collector) 3 -full record]])</f>
        <v/>
      </c>
    </row>
    <row r="178" spans="2:3" x14ac:dyDescent="0.25">
      <c r="B178" s="7" t="str">
        <f>Master[[#This Row],[Accession Prefix (NPGS)]]&amp;" "&amp;Master[[#This Row],[Accession Number -Assigned]]&amp;" COLLECTED "&amp;TEXT(SourceCollector[[#This Row],[Source Date]], "MM/DD/YYYY")</f>
        <v xml:space="preserve">  COLLECTED </v>
      </c>
      <c r="C178" s="17" t="str">
        <f>IF(Master[[#This Row],[Cooperator (Collector) 3 -full record]]="","",Master[[#This Row],[Cooperator (Collector) 3 -full record]])</f>
        <v/>
      </c>
    </row>
    <row r="179" spans="2:3" x14ac:dyDescent="0.25">
      <c r="B179" s="7" t="str">
        <f>Master[[#This Row],[Accession Prefix (NPGS)]]&amp;" "&amp;Master[[#This Row],[Accession Number -Assigned]]&amp;" COLLECTED "&amp;TEXT(SourceCollector[[#This Row],[Source Date]], "MM/DD/YYYY")</f>
        <v xml:space="preserve">  COLLECTED </v>
      </c>
      <c r="C179" s="17" t="str">
        <f>IF(Master[[#This Row],[Cooperator (Collector) 3 -full record]]="","",Master[[#This Row],[Cooperator (Collector) 3 -full record]])</f>
        <v/>
      </c>
    </row>
    <row r="180" spans="2:3" x14ac:dyDescent="0.25">
      <c r="B180" s="7" t="str">
        <f>Master[[#This Row],[Accession Prefix (NPGS)]]&amp;" "&amp;Master[[#This Row],[Accession Number -Assigned]]&amp;" COLLECTED "&amp;TEXT(SourceCollector[[#This Row],[Source Date]], "MM/DD/YYYY")</f>
        <v xml:space="preserve">  COLLECTED </v>
      </c>
      <c r="C180" s="17" t="str">
        <f>IF(Master[[#This Row],[Cooperator (Collector) 3 -full record]]="","",Master[[#This Row],[Cooperator (Collector) 3 -full record]])</f>
        <v/>
      </c>
    </row>
    <row r="181" spans="2:3" x14ac:dyDescent="0.25">
      <c r="B181" s="7" t="str">
        <f>Master[[#This Row],[Accession Prefix (NPGS)]]&amp;" "&amp;Master[[#This Row],[Accession Number -Assigned]]&amp;" COLLECTED "&amp;TEXT(SourceCollector[[#This Row],[Source Date]], "MM/DD/YYYY")</f>
        <v xml:space="preserve">  COLLECTED </v>
      </c>
      <c r="C181" s="17" t="str">
        <f>IF(Master[[#This Row],[Cooperator (Collector) 3 -full record]]="","",Master[[#This Row],[Cooperator (Collector) 3 -full record]])</f>
        <v/>
      </c>
    </row>
    <row r="182" spans="2:3" x14ac:dyDescent="0.25">
      <c r="B182" s="7" t="str">
        <f>Master[[#This Row],[Accession Prefix (NPGS)]]&amp;" "&amp;Master[[#This Row],[Accession Number -Assigned]]&amp;" COLLECTED "&amp;TEXT(SourceCollector[[#This Row],[Source Date]], "MM/DD/YYYY")</f>
        <v xml:space="preserve">  COLLECTED </v>
      </c>
      <c r="C182" s="17" t="str">
        <f>IF(Master[[#This Row],[Cooperator (Collector) 3 -full record]]="","",Master[[#This Row],[Cooperator (Collector) 3 -full record]])</f>
        <v/>
      </c>
    </row>
    <row r="183" spans="2:3" x14ac:dyDescent="0.25">
      <c r="B183" s="7" t="str">
        <f>Master[[#This Row],[Accession Prefix (NPGS)]]&amp;" "&amp;Master[[#This Row],[Accession Number -Assigned]]&amp;" COLLECTED "&amp;TEXT(SourceCollector[[#This Row],[Source Date]], "MM/DD/YYYY")</f>
        <v xml:space="preserve">  COLLECTED </v>
      </c>
      <c r="C183" s="17" t="str">
        <f>IF(Master[[#This Row],[Cooperator (Collector) 3 -full record]]="","",Master[[#This Row],[Cooperator (Collector) 3 -full record]])</f>
        <v/>
      </c>
    </row>
    <row r="184" spans="2:3" x14ac:dyDescent="0.25">
      <c r="B184" s="7" t="str">
        <f>Master[[#This Row],[Accession Prefix (NPGS)]]&amp;" "&amp;Master[[#This Row],[Accession Number -Assigned]]&amp;" COLLECTED "&amp;TEXT(SourceCollector[[#This Row],[Source Date]], "MM/DD/YYYY")</f>
        <v xml:space="preserve">  COLLECTED </v>
      </c>
      <c r="C184" s="17" t="str">
        <f>IF(Master[[#This Row],[Cooperator (Collector) 3 -full record]]="","",Master[[#This Row],[Cooperator (Collector) 3 -full record]])</f>
        <v/>
      </c>
    </row>
    <row r="185" spans="2:3" x14ac:dyDescent="0.25">
      <c r="B185" s="7" t="str">
        <f>Master[[#This Row],[Accession Prefix (NPGS)]]&amp;" "&amp;Master[[#This Row],[Accession Number -Assigned]]&amp;" COLLECTED "&amp;TEXT(SourceCollector[[#This Row],[Source Date]], "MM/DD/YYYY")</f>
        <v xml:space="preserve">  COLLECTED </v>
      </c>
      <c r="C185" s="17" t="str">
        <f>IF(Master[[#This Row],[Cooperator (Collector) 3 -full record]]="","",Master[[#This Row],[Cooperator (Collector) 3 -full record]])</f>
        <v/>
      </c>
    </row>
    <row r="186" spans="2:3" x14ac:dyDescent="0.25">
      <c r="B186" s="7" t="str">
        <f>Master[[#This Row],[Accession Prefix (NPGS)]]&amp;" "&amp;Master[[#This Row],[Accession Number -Assigned]]&amp;" COLLECTED "&amp;TEXT(SourceCollector[[#This Row],[Source Date]], "MM/DD/YYYY")</f>
        <v xml:space="preserve">  COLLECTED </v>
      </c>
      <c r="C186" s="17" t="str">
        <f>IF(Master[[#This Row],[Cooperator (Collector) 3 -full record]]="","",Master[[#This Row],[Cooperator (Collector) 3 -full record]])</f>
        <v/>
      </c>
    </row>
    <row r="187" spans="2:3" x14ac:dyDescent="0.25">
      <c r="B187" s="7" t="str">
        <f>Master[[#This Row],[Accession Prefix (NPGS)]]&amp;" "&amp;Master[[#This Row],[Accession Number -Assigned]]&amp;" COLLECTED "&amp;TEXT(SourceCollector[[#This Row],[Source Date]], "MM/DD/YYYY")</f>
        <v xml:space="preserve">  COLLECTED </v>
      </c>
      <c r="C187" s="17" t="str">
        <f>IF(Master[[#This Row],[Cooperator (Collector) 3 -full record]]="","",Master[[#This Row],[Cooperator (Collector) 3 -full record]])</f>
        <v/>
      </c>
    </row>
    <row r="188" spans="2:3" x14ac:dyDescent="0.25">
      <c r="B188" s="7" t="str">
        <f>Master[[#This Row],[Accession Prefix (NPGS)]]&amp;" "&amp;Master[[#This Row],[Accession Number -Assigned]]&amp;" COLLECTED "&amp;TEXT(SourceCollector[[#This Row],[Source Date]], "MM/DD/YYYY")</f>
        <v xml:space="preserve">  COLLECTED </v>
      </c>
      <c r="C188" s="17" t="str">
        <f>IF(Master[[#This Row],[Cooperator (Collector) 3 -full record]]="","",Master[[#This Row],[Cooperator (Collector) 3 -full record]])</f>
        <v/>
      </c>
    </row>
    <row r="189" spans="2:3" x14ac:dyDescent="0.25">
      <c r="B189" s="7" t="str">
        <f>Master[[#This Row],[Accession Prefix (NPGS)]]&amp;" "&amp;Master[[#This Row],[Accession Number -Assigned]]&amp;" COLLECTED "&amp;TEXT(SourceCollector[[#This Row],[Source Date]], "MM/DD/YYYY")</f>
        <v xml:space="preserve">  COLLECTED </v>
      </c>
      <c r="C189" s="17" t="str">
        <f>IF(Master[[#This Row],[Cooperator (Collector) 3 -full record]]="","",Master[[#This Row],[Cooperator (Collector) 3 -full record]])</f>
        <v/>
      </c>
    </row>
    <row r="190" spans="2:3" x14ac:dyDescent="0.25">
      <c r="B190" s="7" t="str">
        <f>Master[[#This Row],[Accession Prefix (NPGS)]]&amp;" "&amp;Master[[#This Row],[Accession Number -Assigned]]&amp;" COLLECTED "&amp;TEXT(SourceCollector[[#This Row],[Source Date]], "MM/DD/YYYY")</f>
        <v xml:space="preserve">  COLLECTED </v>
      </c>
      <c r="C190" s="17" t="str">
        <f>IF(Master[[#This Row],[Cooperator (Collector) 3 -full record]]="","",Master[[#This Row],[Cooperator (Collector) 3 -full record]])</f>
        <v/>
      </c>
    </row>
    <row r="191" spans="2:3" x14ac:dyDescent="0.25">
      <c r="B191" s="7" t="str">
        <f>Master[[#This Row],[Accession Prefix (NPGS)]]&amp;" "&amp;Master[[#This Row],[Accession Number -Assigned]]&amp;" COLLECTED "&amp;TEXT(SourceCollector[[#This Row],[Source Date]], "MM/DD/YYYY")</f>
        <v xml:space="preserve">  COLLECTED </v>
      </c>
      <c r="C191" s="17" t="str">
        <f>IF(Master[[#This Row],[Cooperator (Collector) 3 -full record]]="","",Master[[#This Row],[Cooperator (Collector) 3 -full record]])</f>
        <v/>
      </c>
    </row>
    <row r="192" spans="2:3" x14ac:dyDescent="0.25">
      <c r="B192" s="7" t="str">
        <f>Master[[#This Row],[Accession Prefix (NPGS)]]&amp;" "&amp;Master[[#This Row],[Accession Number -Assigned]]&amp;" COLLECTED "&amp;TEXT(SourceCollector[[#This Row],[Source Date]], "MM/DD/YYYY")</f>
        <v xml:space="preserve">  COLLECTED </v>
      </c>
      <c r="C192" s="17" t="str">
        <f>IF(Master[[#This Row],[Cooperator (Collector) 3 -full record]]="","",Master[[#This Row],[Cooperator (Collector) 3 -full record]])</f>
        <v/>
      </c>
    </row>
    <row r="193" spans="2:3" x14ac:dyDescent="0.25">
      <c r="B193" s="7" t="str">
        <f>Master[[#This Row],[Accession Prefix (NPGS)]]&amp;" "&amp;Master[[#This Row],[Accession Number -Assigned]]&amp;" COLLECTED "&amp;TEXT(SourceCollector[[#This Row],[Source Date]], "MM/DD/YYYY")</f>
        <v xml:space="preserve">  COLLECTED </v>
      </c>
      <c r="C193" s="17" t="str">
        <f>IF(Master[[#This Row],[Cooperator (Collector) 3 -full record]]="","",Master[[#This Row],[Cooperator (Collector) 3 -full record]])</f>
        <v/>
      </c>
    </row>
    <row r="194" spans="2:3" x14ac:dyDescent="0.25">
      <c r="B194" s="7" t="str">
        <f>Master[[#This Row],[Accession Prefix (NPGS)]]&amp;" "&amp;Master[[#This Row],[Accession Number -Assigned]]&amp;" COLLECTED "&amp;TEXT(SourceCollector[[#This Row],[Source Date]], "MM/DD/YYYY")</f>
        <v xml:space="preserve">  COLLECTED </v>
      </c>
      <c r="C194" s="17" t="str">
        <f>IF(Master[[#This Row],[Cooperator (Collector) 3 -full record]]="","",Master[[#This Row],[Cooperator (Collector) 3 -full record]])</f>
        <v/>
      </c>
    </row>
    <row r="195" spans="2:3" x14ac:dyDescent="0.25">
      <c r="B195" s="7" t="str">
        <f>Master[[#This Row],[Accession Prefix (NPGS)]]&amp;" "&amp;Master[[#This Row],[Accession Number -Assigned]]&amp;" COLLECTED "&amp;TEXT(SourceCollector[[#This Row],[Source Date]], "MM/DD/YYYY")</f>
        <v xml:space="preserve">  COLLECTED </v>
      </c>
      <c r="C195" s="17" t="str">
        <f>IF(Master[[#This Row],[Cooperator (Collector) 3 -full record]]="","",Master[[#This Row],[Cooperator (Collector) 3 -full record]])</f>
        <v/>
      </c>
    </row>
    <row r="196" spans="2:3" x14ac:dyDescent="0.25">
      <c r="B196" s="7" t="str">
        <f>Master[[#This Row],[Accession Prefix (NPGS)]]&amp;" "&amp;Master[[#This Row],[Accession Number -Assigned]]&amp;" COLLECTED "&amp;TEXT(SourceCollector[[#This Row],[Source Date]], "MM/DD/YYYY")</f>
        <v xml:space="preserve">  COLLECTED </v>
      </c>
      <c r="C196" s="17" t="str">
        <f>IF(Master[[#This Row],[Cooperator (Collector) 3 -full record]]="","",Master[[#This Row],[Cooperator (Collector) 3 -full record]])</f>
        <v/>
      </c>
    </row>
    <row r="197" spans="2:3" x14ac:dyDescent="0.25">
      <c r="B197" s="7" t="str">
        <f>Master[[#This Row],[Accession Prefix (NPGS)]]&amp;" "&amp;Master[[#This Row],[Accession Number -Assigned]]&amp;" COLLECTED "&amp;TEXT(SourceCollector[[#This Row],[Source Date]], "MM/DD/YYYY")</f>
        <v xml:space="preserve">  COLLECTED </v>
      </c>
      <c r="C197" s="17" t="str">
        <f>IF(Master[[#This Row],[Cooperator (Collector) 3 -full record]]="","",Master[[#This Row],[Cooperator (Collector) 3 -full record]])</f>
        <v/>
      </c>
    </row>
    <row r="198" spans="2:3" x14ac:dyDescent="0.25">
      <c r="B198" s="7" t="str">
        <f>Master[[#This Row],[Accession Prefix (NPGS)]]&amp;" "&amp;Master[[#This Row],[Accession Number -Assigned]]&amp;" COLLECTED "&amp;TEXT(SourceCollector[[#This Row],[Source Date]], "MM/DD/YYYY")</f>
        <v xml:space="preserve">  COLLECTED </v>
      </c>
      <c r="C198" s="17" t="str">
        <f>IF(Master[[#This Row],[Cooperator (Collector) 3 -full record]]="","",Master[[#This Row],[Cooperator (Collector) 3 -full record]])</f>
        <v/>
      </c>
    </row>
    <row r="199" spans="2:3" x14ac:dyDescent="0.25">
      <c r="B199" s="7" t="str">
        <f>Master[[#This Row],[Accession Prefix (NPGS)]]&amp;" "&amp;Master[[#This Row],[Accession Number -Assigned]]&amp;" COLLECTED "&amp;TEXT(SourceCollector[[#This Row],[Source Date]], "MM/DD/YYYY")</f>
        <v xml:space="preserve">  COLLECTED </v>
      </c>
      <c r="C199" s="17" t="str">
        <f>IF(Master[[#This Row],[Cooperator (Collector) 3 -full record]]="","",Master[[#This Row],[Cooperator (Collector) 3 -full record]])</f>
        <v/>
      </c>
    </row>
    <row r="200" spans="2:3" x14ac:dyDescent="0.25">
      <c r="B200" s="7" t="str">
        <f>Master[[#This Row],[Accession Prefix (NPGS)]]&amp;" "&amp;Master[[#This Row],[Accession Number -Assigned]]&amp;" COLLECTED "&amp;TEXT(SourceCollector[[#This Row],[Source Date]], "MM/DD/YYYY")</f>
        <v xml:space="preserve">  COLLECTED </v>
      </c>
      <c r="C200" s="17" t="str">
        <f>IF(Master[[#This Row],[Cooperator (Collector) 3 -full record]]="","",Master[[#This Row],[Cooperator (Collector) 3 -full record]])</f>
        <v/>
      </c>
    </row>
    <row r="201" spans="2:3" x14ac:dyDescent="0.25">
      <c r="B201" s="7" t="str">
        <f>Master[[#This Row],[Accession Prefix (NPGS)]]&amp;" "&amp;Master[[#This Row],[Accession Number -Assigned]]&amp;" COLLECTED "&amp;TEXT(SourceCollector[[#This Row],[Source Date]], "MM/DD/YYYY")</f>
        <v xml:space="preserve">  COLLECTED </v>
      </c>
      <c r="C201" s="17" t="str">
        <f>IF(Master[[#This Row],[Cooperator (Collector) 3 -full record]]="","",Master[[#This Row],[Cooperator (Collector) 3 -full record]])</f>
        <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tabColor theme="0" tint="-0.249977111117893"/>
  </sheetPr>
  <dimension ref="A1:D201"/>
  <sheetViews>
    <sheetView workbookViewId="0">
      <selection activeCell="A2" sqref="A2"/>
    </sheetView>
  </sheetViews>
  <sheetFormatPr defaultRowHeight="15" x14ac:dyDescent="0.25"/>
  <cols>
    <col min="1" max="1" width="10.140625" customWidth="1"/>
    <col min="2" max="3" width="29.7109375" customWidth="1"/>
    <col min="4" max="4" width="9.7109375" bestFit="1" customWidth="1"/>
  </cols>
  <sheetData>
    <row r="1" spans="1:4" s="116" customFormat="1" ht="45" x14ac:dyDescent="0.25">
      <c r="A1" s="116" t="s">
        <v>73</v>
      </c>
      <c r="B1" s="118" t="s">
        <v>74</v>
      </c>
      <c r="C1" s="118" t="s">
        <v>55</v>
      </c>
    </row>
    <row r="2" spans="1:4" ht="15.75" x14ac:dyDescent="0.25">
      <c r="A2" s="1"/>
      <c r="B2" t="str">
        <f>Master[[#This Row],[Accession Prefix (NPGS)]]&amp;" "&amp;Master[[#This Row],[Accession Number -Assigned]]&amp;" DONATED "&amp;TEXT(Master[[#This Row],[Received Date -received by site]], "MM/DD/YYYY")</f>
        <v>W6 57036 DONATED 09/26/2019</v>
      </c>
      <c r="C2" s="17" t="str">
        <f>IF(Master[[#This Row],[Cooperator (Donor) 1 -full record]]="","",Master[[#This Row],[Cooperator (Donor) 1 -full record]])</f>
        <v>United States Forest Service (Bend)</v>
      </c>
      <c r="D2" s="2"/>
    </row>
    <row r="3" spans="1:4" x14ac:dyDescent="0.25">
      <c r="A3" s="7"/>
      <c r="B3" t="str">
        <f>Master[[#This Row],[Accession Prefix (NPGS)]]&amp;" "&amp;Master[[#This Row],[Accession Number -Assigned]]&amp;" DONATED "&amp;TEXT(Master[[#This Row],[Received Date -received by site]], "MM/DD/YYYY")</f>
        <v>W6  DONATED 01/00/1900</v>
      </c>
      <c r="C3" s="17" t="str">
        <f>IF(Master[[#This Row],[Cooperator (Donor) 1 -full record]]="","",Master[[#This Row],[Cooperator (Donor) 1 -full record]])</f>
        <v/>
      </c>
      <c r="D3" s="2"/>
    </row>
    <row r="4" spans="1:4" x14ac:dyDescent="0.25">
      <c r="A4" s="7"/>
      <c r="B4" t="str">
        <f>Master[[#This Row],[Accession Prefix (NPGS)]]&amp;" "&amp;Master[[#This Row],[Accession Number -Assigned]]&amp;" DONATED "&amp;TEXT(Master[[#This Row],[Received Date -received by site]], "MM/DD/YYYY")</f>
        <v>W6 59590 DONATED 09/27/2021</v>
      </c>
      <c r="C4" s="17" t="str">
        <f>IF(Master[[#This Row],[Cooperator (Donor) 1 -full record]]="","",Master[[#This Row],[Cooperator (Donor) 1 -full record]])</f>
        <v>Bureau of Land Management, SOS project</v>
      </c>
      <c r="D4" s="2"/>
    </row>
    <row r="5" spans="1:4" x14ac:dyDescent="0.25">
      <c r="A5" s="7"/>
      <c r="B5" t="str">
        <f>Master[[#This Row],[Accession Prefix (NPGS)]]&amp;" "&amp;Master[[#This Row],[Accession Number -Assigned]]&amp;" DONATED "&amp;TEXT(Master[[#This Row],[Received Date -received by site]], "MM/DD/YYYY")</f>
        <v>W6 59591 DONATED 09/27/2021</v>
      </c>
      <c r="C5" s="17" t="str">
        <f>IF(Master[[#This Row],[Cooperator (Donor) 1 -full record]]="","",Master[[#This Row],[Cooperator (Donor) 1 -full record]])</f>
        <v>Bureau of Land Management, SOS project</v>
      </c>
      <c r="D5" s="2"/>
    </row>
    <row r="6" spans="1:4" x14ac:dyDescent="0.25">
      <c r="A6" s="7"/>
      <c r="B6" t="str">
        <f>Master[[#This Row],[Accession Prefix (NPGS)]]&amp;" "&amp;Master[[#This Row],[Accession Number -Assigned]]&amp;" DONATED "&amp;TEXT(Master[[#This Row],[Received Date -received by site]], "MM/DD/YYYY")</f>
        <v>W6 59592 DONATED 09/27/2021</v>
      </c>
      <c r="C6" s="17" t="str">
        <f>IF(Master[[#This Row],[Cooperator (Donor) 1 -full record]]="","",Master[[#This Row],[Cooperator (Donor) 1 -full record]])</f>
        <v>Bureau of Land Management, SOS project</v>
      </c>
      <c r="D6" s="2"/>
    </row>
    <row r="7" spans="1:4" x14ac:dyDescent="0.25">
      <c r="A7" s="7"/>
      <c r="B7" t="str">
        <f>Master[[#This Row],[Accession Prefix (NPGS)]]&amp;" "&amp;Master[[#This Row],[Accession Number -Assigned]]&amp;" DONATED "&amp;TEXT(Master[[#This Row],[Received Date -received by site]], "MM/DD/YYYY")</f>
        <v>W6 59593 DONATED 09/27/2021</v>
      </c>
      <c r="C7" s="17" t="str">
        <f>IF(Master[[#This Row],[Cooperator (Donor) 1 -full record]]="","",Master[[#This Row],[Cooperator (Donor) 1 -full record]])</f>
        <v>Bureau of Land Management, SOS project</v>
      </c>
      <c r="D7" s="2"/>
    </row>
    <row r="8" spans="1:4" x14ac:dyDescent="0.25">
      <c r="A8" s="7"/>
      <c r="B8" t="str">
        <f>Master[[#This Row],[Accession Prefix (NPGS)]]&amp;" "&amp;Master[[#This Row],[Accession Number -Assigned]]&amp;" DONATED "&amp;TEXT(Master[[#This Row],[Received Date -received by site]], "MM/DD/YYYY")</f>
        <v>W6 59594 DONATED 09/27/2021</v>
      </c>
      <c r="C8" s="17" t="str">
        <f>IF(Master[[#This Row],[Cooperator (Donor) 1 -full record]]="","",Master[[#This Row],[Cooperator (Donor) 1 -full record]])</f>
        <v>Bureau of Land Management, SOS project</v>
      </c>
      <c r="D8" s="2"/>
    </row>
    <row r="9" spans="1:4" x14ac:dyDescent="0.25">
      <c r="A9" s="7"/>
      <c r="B9" t="str">
        <f>Master[[#This Row],[Accession Prefix (NPGS)]]&amp;" "&amp;Master[[#This Row],[Accession Number -Assigned]]&amp;" DONATED "&amp;TEXT(Master[[#This Row],[Received Date -received by site]], "MM/DD/YYYY")</f>
        <v>W6 59595 DONATED 09/27/2021</v>
      </c>
      <c r="C9" s="17" t="str">
        <f>IF(Master[[#This Row],[Cooperator (Donor) 1 -full record]]="","",Master[[#This Row],[Cooperator (Donor) 1 -full record]])</f>
        <v>Bureau of Land Management, SOS project</v>
      </c>
      <c r="D9" s="2"/>
    </row>
    <row r="10" spans="1:4" x14ac:dyDescent="0.25">
      <c r="A10" s="7"/>
      <c r="B10" t="str">
        <f>Master[[#This Row],[Accession Prefix (NPGS)]]&amp;" "&amp;Master[[#This Row],[Accession Number -Assigned]]&amp;" DONATED "&amp;TEXT(Master[[#This Row],[Received Date -received by site]], "MM/DD/YYYY")</f>
        <v>W6 59596 DONATED 09/27/2021</v>
      </c>
      <c r="C10" s="17" t="str">
        <f>IF(Master[[#This Row],[Cooperator (Donor) 1 -full record]]="","",Master[[#This Row],[Cooperator (Donor) 1 -full record]])</f>
        <v>Bureau of Land Management, SOS project</v>
      </c>
      <c r="D10" s="2"/>
    </row>
    <row r="11" spans="1:4" x14ac:dyDescent="0.25">
      <c r="A11" s="7"/>
      <c r="B11" t="str">
        <f>Master[[#This Row],[Accession Prefix (NPGS)]]&amp;" "&amp;Master[[#This Row],[Accession Number -Assigned]]&amp;" DONATED "&amp;TEXT(Master[[#This Row],[Received Date -received by site]], "MM/DD/YYYY")</f>
        <v>W6 59597 DONATED 09/27/2021</v>
      </c>
      <c r="C11" s="17" t="str">
        <f>IF(Master[[#This Row],[Cooperator (Donor) 1 -full record]]="","",Master[[#This Row],[Cooperator (Donor) 1 -full record]])</f>
        <v>Bureau of Land Management, SOS project</v>
      </c>
      <c r="D11" s="2"/>
    </row>
    <row r="12" spans="1:4" x14ac:dyDescent="0.25">
      <c r="A12" s="7"/>
      <c r="B12" t="str">
        <f>Master[[#This Row],[Accession Prefix (NPGS)]]&amp;" "&amp;Master[[#This Row],[Accession Number -Assigned]]&amp;" DONATED "&amp;TEXT(Master[[#This Row],[Received Date -received by site]], "MM/DD/YYYY")</f>
        <v>W6 59598 DONATED 09/27/2021</v>
      </c>
      <c r="C12" s="17" t="str">
        <f>IF(Master[[#This Row],[Cooperator (Donor) 1 -full record]]="","",Master[[#This Row],[Cooperator (Donor) 1 -full record]])</f>
        <v>Bureau of Land Management, SOS project</v>
      </c>
      <c r="D12" s="2"/>
    </row>
    <row r="13" spans="1:4" x14ac:dyDescent="0.25">
      <c r="A13" s="7"/>
      <c r="B13" t="str">
        <f>Master[[#This Row],[Accession Prefix (NPGS)]]&amp;" "&amp;Master[[#This Row],[Accession Number -Assigned]]&amp;" DONATED "&amp;TEXT(Master[[#This Row],[Received Date -received by site]], "MM/DD/YYYY")</f>
        <v>W6 59599 DONATED 09/27/2021</v>
      </c>
      <c r="C13" s="17" t="str">
        <f>IF(Master[[#This Row],[Cooperator (Donor) 1 -full record]]="","",Master[[#This Row],[Cooperator (Donor) 1 -full record]])</f>
        <v>Bureau of Land Management, SOS project</v>
      </c>
      <c r="D13" s="2"/>
    </row>
    <row r="14" spans="1:4" x14ac:dyDescent="0.25">
      <c r="A14" s="7"/>
      <c r="B14" t="str">
        <f>Master[[#This Row],[Accession Prefix (NPGS)]]&amp;" "&amp;Master[[#This Row],[Accession Number -Assigned]]&amp;" DONATED "&amp;TEXT(Master[[#This Row],[Received Date -received by site]], "MM/DD/YYYY")</f>
        <v>W6 59600 DONATED 09/27/2021</v>
      </c>
      <c r="C14" s="17" t="str">
        <f>IF(Master[[#This Row],[Cooperator (Donor) 1 -full record]]="","",Master[[#This Row],[Cooperator (Donor) 1 -full record]])</f>
        <v>Bureau of Land Management, SOS project</v>
      </c>
      <c r="D14" s="2"/>
    </row>
    <row r="15" spans="1:4" x14ac:dyDescent="0.25">
      <c r="A15" s="7"/>
      <c r="B15" t="str">
        <f>Master[[#This Row],[Accession Prefix (NPGS)]]&amp;" "&amp;Master[[#This Row],[Accession Number -Assigned]]&amp;" DONATED "&amp;TEXT(Master[[#This Row],[Received Date -received by site]], "MM/DD/YYYY")</f>
        <v>W6 59601 DONATED 09/27/2021</v>
      </c>
      <c r="C15" s="17" t="str">
        <f>IF(Master[[#This Row],[Cooperator (Donor) 1 -full record]]="","",Master[[#This Row],[Cooperator (Donor) 1 -full record]])</f>
        <v>Bureau of Land Management, SOS project</v>
      </c>
      <c r="D15" s="2"/>
    </row>
    <row r="16" spans="1:4" x14ac:dyDescent="0.25">
      <c r="A16" s="7"/>
      <c r="B16" t="str">
        <f>Master[[#This Row],[Accession Prefix (NPGS)]]&amp;" "&amp;Master[[#This Row],[Accession Number -Assigned]]&amp;" DONATED "&amp;TEXT(Master[[#This Row],[Received Date -received by site]], "MM/DD/YYYY")</f>
        <v>W6 59602 DONATED 09/27/2021</v>
      </c>
      <c r="C16" s="17" t="str">
        <f>IF(Master[[#This Row],[Cooperator (Donor) 1 -full record]]="","",Master[[#This Row],[Cooperator (Donor) 1 -full record]])</f>
        <v>Bureau of Land Management, SOS project</v>
      </c>
      <c r="D16" s="2"/>
    </row>
    <row r="17" spans="1:4" x14ac:dyDescent="0.25">
      <c r="A17" s="7"/>
      <c r="B17" t="str">
        <f>Master[[#This Row],[Accession Prefix (NPGS)]]&amp;" "&amp;Master[[#This Row],[Accession Number -Assigned]]&amp;" DONATED "&amp;TEXT(Master[[#This Row],[Received Date -received by site]], "MM/DD/YYYY")</f>
        <v>W6 59603 DONATED 09/27/2021</v>
      </c>
      <c r="C17" s="17" t="str">
        <f>IF(Master[[#This Row],[Cooperator (Donor) 1 -full record]]="","",Master[[#This Row],[Cooperator (Donor) 1 -full record]])</f>
        <v>Bureau of Land Management, SOS project</v>
      </c>
      <c r="D17" s="2"/>
    </row>
    <row r="18" spans="1:4" x14ac:dyDescent="0.25">
      <c r="A18" s="7"/>
      <c r="B18" t="str">
        <f>Master[[#This Row],[Accession Prefix (NPGS)]]&amp;" "&amp;Master[[#This Row],[Accession Number -Assigned]]&amp;" DONATED "&amp;TEXT(Master[[#This Row],[Received Date -received by site]], "MM/DD/YYYY")</f>
        <v>W6 59604 DONATED 09/27/2021</v>
      </c>
      <c r="C18" s="17" t="str">
        <f>IF(Master[[#This Row],[Cooperator (Donor) 1 -full record]]="","",Master[[#This Row],[Cooperator (Donor) 1 -full record]])</f>
        <v>Bureau of Land Management, SOS project</v>
      </c>
      <c r="D18" s="2"/>
    </row>
    <row r="19" spans="1:4" x14ac:dyDescent="0.25">
      <c r="A19" s="7"/>
      <c r="B19" t="str">
        <f>Master[[#This Row],[Accession Prefix (NPGS)]]&amp;" "&amp;Master[[#This Row],[Accession Number -Assigned]]&amp;" DONATED "&amp;TEXT(Master[[#This Row],[Received Date -received by site]], "MM/DD/YYYY")</f>
        <v>W6 59605 DONATED 09/27/2021</v>
      </c>
      <c r="C19" s="17" t="str">
        <f>IF(Master[[#This Row],[Cooperator (Donor) 1 -full record]]="","",Master[[#This Row],[Cooperator (Donor) 1 -full record]])</f>
        <v>Bureau of Land Management, SOS project</v>
      </c>
      <c r="D19" s="2"/>
    </row>
    <row r="20" spans="1:4" x14ac:dyDescent="0.25">
      <c r="A20" s="7"/>
      <c r="B20" t="str">
        <f>Master[[#This Row],[Accession Prefix (NPGS)]]&amp;" "&amp;Master[[#This Row],[Accession Number -Assigned]]&amp;" DONATED "&amp;TEXT(Master[[#This Row],[Received Date -received by site]], "MM/DD/YYYY")</f>
        <v>W6 59606 DONATED 09/27/2021</v>
      </c>
      <c r="C20" s="17" t="str">
        <f>IF(Master[[#This Row],[Cooperator (Donor) 1 -full record]]="","",Master[[#This Row],[Cooperator (Donor) 1 -full record]])</f>
        <v>Bureau of Land Management, SOS project</v>
      </c>
      <c r="D20" s="2"/>
    </row>
    <row r="21" spans="1:4" x14ac:dyDescent="0.25">
      <c r="A21" s="7"/>
      <c r="B21" t="str">
        <f>Master[[#This Row],[Accession Prefix (NPGS)]]&amp;" "&amp;Master[[#This Row],[Accession Number -Assigned]]&amp;" DONATED "&amp;TEXT(Master[[#This Row],[Received Date -received by site]], "MM/DD/YYYY")</f>
        <v>W6 59607 DONATED 09/27/2021</v>
      </c>
      <c r="C21" s="17" t="str">
        <f>IF(Master[[#This Row],[Cooperator (Donor) 1 -full record]]="","",Master[[#This Row],[Cooperator (Donor) 1 -full record]])</f>
        <v>Bureau of Land Management, SOS project</v>
      </c>
      <c r="D21" s="2"/>
    </row>
    <row r="22" spans="1:4" x14ac:dyDescent="0.25">
      <c r="B22" t="str">
        <f>Master[[#This Row],[Accession Prefix (NPGS)]]&amp;" "&amp;Master[[#This Row],[Accession Number -Assigned]]&amp;" DONATED "&amp;TEXT(Master[[#This Row],[Received Date -received by site]], "MM/DD/YYYY")</f>
        <v>W6 59608 DONATED 09/27/2021</v>
      </c>
      <c r="C22" s="17" t="str">
        <f>IF(Master[[#This Row],[Cooperator (Donor) 1 -full record]]="","",Master[[#This Row],[Cooperator (Donor) 1 -full record]])</f>
        <v>Bureau of Land Management, SOS project</v>
      </c>
      <c r="D22" s="2"/>
    </row>
    <row r="23" spans="1:4" x14ac:dyDescent="0.25">
      <c r="B23" t="str">
        <f>Master[[#This Row],[Accession Prefix (NPGS)]]&amp;" "&amp;Master[[#This Row],[Accession Number -Assigned]]&amp;" DONATED "&amp;TEXT(Master[[#This Row],[Received Date -received by site]], "MM/DD/YYYY")</f>
        <v>W6 59609 DONATED 09/27/2021</v>
      </c>
      <c r="C23" s="17" t="str">
        <f>IF(Master[[#This Row],[Cooperator (Donor) 1 -full record]]="","",Master[[#This Row],[Cooperator (Donor) 1 -full record]])</f>
        <v>Bureau of Land Management, SOS project</v>
      </c>
      <c r="D23" s="2"/>
    </row>
    <row r="24" spans="1:4" x14ac:dyDescent="0.25">
      <c r="B24" t="str">
        <f>Master[[#This Row],[Accession Prefix (NPGS)]]&amp;" "&amp;Master[[#This Row],[Accession Number -Assigned]]&amp;" DONATED "&amp;TEXT(Master[[#This Row],[Received Date -received by site]], "MM/DD/YYYY")</f>
        <v>W6 59610 DONATED 09/27/2021</v>
      </c>
      <c r="C24" s="17" t="str">
        <f>IF(Master[[#This Row],[Cooperator (Donor) 1 -full record]]="","",Master[[#This Row],[Cooperator (Donor) 1 -full record]])</f>
        <v>Bureau of Land Management, SOS project</v>
      </c>
      <c r="D24" s="2"/>
    </row>
    <row r="25" spans="1:4" x14ac:dyDescent="0.25">
      <c r="B25" t="str">
        <f>Master[[#This Row],[Accession Prefix (NPGS)]]&amp;" "&amp;Master[[#This Row],[Accession Number -Assigned]]&amp;" DONATED "&amp;TEXT(Master[[#This Row],[Received Date -received by site]], "MM/DD/YYYY")</f>
        <v>W6 59611 DONATED 09/27/2021</v>
      </c>
      <c r="C25" s="17" t="str">
        <f>IF(Master[[#This Row],[Cooperator (Donor) 1 -full record]]="","",Master[[#This Row],[Cooperator (Donor) 1 -full record]])</f>
        <v>Bureau of Land Management, SOS project</v>
      </c>
      <c r="D25" s="2"/>
    </row>
    <row r="26" spans="1:4" x14ac:dyDescent="0.25">
      <c r="B26" t="str">
        <f>Master[[#This Row],[Accession Prefix (NPGS)]]&amp;" "&amp;Master[[#This Row],[Accession Number -Assigned]]&amp;" DONATED "&amp;TEXT(Master[[#This Row],[Received Date -received by site]], "MM/DD/YYYY")</f>
        <v>W6 59612 DONATED 09/27/2021</v>
      </c>
      <c r="C26" s="17" t="str">
        <f>IF(Master[[#This Row],[Cooperator (Donor) 1 -full record]]="","",Master[[#This Row],[Cooperator (Donor) 1 -full record]])</f>
        <v>Bureau of Land Management, SOS project</v>
      </c>
      <c r="D26" s="2"/>
    </row>
    <row r="27" spans="1:4" x14ac:dyDescent="0.25">
      <c r="B27" t="str">
        <f>Master[[#This Row],[Accession Prefix (NPGS)]]&amp;" "&amp;Master[[#This Row],[Accession Number -Assigned]]&amp;" DONATED "&amp;TEXT(Master[[#This Row],[Received Date -received by site]], "MM/DD/YYYY")</f>
        <v>W6 59613 DONATED 09/27/2021</v>
      </c>
      <c r="C27" s="17" t="str">
        <f>IF(Master[[#This Row],[Cooperator (Donor) 1 -full record]]="","",Master[[#This Row],[Cooperator (Donor) 1 -full record]])</f>
        <v>Bureau of Land Management, SOS project</v>
      </c>
      <c r="D27" s="2"/>
    </row>
    <row r="28" spans="1:4" x14ac:dyDescent="0.25">
      <c r="B28" t="str">
        <f>Master[[#This Row],[Accession Prefix (NPGS)]]&amp;" "&amp;Master[[#This Row],[Accession Number -Assigned]]&amp;" DONATED "&amp;TEXT(Master[[#This Row],[Received Date -received by site]], "MM/DD/YYYY")</f>
        <v>W6 59614 DONATED 09/27/2021</v>
      </c>
      <c r="C28" s="17" t="str">
        <f>IF(Master[[#This Row],[Cooperator (Donor) 1 -full record]]="","",Master[[#This Row],[Cooperator (Donor) 1 -full record]])</f>
        <v>Bureau of Land Management, SOS project</v>
      </c>
      <c r="D28" s="2"/>
    </row>
    <row r="29" spans="1:4" x14ac:dyDescent="0.25">
      <c r="B29" t="str">
        <f>Master[[#This Row],[Accession Prefix (NPGS)]]&amp;" "&amp;Master[[#This Row],[Accession Number -Assigned]]&amp;" DONATED "&amp;TEXT(Master[[#This Row],[Received Date -received by site]], "MM/DD/YYYY")</f>
        <v>W6 59615 DONATED 09/27/2021</v>
      </c>
      <c r="C29" s="17" t="str">
        <f>IF(Master[[#This Row],[Cooperator (Donor) 1 -full record]]="","",Master[[#This Row],[Cooperator (Donor) 1 -full record]])</f>
        <v>Bureau of Land Management, SOS project</v>
      </c>
      <c r="D29" s="2"/>
    </row>
    <row r="30" spans="1:4" x14ac:dyDescent="0.25">
      <c r="B30" t="str">
        <f>Master[[#This Row],[Accession Prefix (NPGS)]]&amp;" "&amp;Master[[#This Row],[Accession Number -Assigned]]&amp;" DONATED "&amp;TEXT(Master[[#This Row],[Received Date -received by site]], "MM/DD/YYYY")</f>
        <v>W6 59616 DONATED 09/27/2021</v>
      </c>
      <c r="C30" s="17" t="str">
        <f>IF(Master[[#This Row],[Cooperator (Donor) 1 -full record]]="","",Master[[#This Row],[Cooperator (Donor) 1 -full record]])</f>
        <v>Bureau of Land Management, SOS project</v>
      </c>
      <c r="D30" s="2"/>
    </row>
    <row r="31" spans="1:4" x14ac:dyDescent="0.25">
      <c r="B31" t="str">
        <f>Master[[#This Row],[Accession Prefix (NPGS)]]&amp;" "&amp;Master[[#This Row],[Accession Number -Assigned]]&amp;" DONATED "&amp;TEXT(Master[[#This Row],[Received Date -received by site]], "MM/DD/YYYY")</f>
        <v>W6 59617 DONATED 09/27/2021</v>
      </c>
      <c r="C31" s="17" t="str">
        <f>IF(Master[[#This Row],[Cooperator (Donor) 1 -full record]]="","",Master[[#This Row],[Cooperator (Donor) 1 -full record]])</f>
        <v>Bureau of Land Management, SOS project</v>
      </c>
      <c r="D31" s="2"/>
    </row>
    <row r="32" spans="1:4" x14ac:dyDescent="0.25">
      <c r="B32" t="str">
        <f>Master[[#This Row],[Accession Prefix (NPGS)]]&amp;" "&amp;Master[[#This Row],[Accession Number -Assigned]]&amp;" DONATED "&amp;TEXT(Master[[#This Row],[Received Date -received by site]], "MM/DD/YYYY")</f>
        <v>W6 59618 DONATED 09/27/2021</v>
      </c>
      <c r="C32" s="17" t="str">
        <f>IF(Master[[#This Row],[Cooperator (Donor) 1 -full record]]="","",Master[[#This Row],[Cooperator (Donor) 1 -full record]])</f>
        <v>Bureau of Land Management, SOS project</v>
      </c>
      <c r="D32" s="2"/>
    </row>
    <row r="33" spans="2:4" x14ac:dyDescent="0.25">
      <c r="B33" t="str">
        <f>Master[[#This Row],[Accession Prefix (NPGS)]]&amp;" "&amp;Master[[#This Row],[Accession Number -Assigned]]&amp;" DONATED "&amp;TEXT(Master[[#This Row],[Received Date -received by site]], "MM/DD/YYYY")</f>
        <v>W6 59619 DONATED 09/27/2021</v>
      </c>
      <c r="C33" s="17" t="str">
        <f>IF(Master[[#This Row],[Cooperator (Donor) 1 -full record]]="","",Master[[#This Row],[Cooperator (Donor) 1 -full record]])</f>
        <v>Bureau of Land Management, SOS project</v>
      </c>
      <c r="D33" s="2"/>
    </row>
    <row r="34" spans="2:4" x14ac:dyDescent="0.25">
      <c r="B34" t="str">
        <f>Master[[#This Row],[Accession Prefix (NPGS)]]&amp;" "&amp;Master[[#This Row],[Accession Number -Assigned]]&amp;" DONATED "&amp;TEXT(Master[[#This Row],[Received Date -received by site]], "MM/DD/YYYY")</f>
        <v>W6 59620 DONATED 09/27/2021</v>
      </c>
      <c r="C34" s="17" t="str">
        <f>IF(Master[[#This Row],[Cooperator (Donor) 1 -full record]]="","",Master[[#This Row],[Cooperator (Donor) 1 -full record]])</f>
        <v>Bureau of Land Management, SOS project</v>
      </c>
      <c r="D34" s="2"/>
    </row>
    <row r="35" spans="2:4" x14ac:dyDescent="0.25">
      <c r="B35" t="str">
        <f>Master[[#This Row],[Accession Prefix (NPGS)]]&amp;" "&amp;Master[[#This Row],[Accession Number -Assigned]]&amp;" DONATED "&amp;TEXT(Master[[#This Row],[Received Date -received by site]], "MM/DD/YYYY")</f>
        <v>W6 59621 DONATED 09/27/2021</v>
      </c>
      <c r="C35" s="17" t="str">
        <f>IF(Master[[#This Row],[Cooperator (Donor) 1 -full record]]="","",Master[[#This Row],[Cooperator (Donor) 1 -full record]])</f>
        <v>Bureau of Land Management, SOS project</v>
      </c>
      <c r="D35" s="2"/>
    </row>
    <row r="36" spans="2:4" x14ac:dyDescent="0.25">
      <c r="B36" t="str">
        <f>Master[[#This Row],[Accession Prefix (NPGS)]]&amp;" "&amp;Master[[#This Row],[Accession Number -Assigned]]&amp;" DONATED "&amp;TEXT(Master[[#This Row],[Received Date -received by site]], "MM/DD/YYYY")</f>
        <v>W6 59622 DONATED 09/27/2021</v>
      </c>
      <c r="C36" s="17" t="str">
        <f>IF(Master[[#This Row],[Cooperator (Donor) 1 -full record]]="","",Master[[#This Row],[Cooperator (Donor) 1 -full record]])</f>
        <v>Bureau of Land Management, SOS project</v>
      </c>
      <c r="D36" s="2"/>
    </row>
    <row r="37" spans="2:4" x14ac:dyDescent="0.25">
      <c r="B37" t="str">
        <f>Master[[#This Row],[Accession Prefix (NPGS)]]&amp;" "&amp;Master[[#This Row],[Accession Number -Assigned]]&amp;" DONATED "&amp;TEXT(Master[[#This Row],[Received Date -received by site]], "MM/DD/YYYY")</f>
        <v>W6 59623 DONATED 09/27/2021</v>
      </c>
      <c r="C37" s="17" t="str">
        <f>IF(Master[[#This Row],[Cooperator (Donor) 1 -full record]]="","",Master[[#This Row],[Cooperator (Donor) 1 -full record]])</f>
        <v>Bureau of Land Management, SOS project</v>
      </c>
      <c r="D37" s="2"/>
    </row>
    <row r="38" spans="2:4" x14ac:dyDescent="0.25">
      <c r="B38" t="str">
        <f>Master[[#This Row],[Accession Prefix (NPGS)]]&amp;" "&amp;Master[[#This Row],[Accession Number -Assigned]]&amp;" DONATED "&amp;TEXT(Master[[#This Row],[Received Date -received by site]], "MM/DD/YYYY")</f>
        <v>W6 59624 DONATED 09/27/2021</v>
      </c>
      <c r="C38" s="17" t="str">
        <f>IF(Master[[#This Row],[Cooperator (Donor) 1 -full record]]="","",Master[[#This Row],[Cooperator (Donor) 1 -full record]])</f>
        <v>Bureau of Land Management, SOS project</v>
      </c>
      <c r="D38" s="2"/>
    </row>
    <row r="39" spans="2:4" x14ac:dyDescent="0.25">
      <c r="B39" t="str">
        <f>Master[[#This Row],[Accession Prefix (NPGS)]]&amp;" "&amp;Master[[#This Row],[Accession Number -Assigned]]&amp;" DONATED "&amp;TEXT(Master[[#This Row],[Received Date -received by site]], "MM/DD/YYYY")</f>
        <v>W6 59625 DONATED 09/27/2021</v>
      </c>
      <c r="C39" s="17" t="str">
        <f>IF(Master[[#This Row],[Cooperator (Donor) 1 -full record]]="","",Master[[#This Row],[Cooperator (Donor) 1 -full record]])</f>
        <v>Bureau of Land Management, SOS project</v>
      </c>
      <c r="D39" s="2"/>
    </row>
    <row r="40" spans="2:4" x14ac:dyDescent="0.25">
      <c r="B40" t="str">
        <f>Master[[#This Row],[Accession Prefix (NPGS)]]&amp;" "&amp;Master[[#This Row],[Accession Number -Assigned]]&amp;" DONATED "&amp;TEXT(Master[[#This Row],[Received Date -received by site]], "MM/DD/YYYY")</f>
        <v>W6 59626 DONATED 09/27/2021</v>
      </c>
      <c r="C40" s="17" t="str">
        <f>IF(Master[[#This Row],[Cooperator (Donor) 1 -full record]]="","",Master[[#This Row],[Cooperator (Donor) 1 -full record]])</f>
        <v>Bureau of Land Management, SOS project</v>
      </c>
      <c r="D40" s="2"/>
    </row>
    <row r="41" spans="2:4" x14ac:dyDescent="0.25">
      <c r="B41" t="str">
        <f>Master[[#This Row],[Accession Prefix (NPGS)]]&amp;" "&amp;Master[[#This Row],[Accession Number -Assigned]]&amp;" DONATED "&amp;TEXT(Master[[#This Row],[Received Date -received by site]], "MM/DD/YYYY")</f>
        <v>W6 59627 DONATED 09/27/2021</v>
      </c>
      <c r="C41" s="17" t="str">
        <f>IF(Master[[#This Row],[Cooperator (Donor) 1 -full record]]="","",Master[[#This Row],[Cooperator (Donor) 1 -full record]])</f>
        <v>Bureau of Land Management, SOS project</v>
      </c>
      <c r="D41" s="2"/>
    </row>
    <row r="42" spans="2:4" x14ac:dyDescent="0.25">
      <c r="B42" t="str">
        <f>Master[[#This Row],[Accession Prefix (NPGS)]]&amp;" "&amp;Master[[#This Row],[Accession Number -Assigned]]&amp;" DONATED "&amp;TEXT(Master[[#This Row],[Received Date -received by site]], "MM/DD/YYYY")</f>
        <v>W6 59628 DONATED 09/27/2021</v>
      </c>
      <c r="C42" s="17" t="str">
        <f>IF(Master[[#This Row],[Cooperator (Donor) 1 -full record]]="","",Master[[#This Row],[Cooperator (Donor) 1 -full record]])</f>
        <v>Bureau of Land Management, SOS project</v>
      </c>
      <c r="D42" s="2"/>
    </row>
    <row r="43" spans="2:4" x14ac:dyDescent="0.25">
      <c r="B43" t="str">
        <f>Master[[#This Row],[Accession Prefix (NPGS)]]&amp;" "&amp;Master[[#This Row],[Accession Number -Assigned]]&amp;" DONATED "&amp;TEXT(Master[[#This Row],[Received Date -received by site]], "MM/DD/YYYY")</f>
        <v>W6 59629 DONATED 09/27/2021</v>
      </c>
      <c r="C43" s="17" t="str">
        <f>IF(Master[[#This Row],[Cooperator (Donor) 1 -full record]]="","",Master[[#This Row],[Cooperator (Donor) 1 -full record]])</f>
        <v>Bureau of Land Management, SOS project</v>
      </c>
      <c r="D43" s="2"/>
    </row>
    <row r="44" spans="2:4" x14ac:dyDescent="0.25">
      <c r="B44" t="str">
        <f>Master[[#This Row],[Accession Prefix (NPGS)]]&amp;" "&amp;Master[[#This Row],[Accession Number -Assigned]]&amp;" DONATED "&amp;TEXT(Master[[#This Row],[Received Date -received by site]], "MM/DD/YYYY")</f>
        <v>W6 59630 DONATED 09/27/2021</v>
      </c>
      <c r="C44" s="17" t="str">
        <f>IF(Master[[#This Row],[Cooperator (Donor) 1 -full record]]="","",Master[[#This Row],[Cooperator (Donor) 1 -full record]])</f>
        <v>Bureau of Land Management, SOS project</v>
      </c>
      <c r="D44" s="2"/>
    </row>
    <row r="45" spans="2:4" x14ac:dyDescent="0.25">
      <c r="B45" t="str">
        <f>Master[[#This Row],[Accession Prefix (NPGS)]]&amp;" "&amp;Master[[#This Row],[Accession Number -Assigned]]&amp;" DONATED "&amp;TEXT(Master[[#This Row],[Received Date -received by site]], "MM/DD/YYYY")</f>
        <v>W6 59631 DONATED 09/27/2021</v>
      </c>
      <c r="C45" s="17" t="str">
        <f>IF(Master[[#This Row],[Cooperator (Donor) 1 -full record]]="","",Master[[#This Row],[Cooperator (Donor) 1 -full record]])</f>
        <v>Bureau of Land Management, SOS project</v>
      </c>
      <c r="D45" s="2"/>
    </row>
    <row r="46" spans="2:4" x14ac:dyDescent="0.25">
      <c r="B46" t="str">
        <f>Master[[#This Row],[Accession Prefix (NPGS)]]&amp;" "&amp;Master[[#This Row],[Accession Number -Assigned]]&amp;" DONATED "&amp;TEXT(Master[[#This Row],[Received Date -received by site]], "MM/DD/YYYY")</f>
        <v>W6 59632 DONATED 09/27/2021</v>
      </c>
      <c r="C46" s="17" t="str">
        <f>IF(Master[[#This Row],[Cooperator (Donor) 1 -full record]]="","",Master[[#This Row],[Cooperator (Donor) 1 -full record]])</f>
        <v>Bureau of Land Management, SOS project</v>
      </c>
      <c r="D46" s="2"/>
    </row>
    <row r="47" spans="2:4" x14ac:dyDescent="0.25">
      <c r="B47" t="str">
        <f>Master[[#This Row],[Accession Prefix (NPGS)]]&amp;" "&amp;Master[[#This Row],[Accession Number -Assigned]]&amp;" DONATED "&amp;TEXT(Master[[#This Row],[Received Date -received by site]], "MM/DD/YYYY")</f>
        <v>W6 59633 DONATED 09/27/2021</v>
      </c>
      <c r="C47" s="17" t="str">
        <f>IF(Master[[#This Row],[Cooperator (Donor) 1 -full record]]="","",Master[[#This Row],[Cooperator (Donor) 1 -full record]])</f>
        <v>Bureau of Land Management, SOS project</v>
      </c>
      <c r="D47" s="2"/>
    </row>
    <row r="48" spans="2:4" x14ac:dyDescent="0.25">
      <c r="B48" t="str">
        <f>Master[[#This Row],[Accession Prefix (NPGS)]]&amp;" "&amp;Master[[#This Row],[Accession Number -Assigned]]&amp;" DONATED "&amp;TEXT(Master[[#This Row],[Received Date -received by site]], "MM/DD/YYYY")</f>
        <v>W6 59634 DONATED 09/27/2021</v>
      </c>
      <c r="C48" s="17" t="str">
        <f>IF(Master[[#This Row],[Cooperator (Donor) 1 -full record]]="","",Master[[#This Row],[Cooperator (Donor) 1 -full record]])</f>
        <v>Bureau of Land Management, SOS project</v>
      </c>
      <c r="D48" s="2"/>
    </row>
    <row r="49" spans="2:4" x14ac:dyDescent="0.25">
      <c r="B49" t="str">
        <f>Master[[#This Row],[Accession Prefix (NPGS)]]&amp;" "&amp;Master[[#This Row],[Accession Number -Assigned]]&amp;" DONATED "&amp;TEXT(Master[[#This Row],[Received Date -received by site]], "MM/DD/YYYY")</f>
        <v>W6 59635 DONATED 09/27/2021</v>
      </c>
      <c r="C49" s="17" t="str">
        <f>IF(Master[[#This Row],[Cooperator (Donor) 1 -full record]]="","",Master[[#This Row],[Cooperator (Donor) 1 -full record]])</f>
        <v>Bureau of Land Management, SOS project</v>
      </c>
      <c r="D49" s="2"/>
    </row>
    <row r="50" spans="2:4" x14ac:dyDescent="0.25">
      <c r="B50" t="str">
        <f>Master[[#This Row],[Accession Prefix (NPGS)]]&amp;" "&amp;Master[[#This Row],[Accession Number -Assigned]]&amp;" DONATED "&amp;TEXT(Master[[#This Row],[Received Date -received by site]], "MM/DD/YYYY")</f>
        <v>W6 59636 DONATED 09/27/2021</v>
      </c>
      <c r="C50" s="17" t="str">
        <f>IF(Master[[#This Row],[Cooperator (Donor) 1 -full record]]="","",Master[[#This Row],[Cooperator (Donor) 1 -full record]])</f>
        <v>Bureau of Land Management, SOS project</v>
      </c>
      <c r="D50" s="2"/>
    </row>
    <row r="51" spans="2:4" x14ac:dyDescent="0.25">
      <c r="B51" t="str">
        <f>Master[[#This Row],[Accession Prefix (NPGS)]]&amp;" "&amp;Master[[#This Row],[Accession Number -Assigned]]&amp;" DONATED "&amp;TEXT(Master[[#This Row],[Received Date -received by site]], "MM/DD/YYYY")</f>
        <v>W6 59637 DONATED 09/27/2021</v>
      </c>
      <c r="C51" s="17" t="str">
        <f>IF(Master[[#This Row],[Cooperator (Donor) 1 -full record]]="","",Master[[#This Row],[Cooperator (Donor) 1 -full record]])</f>
        <v>Bureau of Land Management, SOS project</v>
      </c>
      <c r="D51" s="2"/>
    </row>
    <row r="52" spans="2:4" x14ac:dyDescent="0.25">
      <c r="B52" t="str">
        <f>Master[[#This Row],[Accession Prefix (NPGS)]]&amp;" "&amp;Master[[#This Row],[Accession Number -Assigned]]&amp;" DONATED "&amp;TEXT(Master[[#This Row],[Received Date -received by site]], "MM/DD/YYYY")</f>
        <v>W6 59638 DONATED 09/27/2021</v>
      </c>
      <c r="C52" s="17" t="str">
        <f>IF(Master[[#This Row],[Cooperator (Donor) 1 -full record]]="","",Master[[#This Row],[Cooperator (Donor) 1 -full record]])</f>
        <v>Bureau of Land Management, SOS project</v>
      </c>
      <c r="D52" s="2"/>
    </row>
    <row r="53" spans="2:4" x14ac:dyDescent="0.25">
      <c r="B53" t="str">
        <f>Master[[#This Row],[Accession Prefix (NPGS)]]&amp;" "&amp;Master[[#This Row],[Accession Number -Assigned]]&amp;" DONATED "&amp;TEXT(Master[[#This Row],[Received Date -received by site]], "MM/DD/YYYY")</f>
        <v>W6 59639 DONATED 09/27/2021</v>
      </c>
      <c r="C53" s="17" t="str">
        <f>IF(Master[[#This Row],[Cooperator (Donor) 1 -full record]]="","",Master[[#This Row],[Cooperator (Donor) 1 -full record]])</f>
        <v>Bureau of Land Management, SOS project</v>
      </c>
      <c r="D53" s="2"/>
    </row>
    <row r="54" spans="2:4" x14ac:dyDescent="0.25">
      <c r="B54" t="str">
        <f>Master[[#This Row],[Accession Prefix (NPGS)]]&amp;" "&amp;Master[[#This Row],[Accession Number -Assigned]]&amp;" DONATED "&amp;TEXT(Master[[#This Row],[Received Date -received by site]], "MM/DD/YYYY")</f>
        <v>W6 59640 DONATED 09/27/2021</v>
      </c>
      <c r="C54" s="17" t="str">
        <f>IF(Master[[#This Row],[Cooperator (Donor) 1 -full record]]="","",Master[[#This Row],[Cooperator (Donor) 1 -full record]])</f>
        <v>Bureau of Land Management, SOS project</v>
      </c>
      <c r="D54" s="2"/>
    </row>
    <row r="55" spans="2:4" x14ac:dyDescent="0.25">
      <c r="B55" t="str">
        <f>Master[[#This Row],[Accession Prefix (NPGS)]]&amp;" "&amp;Master[[#This Row],[Accession Number -Assigned]]&amp;" DONATED "&amp;TEXT(Master[[#This Row],[Received Date -received by site]], "MM/DD/YYYY")</f>
        <v>W6 59641 DONATED 09/27/2021</v>
      </c>
      <c r="C55" s="17" t="str">
        <f>IF(Master[[#This Row],[Cooperator (Donor) 1 -full record]]="","",Master[[#This Row],[Cooperator (Donor) 1 -full record]])</f>
        <v>Bureau of Land Management, SOS project</v>
      </c>
      <c r="D55" s="2"/>
    </row>
    <row r="56" spans="2:4" x14ac:dyDescent="0.25">
      <c r="B56" t="str">
        <f>Master[[#This Row],[Accession Prefix (NPGS)]]&amp;" "&amp;Master[[#This Row],[Accession Number -Assigned]]&amp;" DONATED "&amp;TEXT(Master[[#This Row],[Received Date -received by site]], "MM/DD/YYYY")</f>
        <v>W6 59642 DONATED 09/27/2021</v>
      </c>
      <c r="C56" s="17" t="str">
        <f>IF(Master[[#This Row],[Cooperator (Donor) 1 -full record]]="","",Master[[#This Row],[Cooperator (Donor) 1 -full record]])</f>
        <v>Bureau of Land Management, SOS project</v>
      </c>
      <c r="D56" s="2"/>
    </row>
    <row r="57" spans="2:4" x14ac:dyDescent="0.25">
      <c r="B57" t="str">
        <f>Master[[#This Row],[Accession Prefix (NPGS)]]&amp;" "&amp;Master[[#This Row],[Accession Number -Assigned]]&amp;" DONATED "&amp;TEXT(Master[[#This Row],[Received Date -received by site]], "MM/DD/YYYY")</f>
        <v>W6 59643 DONATED 09/27/2021</v>
      </c>
      <c r="C57" s="17" t="str">
        <f>IF(Master[[#This Row],[Cooperator (Donor) 1 -full record]]="","",Master[[#This Row],[Cooperator (Donor) 1 -full record]])</f>
        <v>Bureau of Land Management, SOS project</v>
      </c>
      <c r="D57" s="2"/>
    </row>
    <row r="58" spans="2:4" x14ac:dyDescent="0.25">
      <c r="B58" t="str">
        <f>Master[[#This Row],[Accession Prefix (NPGS)]]&amp;" "&amp;Master[[#This Row],[Accession Number -Assigned]]&amp;" DONATED "&amp;TEXT(Master[[#This Row],[Received Date -received by site]], "MM/DD/YYYY")</f>
        <v>W6 59644 DONATED 09/27/2021</v>
      </c>
      <c r="C58" s="17" t="str">
        <f>IF(Master[[#This Row],[Cooperator (Donor) 1 -full record]]="","",Master[[#This Row],[Cooperator (Donor) 1 -full record]])</f>
        <v>Bureau of Land Management, SOS project</v>
      </c>
      <c r="D58" s="2"/>
    </row>
    <row r="59" spans="2:4" x14ac:dyDescent="0.25">
      <c r="B59" t="str">
        <f>Master[[#This Row],[Accession Prefix (NPGS)]]&amp;" "&amp;Master[[#This Row],[Accession Number -Assigned]]&amp;" DONATED "&amp;TEXT(Master[[#This Row],[Received Date -received by site]], "MM/DD/YYYY")</f>
        <v>W6 59645 DONATED 09/27/2021</v>
      </c>
      <c r="C59" s="17" t="str">
        <f>IF(Master[[#This Row],[Cooperator (Donor) 1 -full record]]="","",Master[[#This Row],[Cooperator (Donor) 1 -full record]])</f>
        <v>Bureau of Land Management, SOS project</v>
      </c>
      <c r="D59" s="2"/>
    </row>
    <row r="60" spans="2:4" x14ac:dyDescent="0.25">
      <c r="B60" t="str">
        <f>Master[[#This Row],[Accession Prefix (NPGS)]]&amp;" "&amp;Master[[#This Row],[Accession Number -Assigned]]&amp;" DONATED "&amp;TEXT(Master[[#This Row],[Received Date -received by site]], "MM/DD/YYYY")</f>
        <v>W6 59646 DONATED 09/27/2021</v>
      </c>
      <c r="C60" s="17" t="str">
        <f>IF(Master[[#This Row],[Cooperator (Donor) 1 -full record]]="","",Master[[#This Row],[Cooperator (Donor) 1 -full record]])</f>
        <v>Bureau of Land Management, SOS project</v>
      </c>
      <c r="D60" s="2"/>
    </row>
    <row r="61" spans="2:4" x14ac:dyDescent="0.25">
      <c r="B61" t="str">
        <f>Master[[#This Row],[Accession Prefix (NPGS)]]&amp;" "&amp;Master[[#This Row],[Accession Number -Assigned]]&amp;" DONATED "&amp;TEXT(Master[[#This Row],[Received Date -received by site]], "MM/DD/YYYY")</f>
        <v>W6 59647 DONATED 09/27/2021</v>
      </c>
      <c r="C61" s="17" t="str">
        <f>IF(Master[[#This Row],[Cooperator (Donor) 1 -full record]]="","",Master[[#This Row],[Cooperator (Donor) 1 -full record]])</f>
        <v>Bureau of Land Management, SOS project</v>
      </c>
      <c r="D61" s="2"/>
    </row>
    <row r="62" spans="2:4" x14ac:dyDescent="0.25">
      <c r="B62" t="str">
        <f>Master[[#This Row],[Accession Prefix (NPGS)]]&amp;" "&amp;Master[[#This Row],[Accession Number -Assigned]]&amp;" DONATED "&amp;TEXT(Master[[#This Row],[Received Date -received by site]], "MM/DD/YYYY")</f>
        <v>W6 59648 DONATED 09/27/2021</v>
      </c>
      <c r="C62" s="17" t="str">
        <f>IF(Master[[#This Row],[Cooperator (Donor) 1 -full record]]="","",Master[[#This Row],[Cooperator (Donor) 1 -full record]])</f>
        <v>Bureau of Land Management, SOS project</v>
      </c>
      <c r="D62" s="2"/>
    </row>
    <row r="63" spans="2:4" x14ac:dyDescent="0.25">
      <c r="B63" t="str">
        <f>Master[[#This Row],[Accession Prefix (NPGS)]]&amp;" "&amp;Master[[#This Row],[Accession Number -Assigned]]&amp;" DONATED "&amp;TEXT(Master[[#This Row],[Received Date -received by site]], "MM/DD/YYYY")</f>
        <v>W6 59649 DONATED 09/27/2021</v>
      </c>
      <c r="C63" s="17" t="str">
        <f>IF(Master[[#This Row],[Cooperator (Donor) 1 -full record]]="","",Master[[#This Row],[Cooperator (Donor) 1 -full record]])</f>
        <v>Bureau of Land Management, SOS project</v>
      </c>
      <c r="D63" s="2"/>
    </row>
    <row r="64" spans="2:4" x14ac:dyDescent="0.25">
      <c r="B64" t="str">
        <f>Master[[#This Row],[Accession Prefix (NPGS)]]&amp;" "&amp;Master[[#This Row],[Accession Number -Assigned]]&amp;" DONATED "&amp;TEXT(Master[[#This Row],[Received Date -received by site]], "MM/DD/YYYY")</f>
        <v>W6 59650 DONATED 09/27/2021</v>
      </c>
      <c r="C64" s="17" t="str">
        <f>IF(Master[[#This Row],[Cooperator (Donor) 1 -full record]]="","",Master[[#This Row],[Cooperator (Donor) 1 -full record]])</f>
        <v>Bureau of Land Management, SOS project</v>
      </c>
      <c r="D64" s="2"/>
    </row>
    <row r="65" spans="2:4" x14ac:dyDescent="0.25">
      <c r="B65" t="str">
        <f>Master[[#This Row],[Accession Prefix (NPGS)]]&amp;" "&amp;Master[[#This Row],[Accession Number -Assigned]]&amp;" DONATED "&amp;TEXT(Master[[#This Row],[Received Date -received by site]], "MM/DD/YYYY")</f>
        <v>W6 59651 DONATED 09/27/2021</v>
      </c>
      <c r="C65" s="17" t="str">
        <f>IF(Master[[#This Row],[Cooperator (Donor) 1 -full record]]="","",Master[[#This Row],[Cooperator (Donor) 1 -full record]])</f>
        <v>Bureau of Land Management, SOS project</v>
      </c>
      <c r="D65" s="2"/>
    </row>
    <row r="66" spans="2:4" x14ac:dyDescent="0.25">
      <c r="B66" t="str">
        <f>Master[[#This Row],[Accession Prefix (NPGS)]]&amp;" "&amp;Master[[#This Row],[Accession Number -Assigned]]&amp;" DONATED "&amp;TEXT(Master[[#This Row],[Received Date -received by site]], "MM/DD/YYYY")</f>
        <v>W6 59652 DONATED 09/27/2021</v>
      </c>
      <c r="C66" s="17" t="str">
        <f>IF(Master[[#This Row],[Cooperator (Donor) 1 -full record]]="","",Master[[#This Row],[Cooperator (Donor) 1 -full record]])</f>
        <v>Bureau of Land Management, SOS project</v>
      </c>
      <c r="D66" s="2"/>
    </row>
    <row r="67" spans="2:4" x14ac:dyDescent="0.25">
      <c r="B67" t="str">
        <f>Master[[#This Row],[Accession Prefix (NPGS)]]&amp;" "&amp;Master[[#This Row],[Accession Number -Assigned]]&amp;" DONATED "&amp;TEXT(Master[[#This Row],[Received Date -received by site]], "MM/DD/YYYY")</f>
        <v>W6 59653 DONATED 09/27/2021</v>
      </c>
      <c r="C67" s="17" t="str">
        <f>IF(Master[[#This Row],[Cooperator (Donor) 1 -full record]]="","",Master[[#This Row],[Cooperator (Donor) 1 -full record]])</f>
        <v>Bureau of Land Management, SOS project</v>
      </c>
      <c r="D67" s="2"/>
    </row>
    <row r="68" spans="2:4" x14ac:dyDescent="0.25">
      <c r="B68" t="str">
        <f>Master[[#This Row],[Accession Prefix (NPGS)]]&amp;" "&amp;Master[[#This Row],[Accession Number -Assigned]]&amp;" DONATED "&amp;TEXT(Master[[#This Row],[Received Date -received by site]], "MM/DD/YYYY")</f>
        <v>W6 59654 DONATED 09/27/2021</v>
      </c>
      <c r="C68" s="17" t="str">
        <f>IF(Master[[#This Row],[Cooperator (Donor) 1 -full record]]="","",Master[[#This Row],[Cooperator (Donor) 1 -full record]])</f>
        <v>Bureau of Land Management, SOS project</v>
      </c>
      <c r="D68" s="2"/>
    </row>
    <row r="69" spans="2:4" x14ac:dyDescent="0.25">
      <c r="B69" t="str">
        <f>Master[[#This Row],[Accession Prefix (NPGS)]]&amp;" "&amp;Master[[#This Row],[Accession Number -Assigned]]&amp;" DONATED "&amp;TEXT(Master[[#This Row],[Received Date -received by site]], "MM/DD/YYYY")</f>
        <v>W6 59655 DONATED 09/27/2021</v>
      </c>
      <c r="C69" s="17" t="str">
        <f>IF(Master[[#This Row],[Cooperator (Donor) 1 -full record]]="","",Master[[#This Row],[Cooperator (Donor) 1 -full record]])</f>
        <v>Bureau of Land Management, SOS project</v>
      </c>
      <c r="D69" s="2"/>
    </row>
    <row r="70" spans="2:4" x14ac:dyDescent="0.25">
      <c r="B70" t="str">
        <f>Master[[#This Row],[Accession Prefix (NPGS)]]&amp;" "&amp;Master[[#This Row],[Accession Number -Assigned]]&amp;" DONATED "&amp;TEXT(Master[[#This Row],[Received Date -received by site]], "MM/DD/YYYY")</f>
        <v>W6 59656 DONATED 09/27/2021</v>
      </c>
      <c r="C70" s="17" t="str">
        <f>IF(Master[[#This Row],[Cooperator (Donor) 1 -full record]]="","",Master[[#This Row],[Cooperator (Donor) 1 -full record]])</f>
        <v>Bureau of Land Management, SOS project</v>
      </c>
      <c r="D70" s="2"/>
    </row>
    <row r="71" spans="2:4" x14ac:dyDescent="0.25">
      <c r="B71" t="str">
        <f>Master[[#This Row],[Accession Prefix (NPGS)]]&amp;" "&amp;Master[[#This Row],[Accession Number -Assigned]]&amp;" DONATED "&amp;TEXT(Master[[#This Row],[Received Date -received by site]], "MM/DD/YYYY")</f>
        <v>W6 59657 DONATED 09/27/2021</v>
      </c>
      <c r="C71" s="17" t="str">
        <f>IF(Master[[#This Row],[Cooperator (Donor) 1 -full record]]="","",Master[[#This Row],[Cooperator (Donor) 1 -full record]])</f>
        <v>Bureau of Land Management, SOS project</v>
      </c>
      <c r="D71" s="2"/>
    </row>
    <row r="72" spans="2:4" x14ac:dyDescent="0.25">
      <c r="B72" t="str">
        <f>Master[[#This Row],[Accession Prefix (NPGS)]]&amp;" "&amp;Master[[#This Row],[Accession Number -Assigned]]&amp;" DONATED "&amp;TEXT(Master[[#This Row],[Received Date -received by site]], "MM/DD/YYYY")</f>
        <v>W6 59658 DONATED 09/27/2021</v>
      </c>
      <c r="C72" s="17" t="str">
        <f>IF(Master[[#This Row],[Cooperator (Donor) 1 -full record]]="","",Master[[#This Row],[Cooperator (Donor) 1 -full record]])</f>
        <v>Bureau of Land Management, SOS project</v>
      </c>
      <c r="D72" s="2"/>
    </row>
    <row r="73" spans="2:4" x14ac:dyDescent="0.25">
      <c r="B73" t="str">
        <f>Master[[#This Row],[Accession Prefix (NPGS)]]&amp;" "&amp;Master[[#This Row],[Accession Number -Assigned]]&amp;" DONATED "&amp;TEXT(Master[[#This Row],[Received Date -received by site]], "MM/DD/YYYY")</f>
        <v>W6 59659 DONATED 09/27/2021</v>
      </c>
      <c r="C73" s="17" t="str">
        <f>IF(Master[[#This Row],[Cooperator (Donor) 1 -full record]]="","",Master[[#This Row],[Cooperator (Donor) 1 -full record]])</f>
        <v>Bureau of Land Management, SOS project</v>
      </c>
      <c r="D73" s="2"/>
    </row>
    <row r="74" spans="2:4" x14ac:dyDescent="0.25">
      <c r="B74" t="str">
        <f>Master[[#This Row],[Accession Prefix (NPGS)]]&amp;" "&amp;Master[[#This Row],[Accession Number -Assigned]]&amp;" DONATED "&amp;TEXT(Master[[#This Row],[Received Date -received by site]], "MM/DD/YYYY")</f>
        <v>W6 59660 DONATED 09/27/2021</v>
      </c>
      <c r="C74" s="17" t="str">
        <f>IF(Master[[#This Row],[Cooperator (Donor) 1 -full record]]="","",Master[[#This Row],[Cooperator (Donor) 1 -full record]])</f>
        <v>Bureau of Land Management, SOS project</v>
      </c>
      <c r="D74" s="2"/>
    </row>
    <row r="75" spans="2:4" x14ac:dyDescent="0.25">
      <c r="B75" t="str">
        <f>Master[[#This Row],[Accession Prefix (NPGS)]]&amp;" "&amp;Master[[#This Row],[Accession Number -Assigned]]&amp;" DONATED "&amp;TEXT(Master[[#This Row],[Received Date -received by site]], "MM/DD/YYYY")</f>
        <v>W6 59661 DONATED 09/27/2021</v>
      </c>
      <c r="C75" s="17" t="str">
        <f>IF(Master[[#This Row],[Cooperator (Donor) 1 -full record]]="","",Master[[#This Row],[Cooperator (Donor) 1 -full record]])</f>
        <v>Bureau of Land Management, SOS project</v>
      </c>
      <c r="D75" s="2"/>
    </row>
    <row r="76" spans="2:4" x14ac:dyDescent="0.25">
      <c r="B76" t="str">
        <f>Master[[#This Row],[Accession Prefix (NPGS)]]&amp;" "&amp;Master[[#This Row],[Accession Number -Assigned]]&amp;" DONATED "&amp;TEXT(Master[[#This Row],[Received Date -received by site]], "MM/DD/YYYY")</f>
        <v>W6 59662 DONATED 09/27/2021</v>
      </c>
      <c r="C76" s="17" t="str">
        <f>IF(Master[[#This Row],[Cooperator (Donor) 1 -full record]]="","",Master[[#This Row],[Cooperator (Donor) 1 -full record]])</f>
        <v>Bureau of Land Management, SOS project</v>
      </c>
      <c r="D76" s="2"/>
    </row>
    <row r="77" spans="2:4" x14ac:dyDescent="0.25">
      <c r="B77" t="str">
        <f>Master[[#This Row],[Accession Prefix (NPGS)]]&amp;" "&amp;Master[[#This Row],[Accession Number -Assigned]]&amp;" DONATED "&amp;TEXT(Master[[#This Row],[Received Date -received by site]], "MM/DD/YYYY")</f>
        <v>W6 59663 DONATED 09/27/2021</v>
      </c>
      <c r="C77" s="17" t="str">
        <f>IF(Master[[#This Row],[Cooperator (Donor) 1 -full record]]="","",Master[[#This Row],[Cooperator (Donor) 1 -full record]])</f>
        <v>Bureau of Land Management, SOS project</v>
      </c>
      <c r="D77" s="2"/>
    </row>
    <row r="78" spans="2:4" x14ac:dyDescent="0.25">
      <c r="B78" t="str">
        <f>Master[[#This Row],[Accession Prefix (NPGS)]]&amp;" "&amp;Master[[#This Row],[Accession Number -Assigned]]&amp;" DONATED "&amp;TEXT(Master[[#This Row],[Received Date -received by site]], "MM/DD/YYYY")</f>
        <v>W6 59664 DONATED 09/27/2021</v>
      </c>
      <c r="C78" s="17" t="str">
        <f>IF(Master[[#This Row],[Cooperator (Donor) 1 -full record]]="","",Master[[#This Row],[Cooperator (Donor) 1 -full record]])</f>
        <v>Bureau of Land Management, SOS project</v>
      </c>
      <c r="D78" s="2"/>
    </row>
    <row r="79" spans="2:4" x14ac:dyDescent="0.25">
      <c r="B79" t="str">
        <f>Master[[#This Row],[Accession Prefix (NPGS)]]&amp;" "&amp;Master[[#This Row],[Accession Number -Assigned]]&amp;" DONATED "&amp;TEXT(Master[[#This Row],[Received Date -received by site]], "MM/DD/YYYY")</f>
        <v>W6 59665 DONATED 09/27/2021</v>
      </c>
      <c r="C79" s="17" t="str">
        <f>IF(Master[[#This Row],[Cooperator (Donor) 1 -full record]]="","",Master[[#This Row],[Cooperator (Donor) 1 -full record]])</f>
        <v>Bureau of Land Management, SOS project</v>
      </c>
      <c r="D79" s="2"/>
    </row>
    <row r="80" spans="2:4" x14ac:dyDescent="0.25">
      <c r="B80" t="str">
        <f>Master[[#This Row],[Accession Prefix (NPGS)]]&amp;" "&amp;Master[[#This Row],[Accession Number -Assigned]]&amp;" DONATED "&amp;TEXT(Master[[#This Row],[Received Date -received by site]], "MM/DD/YYYY")</f>
        <v>W6 59666 DONATED 09/27/2021</v>
      </c>
      <c r="C80" s="17" t="str">
        <f>IF(Master[[#This Row],[Cooperator (Donor) 1 -full record]]="","",Master[[#This Row],[Cooperator (Donor) 1 -full record]])</f>
        <v>Bureau of Land Management, SOS project</v>
      </c>
      <c r="D80" s="2"/>
    </row>
    <row r="81" spans="2:4" x14ac:dyDescent="0.25">
      <c r="B81" t="str">
        <f>Master[[#This Row],[Accession Prefix (NPGS)]]&amp;" "&amp;Master[[#This Row],[Accession Number -Assigned]]&amp;" DONATED "&amp;TEXT(Master[[#This Row],[Received Date -received by site]], "MM/DD/YYYY")</f>
        <v>W6 59667 DONATED 09/27/2021</v>
      </c>
      <c r="C81" s="17" t="str">
        <f>IF(Master[[#This Row],[Cooperator (Donor) 1 -full record]]="","",Master[[#This Row],[Cooperator (Donor) 1 -full record]])</f>
        <v>Bureau of Land Management, SOS project</v>
      </c>
      <c r="D81" s="2"/>
    </row>
    <row r="82" spans="2:4" x14ac:dyDescent="0.25">
      <c r="B82" t="str">
        <f>Master[[#This Row],[Accession Prefix (NPGS)]]&amp;" "&amp;Master[[#This Row],[Accession Number -Assigned]]&amp;" DONATED "&amp;TEXT(Master[[#This Row],[Received Date -received by site]], "MM/DD/YYYY")</f>
        <v>W6 59668 DONATED 09/27/2021</v>
      </c>
      <c r="C82" s="17" t="str">
        <f>IF(Master[[#This Row],[Cooperator (Donor) 1 -full record]]="","",Master[[#This Row],[Cooperator (Donor) 1 -full record]])</f>
        <v>Bureau of Land Management, SOS project</v>
      </c>
      <c r="D82" s="2"/>
    </row>
    <row r="83" spans="2:4" x14ac:dyDescent="0.25">
      <c r="B83" t="str">
        <f>Master[[#This Row],[Accession Prefix (NPGS)]]&amp;" "&amp;Master[[#This Row],[Accession Number -Assigned]]&amp;" DONATED "&amp;TEXT(Master[[#This Row],[Received Date -received by site]], "MM/DD/YYYY")</f>
        <v>W6 59669 DONATED 09/27/2021</v>
      </c>
      <c r="C83" s="17" t="str">
        <f>IF(Master[[#This Row],[Cooperator (Donor) 1 -full record]]="","",Master[[#This Row],[Cooperator (Donor) 1 -full record]])</f>
        <v>Bureau of Land Management, SOS project</v>
      </c>
      <c r="D83" s="2"/>
    </row>
    <row r="84" spans="2:4" x14ac:dyDescent="0.25">
      <c r="B84" t="str">
        <f>Master[[#This Row],[Accession Prefix (NPGS)]]&amp;" "&amp;Master[[#This Row],[Accession Number -Assigned]]&amp;" DONATED "&amp;TEXT(Master[[#This Row],[Received Date -received by site]], "MM/DD/YYYY")</f>
        <v>W6 59670 DONATED 09/27/2021</v>
      </c>
      <c r="C84" s="17" t="str">
        <f>IF(Master[[#This Row],[Cooperator (Donor) 1 -full record]]="","",Master[[#This Row],[Cooperator (Donor) 1 -full record]])</f>
        <v>Bureau of Land Management, SOS project</v>
      </c>
      <c r="D84" s="2"/>
    </row>
    <row r="85" spans="2:4" x14ac:dyDescent="0.25">
      <c r="B85" t="str">
        <f>Master[[#This Row],[Accession Prefix (NPGS)]]&amp;" "&amp;Master[[#This Row],[Accession Number -Assigned]]&amp;" DONATED "&amp;TEXT(Master[[#This Row],[Received Date -received by site]], "MM/DD/YYYY")</f>
        <v>W6 59671 DONATED 09/27/2021</v>
      </c>
      <c r="C85" s="17" t="str">
        <f>IF(Master[[#This Row],[Cooperator (Donor) 1 -full record]]="","",Master[[#This Row],[Cooperator (Donor) 1 -full record]])</f>
        <v>Bureau of Land Management, SOS project</v>
      </c>
      <c r="D85" s="2"/>
    </row>
    <row r="86" spans="2:4" x14ac:dyDescent="0.25">
      <c r="B86" t="str">
        <f>Master[[#This Row],[Accession Prefix (NPGS)]]&amp;" "&amp;Master[[#This Row],[Accession Number -Assigned]]&amp;" DONATED "&amp;TEXT(Master[[#This Row],[Received Date -received by site]], "MM/DD/YYYY")</f>
        <v>W6 59672 DONATED 09/27/2021</v>
      </c>
      <c r="C86" s="17" t="str">
        <f>IF(Master[[#This Row],[Cooperator (Donor) 1 -full record]]="","",Master[[#This Row],[Cooperator (Donor) 1 -full record]])</f>
        <v>Bureau of Land Management, SOS project</v>
      </c>
      <c r="D86" s="2"/>
    </row>
    <row r="87" spans="2:4" x14ac:dyDescent="0.25">
      <c r="B87" t="str">
        <f>Master[[#This Row],[Accession Prefix (NPGS)]]&amp;" "&amp;Master[[#This Row],[Accession Number -Assigned]]&amp;" DONATED "&amp;TEXT(Master[[#This Row],[Received Date -received by site]], "MM/DD/YYYY")</f>
        <v>W6 59673 DONATED 09/27/2021</v>
      </c>
      <c r="C87" s="17" t="str">
        <f>IF(Master[[#This Row],[Cooperator (Donor) 1 -full record]]="","",Master[[#This Row],[Cooperator (Donor) 1 -full record]])</f>
        <v>Bureau of Land Management, SOS project</v>
      </c>
      <c r="D87" s="2"/>
    </row>
    <row r="88" spans="2:4" x14ac:dyDescent="0.25">
      <c r="B88" t="str">
        <f>Master[[#This Row],[Accession Prefix (NPGS)]]&amp;" "&amp;Master[[#This Row],[Accession Number -Assigned]]&amp;" DONATED "&amp;TEXT(Master[[#This Row],[Received Date -received by site]], "MM/DD/YYYY")</f>
        <v>W6 59674 DONATED 09/27/2021</v>
      </c>
      <c r="C88" s="17" t="str">
        <f>IF(Master[[#This Row],[Cooperator (Donor) 1 -full record]]="","",Master[[#This Row],[Cooperator (Donor) 1 -full record]])</f>
        <v>Bureau of Land Management, SOS project</v>
      </c>
      <c r="D88" s="2"/>
    </row>
    <row r="89" spans="2:4" x14ac:dyDescent="0.25">
      <c r="B89" t="str">
        <f>Master[[#This Row],[Accession Prefix (NPGS)]]&amp;" "&amp;Master[[#This Row],[Accession Number -Assigned]]&amp;" DONATED "&amp;TEXT(Master[[#This Row],[Received Date -received by site]], "MM/DD/YYYY")</f>
        <v>W6 59675 DONATED 09/27/2021</v>
      </c>
      <c r="C89" s="17" t="str">
        <f>IF(Master[[#This Row],[Cooperator (Donor) 1 -full record]]="","",Master[[#This Row],[Cooperator (Donor) 1 -full record]])</f>
        <v>Bureau of Land Management, SOS project</v>
      </c>
      <c r="D89" s="2"/>
    </row>
    <row r="90" spans="2:4" x14ac:dyDescent="0.25">
      <c r="B90" t="str">
        <f>Master[[#This Row],[Accession Prefix (NPGS)]]&amp;" "&amp;Master[[#This Row],[Accession Number -Assigned]]&amp;" DONATED "&amp;TEXT(Master[[#This Row],[Received Date -received by site]], "MM/DD/YYYY")</f>
        <v>W6 59676 DONATED 09/27/2021</v>
      </c>
      <c r="C90" s="17" t="str">
        <f>IF(Master[[#This Row],[Cooperator (Donor) 1 -full record]]="","",Master[[#This Row],[Cooperator (Donor) 1 -full record]])</f>
        <v>Bureau of Land Management, SOS project</v>
      </c>
      <c r="D90" s="2"/>
    </row>
    <row r="91" spans="2:4" x14ac:dyDescent="0.25">
      <c r="B91" t="str">
        <f>Master[[#This Row],[Accession Prefix (NPGS)]]&amp;" "&amp;Master[[#This Row],[Accession Number -Assigned]]&amp;" DONATED "&amp;TEXT(Master[[#This Row],[Received Date -received by site]], "MM/DD/YYYY")</f>
        <v>W6 59677 DONATED 09/27/2021</v>
      </c>
      <c r="C91" s="17" t="str">
        <f>IF(Master[[#This Row],[Cooperator (Donor) 1 -full record]]="","",Master[[#This Row],[Cooperator (Donor) 1 -full record]])</f>
        <v>Bureau of Land Management, SOS project</v>
      </c>
      <c r="D91" s="2"/>
    </row>
    <row r="92" spans="2:4" x14ac:dyDescent="0.25">
      <c r="B92" t="str">
        <f>Master[[#This Row],[Accession Prefix (NPGS)]]&amp;" "&amp;Master[[#This Row],[Accession Number -Assigned]]&amp;" DONATED "&amp;TEXT(Master[[#This Row],[Received Date -received by site]], "MM/DD/YYYY")</f>
        <v>W6 59678 DONATED 09/27/2021</v>
      </c>
      <c r="C92" s="17" t="str">
        <f>IF(Master[[#This Row],[Cooperator (Donor) 1 -full record]]="","",Master[[#This Row],[Cooperator (Donor) 1 -full record]])</f>
        <v>Bureau of Land Management, SOS project</v>
      </c>
      <c r="D92" s="2"/>
    </row>
    <row r="93" spans="2:4" x14ac:dyDescent="0.25">
      <c r="B93" t="str">
        <f>Master[[#This Row],[Accession Prefix (NPGS)]]&amp;" "&amp;Master[[#This Row],[Accession Number -Assigned]]&amp;" DONATED "&amp;TEXT(Master[[#This Row],[Received Date -received by site]], "MM/DD/YYYY")</f>
        <v>W6 59679 DONATED 09/27/2021</v>
      </c>
      <c r="C93" s="17" t="str">
        <f>IF(Master[[#This Row],[Cooperator (Donor) 1 -full record]]="","",Master[[#This Row],[Cooperator (Donor) 1 -full record]])</f>
        <v>Bureau of Land Management, SOS project</v>
      </c>
      <c r="D93" s="2"/>
    </row>
    <row r="94" spans="2:4" x14ac:dyDescent="0.25">
      <c r="B94" t="str">
        <f>Master[[#This Row],[Accession Prefix (NPGS)]]&amp;" "&amp;Master[[#This Row],[Accession Number -Assigned]]&amp;" DONATED "&amp;TEXT(Master[[#This Row],[Received Date -received by site]], "MM/DD/YYYY")</f>
        <v>W6 59680 DONATED 09/27/2021</v>
      </c>
      <c r="C94" s="17" t="str">
        <f>IF(Master[[#This Row],[Cooperator (Donor) 1 -full record]]="","",Master[[#This Row],[Cooperator (Donor) 1 -full record]])</f>
        <v>Bureau of Land Management, SOS project</v>
      </c>
      <c r="D94" s="2"/>
    </row>
    <row r="95" spans="2:4" x14ac:dyDescent="0.25">
      <c r="B95" t="str">
        <f>Master[[#This Row],[Accession Prefix (NPGS)]]&amp;" "&amp;Master[[#This Row],[Accession Number -Assigned]]&amp;" DONATED "&amp;TEXT(Master[[#This Row],[Received Date -received by site]], "MM/DD/YYYY")</f>
        <v>W6 59681 DONATED 09/27/2021</v>
      </c>
      <c r="C95" s="17" t="str">
        <f>IF(Master[[#This Row],[Cooperator (Donor) 1 -full record]]="","",Master[[#This Row],[Cooperator (Donor) 1 -full record]])</f>
        <v>Bureau of Land Management, SOS project</v>
      </c>
      <c r="D95" s="2"/>
    </row>
    <row r="96" spans="2:4" x14ac:dyDescent="0.25">
      <c r="B96" t="str">
        <f>Master[[#This Row],[Accession Prefix (NPGS)]]&amp;" "&amp;Master[[#This Row],[Accession Number -Assigned]]&amp;" DONATED "&amp;TEXT(Master[[#This Row],[Received Date -received by site]], "MM/DD/YYYY")</f>
        <v>W6 59682 DONATED 09/27/2021</v>
      </c>
      <c r="C96" s="17" t="str">
        <f>IF(Master[[#This Row],[Cooperator (Donor) 1 -full record]]="","",Master[[#This Row],[Cooperator (Donor) 1 -full record]])</f>
        <v>Bureau of Land Management, SOS project</v>
      </c>
      <c r="D96" s="2"/>
    </row>
    <row r="97" spans="2:3" x14ac:dyDescent="0.25">
      <c r="B97" t="str">
        <f>Master[[#This Row],[Accession Prefix (NPGS)]]&amp;" "&amp;Master[[#This Row],[Accession Number -Assigned]]&amp;" DONATED "&amp;TEXT(Master[[#This Row],[Received Date -received by site]], "MM/DD/YYYY")</f>
        <v>W6 59683 DONATED 09/27/2021</v>
      </c>
      <c r="C97" s="17" t="str">
        <f>IF(Master[[#This Row],[Cooperator (Donor) 1 -full record]]="","",Master[[#This Row],[Cooperator (Donor) 1 -full record]])</f>
        <v>Bureau of Land Management, SOS project</v>
      </c>
    </row>
    <row r="98" spans="2:3" x14ac:dyDescent="0.25">
      <c r="B98" t="str">
        <f>Master[[#This Row],[Accession Prefix (NPGS)]]&amp;" "&amp;Master[[#This Row],[Accession Number -Assigned]]&amp;" DONATED "&amp;TEXT(Master[[#This Row],[Received Date -received by site]], "MM/DD/YYYY")</f>
        <v>W6 59684 DONATED 09/27/2021</v>
      </c>
      <c r="C98" s="17" t="str">
        <f>IF(Master[[#This Row],[Cooperator (Donor) 1 -full record]]="","",Master[[#This Row],[Cooperator (Donor) 1 -full record]])</f>
        <v>Bureau of Land Management, SOS project</v>
      </c>
    </row>
    <row r="99" spans="2:3" x14ac:dyDescent="0.25">
      <c r="B99" t="str">
        <f>Master[[#This Row],[Accession Prefix (NPGS)]]&amp;" "&amp;Master[[#This Row],[Accession Number -Assigned]]&amp;" DONATED "&amp;TEXT(Master[[#This Row],[Received Date -received by site]], "MM/DD/YYYY")</f>
        <v>W6 59685 DONATED 09/27/2021</v>
      </c>
      <c r="C99" s="17" t="str">
        <f>IF(Master[[#This Row],[Cooperator (Donor) 1 -full record]]="","",Master[[#This Row],[Cooperator (Donor) 1 -full record]])</f>
        <v>Bureau of Land Management, SOS project</v>
      </c>
    </row>
    <row r="100" spans="2:3" x14ac:dyDescent="0.25">
      <c r="B100" t="str">
        <f>Master[[#This Row],[Accession Prefix (NPGS)]]&amp;" "&amp;Master[[#This Row],[Accession Number -Assigned]]&amp;" DONATED "&amp;TEXT(Master[[#This Row],[Received Date -received by site]], "MM/DD/YYYY")</f>
        <v>W6 59686 DONATED 09/27/2021</v>
      </c>
      <c r="C100" s="17" t="str">
        <f>IF(Master[[#This Row],[Cooperator (Donor) 1 -full record]]="","",Master[[#This Row],[Cooperator (Donor) 1 -full record]])</f>
        <v>Bureau of Land Management, SOS project</v>
      </c>
    </row>
    <row r="101" spans="2:3" x14ac:dyDescent="0.25">
      <c r="B101" t="str">
        <f>Master[[#This Row],[Accession Prefix (NPGS)]]&amp;" "&amp;Master[[#This Row],[Accession Number -Assigned]]&amp;" DONATED "&amp;TEXT(Master[[#This Row],[Received Date -received by site]], "MM/DD/YYYY")</f>
        <v>W6 59687 DONATED 09/27/2021</v>
      </c>
      <c r="C101" s="17" t="str">
        <f>IF(Master[[#This Row],[Cooperator (Donor) 1 -full record]]="","",Master[[#This Row],[Cooperator (Donor) 1 -full record]])</f>
        <v>Bureau of Land Management, SOS project</v>
      </c>
    </row>
    <row r="102" spans="2:3" x14ac:dyDescent="0.25">
      <c r="B102" t="str">
        <f>Master[[#This Row],[Accession Prefix (NPGS)]]&amp;" "&amp;Master[[#This Row],[Accession Number -Assigned]]&amp;" DONATED "&amp;TEXT(Master[[#This Row],[Received Date -received by site]], "MM/DD/YYYY")</f>
        <v>W6 59688 DONATED 09/27/2021</v>
      </c>
      <c r="C102" s="17" t="str">
        <f>IF(Master[[#This Row],[Cooperator (Donor) 1 -full record]]="","",Master[[#This Row],[Cooperator (Donor) 1 -full record]])</f>
        <v>Bureau of Land Management, SOS project</v>
      </c>
    </row>
    <row r="103" spans="2:3" x14ac:dyDescent="0.25">
      <c r="B103" t="str">
        <f>Master[[#This Row],[Accession Prefix (NPGS)]]&amp;" "&amp;Master[[#This Row],[Accession Number -Assigned]]&amp;" DONATED "&amp;TEXT(Master[[#This Row],[Received Date -received by site]], "MM/DD/YYYY")</f>
        <v>W6 59689 DONATED 09/27/2021</v>
      </c>
      <c r="C103" s="17" t="str">
        <f>IF(Master[[#This Row],[Cooperator (Donor) 1 -full record]]="","",Master[[#This Row],[Cooperator (Donor) 1 -full record]])</f>
        <v>Bureau of Land Management, SOS project</v>
      </c>
    </row>
    <row r="104" spans="2:3" x14ac:dyDescent="0.25">
      <c r="B104" t="str">
        <f>Master[[#This Row],[Accession Prefix (NPGS)]]&amp;" "&amp;Master[[#This Row],[Accession Number -Assigned]]&amp;" DONATED "&amp;TEXT(Master[[#This Row],[Received Date -received by site]], "MM/DD/YYYY")</f>
        <v>W6 59690 DONATED 09/27/2021</v>
      </c>
      <c r="C104" s="17" t="str">
        <f>IF(Master[[#This Row],[Cooperator (Donor) 1 -full record]]="","",Master[[#This Row],[Cooperator (Donor) 1 -full record]])</f>
        <v>Bureau of Land Management, SOS project</v>
      </c>
    </row>
    <row r="105" spans="2:3" x14ac:dyDescent="0.25">
      <c r="B105" t="str">
        <f>Master[[#This Row],[Accession Prefix (NPGS)]]&amp;" "&amp;Master[[#This Row],[Accession Number -Assigned]]&amp;" DONATED "&amp;TEXT(Master[[#This Row],[Received Date -received by site]], "MM/DD/YYYY")</f>
        <v>W6 59691 DONATED 09/27/2021</v>
      </c>
      <c r="C105" s="17" t="str">
        <f>IF(Master[[#This Row],[Cooperator (Donor) 1 -full record]]="","",Master[[#This Row],[Cooperator (Donor) 1 -full record]])</f>
        <v>Bureau of Land Management, SOS project</v>
      </c>
    </row>
    <row r="106" spans="2:3" x14ac:dyDescent="0.25">
      <c r="B106" t="str">
        <f>Master[[#This Row],[Accession Prefix (NPGS)]]&amp;" "&amp;Master[[#This Row],[Accession Number -Assigned]]&amp;" DONATED "&amp;TEXT(Master[[#This Row],[Received Date -received by site]], "MM/DD/YYYY")</f>
        <v>W6 59692 DONATED 09/27/2021</v>
      </c>
      <c r="C106" s="17" t="str">
        <f>IF(Master[[#This Row],[Cooperator (Donor) 1 -full record]]="","",Master[[#This Row],[Cooperator (Donor) 1 -full record]])</f>
        <v>Bureau of Land Management, SOS project</v>
      </c>
    </row>
    <row r="107" spans="2:3" x14ac:dyDescent="0.25">
      <c r="B107" t="str">
        <f>Master[[#This Row],[Accession Prefix (NPGS)]]&amp;" "&amp;Master[[#This Row],[Accession Number -Assigned]]&amp;" DONATED "&amp;TEXT(Master[[#This Row],[Received Date -received by site]], "MM/DD/YYYY")</f>
        <v>W6 59693 DONATED 09/27/2021</v>
      </c>
      <c r="C107" s="17" t="str">
        <f>IF(Master[[#This Row],[Cooperator (Donor) 1 -full record]]="","",Master[[#This Row],[Cooperator (Donor) 1 -full record]])</f>
        <v>Bureau of Land Management, SOS project</v>
      </c>
    </row>
    <row r="108" spans="2:3" x14ac:dyDescent="0.25">
      <c r="B108" t="str">
        <f>Master[[#This Row],[Accession Prefix (NPGS)]]&amp;" "&amp;Master[[#This Row],[Accession Number -Assigned]]&amp;" DONATED "&amp;TEXT(Master[[#This Row],[Received Date -received by site]], "MM/DD/YYYY")</f>
        <v>W6 59694 DONATED 09/27/2021</v>
      </c>
      <c r="C108" s="17" t="str">
        <f>IF(Master[[#This Row],[Cooperator (Donor) 1 -full record]]="","",Master[[#This Row],[Cooperator (Donor) 1 -full record]])</f>
        <v>Bureau of Land Management, SOS project</v>
      </c>
    </row>
    <row r="109" spans="2:3" x14ac:dyDescent="0.25">
      <c r="B109" t="str">
        <f>Master[[#This Row],[Accession Prefix (NPGS)]]&amp;" "&amp;Master[[#This Row],[Accession Number -Assigned]]&amp;" DONATED "&amp;TEXT(Master[[#This Row],[Received Date -received by site]], "MM/DD/YYYY")</f>
        <v>W6 59695 DONATED 09/27/2021</v>
      </c>
      <c r="C109" s="17" t="str">
        <f>IF(Master[[#This Row],[Cooperator (Donor) 1 -full record]]="","",Master[[#This Row],[Cooperator (Donor) 1 -full record]])</f>
        <v>Bureau of Land Management, SOS project</v>
      </c>
    </row>
    <row r="110" spans="2:3" x14ac:dyDescent="0.25">
      <c r="B110" t="str">
        <f>Master[[#This Row],[Accession Prefix (NPGS)]]&amp;" "&amp;Master[[#This Row],[Accession Number -Assigned]]&amp;" DONATED "&amp;TEXT(Master[[#This Row],[Received Date -received by site]], "MM/DD/YYYY")</f>
        <v>W6 59696 DONATED 09/27/2021</v>
      </c>
      <c r="C110" s="17" t="str">
        <f>IF(Master[[#This Row],[Cooperator (Donor) 1 -full record]]="","",Master[[#This Row],[Cooperator (Donor) 1 -full record]])</f>
        <v>Bureau of Land Management, SOS project</v>
      </c>
    </row>
    <row r="111" spans="2:3" x14ac:dyDescent="0.25">
      <c r="B111" t="str">
        <f>Master[[#This Row],[Accession Prefix (NPGS)]]&amp;" "&amp;Master[[#This Row],[Accession Number -Assigned]]&amp;" DONATED "&amp;TEXT(Master[[#This Row],[Received Date -received by site]], "MM/DD/YYYY")</f>
        <v>W6 59697 DONATED 09/27/2021</v>
      </c>
      <c r="C111" s="17" t="str">
        <f>IF(Master[[#This Row],[Cooperator (Donor) 1 -full record]]="","",Master[[#This Row],[Cooperator (Donor) 1 -full record]])</f>
        <v>Bureau of Land Management, SOS project</v>
      </c>
    </row>
    <row r="112" spans="2:3" x14ac:dyDescent="0.25">
      <c r="B112" t="str">
        <f>Master[[#This Row],[Accession Prefix (NPGS)]]&amp;" "&amp;Master[[#This Row],[Accession Number -Assigned]]&amp;" DONATED "&amp;TEXT(Master[[#This Row],[Received Date -received by site]], "MM/DD/YYYY")</f>
        <v>W6 59698 DONATED 09/27/2021</v>
      </c>
      <c r="C112" s="17" t="str">
        <f>IF(Master[[#This Row],[Cooperator (Donor) 1 -full record]]="","",Master[[#This Row],[Cooperator (Donor) 1 -full record]])</f>
        <v>Bureau of Land Management, SOS project</v>
      </c>
    </row>
    <row r="113" spans="2:3" x14ac:dyDescent="0.25">
      <c r="B113" t="str">
        <f>Master[[#This Row],[Accession Prefix (NPGS)]]&amp;" "&amp;Master[[#This Row],[Accession Number -Assigned]]&amp;" DONATED "&amp;TEXT(Master[[#This Row],[Received Date -received by site]], "MM/DD/YYYY")</f>
        <v>W6 59699 DONATED 09/27/2021</v>
      </c>
      <c r="C113" s="17" t="str">
        <f>IF(Master[[#This Row],[Cooperator (Donor) 1 -full record]]="","",Master[[#This Row],[Cooperator (Donor) 1 -full record]])</f>
        <v>Bureau of Land Management, SOS project</v>
      </c>
    </row>
    <row r="114" spans="2:3" x14ac:dyDescent="0.25">
      <c r="B114" t="str">
        <f>Master[[#This Row],[Accession Prefix (NPGS)]]&amp;" "&amp;Master[[#This Row],[Accession Number -Assigned]]&amp;" DONATED "&amp;TEXT(Master[[#This Row],[Received Date -received by site]], "MM/DD/YYYY")</f>
        <v>W6 59700 DONATED 09/27/2021</v>
      </c>
      <c r="C114" s="17" t="str">
        <f>IF(Master[[#This Row],[Cooperator (Donor) 1 -full record]]="","",Master[[#This Row],[Cooperator (Donor) 1 -full record]])</f>
        <v>Bureau of Land Management, SOS project</v>
      </c>
    </row>
    <row r="115" spans="2:3" x14ac:dyDescent="0.25">
      <c r="B115" t="str">
        <f>Master[[#This Row],[Accession Prefix (NPGS)]]&amp;" "&amp;Master[[#This Row],[Accession Number -Assigned]]&amp;" DONATED "&amp;TEXT(Master[[#This Row],[Received Date -received by site]], "MM/DD/YYYY")</f>
        <v>W6 59701 DONATED 09/27/2021</v>
      </c>
      <c r="C115" s="17" t="str">
        <f>IF(Master[[#This Row],[Cooperator (Donor) 1 -full record]]="","",Master[[#This Row],[Cooperator (Donor) 1 -full record]])</f>
        <v>Bureau of Land Management, SOS project</v>
      </c>
    </row>
    <row r="116" spans="2:3" x14ac:dyDescent="0.25">
      <c r="B116" t="str">
        <f>Master[[#This Row],[Accession Prefix (NPGS)]]&amp;" "&amp;Master[[#This Row],[Accession Number -Assigned]]&amp;" DONATED "&amp;TEXT(Master[[#This Row],[Received Date -received by site]], "MM/DD/YYYY")</f>
        <v>W6 59702 DONATED 09/27/2021</v>
      </c>
      <c r="C116" s="17" t="str">
        <f>IF(Master[[#This Row],[Cooperator (Donor) 1 -full record]]="","",Master[[#This Row],[Cooperator (Donor) 1 -full record]])</f>
        <v>Bureau of Land Management, SOS project</v>
      </c>
    </row>
    <row r="117" spans="2:3" x14ac:dyDescent="0.25">
      <c r="B117" t="str">
        <f>Master[[#This Row],[Accession Prefix (NPGS)]]&amp;" "&amp;Master[[#This Row],[Accession Number -Assigned]]&amp;" DONATED "&amp;TEXT(Master[[#This Row],[Received Date -received by site]], "MM/DD/YYYY")</f>
        <v>W6 59703 DONATED 09/27/2021</v>
      </c>
      <c r="C117" s="17" t="str">
        <f>IF(Master[[#This Row],[Cooperator (Donor) 1 -full record]]="","",Master[[#This Row],[Cooperator (Donor) 1 -full record]])</f>
        <v>Bureau of Land Management, SOS project</v>
      </c>
    </row>
    <row r="118" spans="2:3" x14ac:dyDescent="0.25">
      <c r="B118" t="str">
        <f>Master[[#This Row],[Accession Prefix (NPGS)]]&amp;" "&amp;Master[[#This Row],[Accession Number -Assigned]]&amp;" DONATED "&amp;TEXT(Master[[#This Row],[Received Date -received by site]], "MM/DD/YYYY")</f>
        <v>W6 59704 DONATED 09/27/2021</v>
      </c>
      <c r="C118" s="17" t="str">
        <f>IF(Master[[#This Row],[Cooperator (Donor) 1 -full record]]="","",Master[[#This Row],[Cooperator (Donor) 1 -full record]])</f>
        <v>Bureau of Land Management, SOS project</v>
      </c>
    </row>
    <row r="119" spans="2:3" x14ac:dyDescent="0.25">
      <c r="B119" t="str">
        <f>Master[[#This Row],[Accession Prefix (NPGS)]]&amp;" "&amp;Master[[#This Row],[Accession Number -Assigned]]&amp;" DONATED "&amp;TEXT(Master[[#This Row],[Received Date -received by site]], "MM/DD/YYYY")</f>
        <v>W6 59705 DONATED 09/27/2021</v>
      </c>
      <c r="C119" s="17" t="str">
        <f>IF(Master[[#This Row],[Cooperator (Donor) 1 -full record]]="","",Master[[#This Row],[Cooperator (Donor) 1 -full record]])</f>
        <v>Bureau of Land Management, SOS project</v>
      </c>
    </row>
    <row r="120" spans="2:3" x14ac:dyDescent="0.25">
      <c r="B120" t="str">
        <f>Master[[#This Row],[Accession Prefix (NPGS)]]&amp;" "&amp;Master[[#This Row],[Accession Number -Assigned]]&amp;" DONATED "&amp;TEXT(Master[[#This Row],[Received Date -received by site]], "MM/DD/YYYY")</f>
        <v>W6 59706 DONATED 09/27/2021</v>
      </c>
      <c r="C120" s="17" t="str">
        <f>IF(Master[[#This Row],[Cooperator (Donor) 1 -full record]]="","",Master[[#This Row],[Cooperator (Donor) 1 -full record]])</f>
        <v>Bureau of Land Management, SOS project</v>
      </c>
    </row>
    <row r="121" spans="2:3" x14ac:dyDescent="0.25">
      <c r="B121" t="str">
        <f>Master[[#This Row],[Accession Prefix (NPGS)]]&amp;" "&amp;Master[[#This Row],[Accession Number -Assigned]]&amp;" DONATED "&amp;TEXT(Master[[#This Row],[Received Date -received by site]], "MM/DD/YYYY")</f>
        <v>W6 59707 DONATED 09/27/2021</v>
      </c>
      <c r="C121" s="17" t="str">
        <f>IF(Master[[#This Row],[Cooperator (Donor) 1 -full record]]="","",Master[[#This Row],[Cooperator (Donor) 1 -full record]])</f>
        <v>Bureau of Land Management, SOS project</v>
      </c>
    </row>
    <row r="122" spans="2:3" x14ac:dyDescent="0.25">
      <c r="B122" t="str">
        <f>Master[[#This Row],[Accession Prefix (NPGS)]]&amp;" "&amp;Master[[#This Row],[Accession Number -Assigned]]&amp;" DONATED "&amp;TEXT(Master[[#This Row],[Received Date -received by site]], "MM/DD/YYYY")</f>
        <v>W6 59708 DONATED 09/27/2021</v>
      </c>
      <c r="C122" s="17" t="str">
        <f>IF(Master[[#This Row],[Cooperator (Donor) 1 -full record]]="","",Master[[#This Row],[Cooperator (Donor) 1 -full record]])</f>
        <v>Bureau of Land Management, SOS project</v>
      </c>
    </row>
    <row r="123" spans="2:3" x14ac:dyDescent="0.25">
      <c r="B123" t="str">
        <f>Master[[#This Row],[Accession Prefix (NPGS)]]&amp;" "&amp;Master[[#This Row],[Accession Number -Assigned]]&amp;" DONATED "&amp;TEXT(Master[[#This Row],[Received Date -received by site]], "MM/DD/YYYY")</f>
        <v>W6 59709 DONATED 09/27/2021</v>
      </c>
      <c r="C123" s="17" t="str">
        <f>IF(Master[[#This Row],[Cooperator (Donor) 1 -full record]]="","",Master[[#This Row],[Cooperator (Donor) 1 -full record]])</f>
        <v>Bureau of Land Management, SOS project</v>
      </c>
    </row>
    <row r="124" spans="2:3" x14ac:dyDescent="0.25">
      <c r="B124" t="str">
        <f>Master[[#This Row],[Accession Prefix (NPGS)]]&amp;" "&amp;Master[[#This Row],[Accession Number -Assigned]]&amp;" DONATED "&amp;TEXT(Master[[#This Row],[Received Date -received by site]], "MM/DD/YYYY")</f>
        <v>W6 59710 DONATED 09/27/2021</v>
      </c>
      <c r="C124" s="17" t="str">
        <f>IF(Master[[#This Row],[Cooperator (Donor) 1 -full record]]="","",Master[[#This Row],[Cooperator (Donor) 1 -full record]])</f>
        <v>Bureau of Land Management, SOS project</v>
      </c>
    </row>
    <row r="125" spans="2:3" x14ac:dyDescent="0.25">
      <c r="B125" t="str">
        <f>Master[[#This Row],[Accession Prefix (NPGS)]]&amp;" "&amp;Master[[#This Row],[Accession Number -Assigned]]&amp;" DONATED "&amp;TEXT(Master[[#This Row],[Received Date -received by site]], "MM/DD/YYYY")</f>
        <v>W6 59711 DONATED 09/27/2021</v>
      </c>
      <c r="C125" s="17" t="str">
        <f>IF(Master[[#This Row],[Cooperator (Donor) 1 -full record]]="","",Master[[#This Row],[Cooperator (Donor) 1 -full record]])</f>
        <v>Bureau of Land Management, SOS project</v>
      </c>
    </row>
    <row r="126" spans="2:3" x14ac:dyDescent="0.25">
      <c r="B126" t="str">
        <f>Master[[#This Row],[Accession Prefix (NPGS)]]&amp;" "&amp;Master[[#This Row],[Accession Number -Assigned]]&amp;" DONATED "&amp;TEXT(Master[[#This Row],[Received Date -received by site]], "MM/DD/YYYY")</f>
        <v>W6 59712 DONATED 09/27/2021</v>
      </c>
      <c r="C126" s="17" t="str">
        <f>IF(Master[[#This Row],[Cooperator (Donor) 1 -full record]]="","",Master[[#This Row],[Cooperator (Donor) 1 -full record]])</f>
        <v>Bureau of Land Management, SOS project</v>
      </c>
    </row>
    <row r="127" spans="2:3" x14ac:dyDescent="0.25">
      <c r="B127" t="str">
        <f>Master[[#This Row],[Accession Prefix (NPGS)]]&amp;" "&amp;Master[[#This Row],[Accession Number -Assigned]]&amp;" DONATED "&amp;TEXT(Master[[#This Row],[Received Date -received by site]], "MM/DD/YYYY")</f>
        <v>W6 59713 DONATED 09/27/2021</v>
      </c>
      <c r="C127" s="17" t="str">
        <f>IF(Master[[#This Row],[Cooperator (Donor) 1 -full record]]="","",Master[[#This Row],[Cooperator (Donor) 1 -full record]])</f>
        <v>Bureau of Land Management, SOS project</v>
      </c>
    </row>
    <row r="128" spans="2:3" x14ac:dyDescent="0.25">
      <c r="B128" t="str">
        <f>Master[[#This Row],[Accession Prefix (NPGS)]]&amp;" "&amp;Master[[#This Row],[Accession Number -Assigned]]&amp;" DONATED "&amp;TEXT(Master[[#This Row],[Received Date -received by site]], "MM/DD/YYYY")</f>
        <v>W6 59714 DONATED 09/27/2021</v>
      </c>
      <c r="C128" s="17" t="str">
        <f>IF(Master[[#This Row],[Cooperator (Donor) 1 -full record]]="","",Master[[#This Row],[Cooperator (Donor) 1 -full record]])</f>
        <v>Bureau of Land Management, SOS project</v>
      </c>
    </row>
    <row r="129" spans="2:3" x14ac:dyDescent="0.25">
      <c r="B129" t="str">
        <f>Master[[#This Row],[Accession Prefix (NPGS)]]&amp;" "&amp;Master[[#This Row],[Accession Number -Assigned]]&amp;" DONATED "&amp;TEXT(Master[[#This Row],[Received Date -received by site]], "MM/DD/YYYY")</f>
        <v>W6 59715 DONATED 09/27/2021</v>
      </c>
      <c r="C129" s="17" t="str">
        <f>IF(Master[[#This Row],[Cooperator (Donor) 1 -full record]]="","",Master[[#This Row],[Cooperator (Donor) 1 -full record]])</f>
        <v>Bureau of Land Management, SOS project</v>
      </c>
    </row>
    <row r="130" spans="2:3" x14ac:dyDescent="0.25">
      <c r="B130" t="str">
        <f>Master[[#This Row],[Accession Prefix (NPGS)]]&amp;" "&amp;Master[[#This Row],[Accession Number -Assigned]]&amp;" DONATED "&amp;TEXT(Master[[#This Row],[Received Date -received by site]], "MM/DD/YYYY")</f>
        <v>W6 59716 DONATED 09/27/2021</v>
      </c>
      <c r="C130" s="17" t="str">
        <f>IF(Master[[#This Row],[Cooperator (Donor) 1 -full record]]="","",Master[[#This Row],[Cooperator (Donor) 1 -full record]])</f>
        <v>Bureau of Land Management, SOS project</v>
      </c>
    </row>
    <row r="131" spans="2:3" x14ac:dyDescent="0.25">
      <c r="B131" t="str">
        <f>Master[[#This Row],[Accession Prefix (NPGS)]]&amp;" "&amp;Master[[#This Row],[Accession Number -Assigned]]&amp;" DONATED "&amp;TEXT(Master[[#This Row],[Received Date -received by site]], "MM/DD/YYYY")</f>
        <v>W6 59717 DONATED 09/27/2021</v>
      </c>
      <c r="C131" s="17" t="str">
        <f>IF(Master[[#This Row],[Cooperator (Donor) 1 -full record]]="","",Master[[#This Row],[Cooperator (Donor) 1 -full record]])</f>
        <v>Bureau of Land Management, SOS project</v>
      </c>
    </row>
    <row r="132" spans="2:3" x14ac:dyDescent="0.25">
      <c r="B132" t="str">
        <f>Master[[#This Row],[Accession Prefix (NPGS)]]&amp;" "&amp;Master[[#This Row],[Accession Number -Assigned]]&amp;" DONATED "&amp;TEXT(Master[[#This Row],[Received Date -received by site]], "MM/DD/YYYY")</f>
        <v>W6 59718 DONATED 09/27/2021</v>
      </c>
      <c r="C132" s="17" t="str">
        <f>IF(Master[[#This Row],[Cooperator (Donor) 1 -full record]]="","",Master[[#This Row],[Cooperator (Donor) 1 -full record]])</f>
        <v>Bureau of Land Management, SOS project</v>
      </c>
    </row>
    <row r="133" spans="2:3" x14ac:dyDescent="0.25">
      <c r="B133" t="str">
        <f>Master[[#This Row],[Accession Prefix (NPGS)]]&amp;" "&amp;Master[[#This Row],[Accession Number -Assigned]]&amp;" DONATED "&amp;TEXT(Master[[#This Row],[Received Date -received by site]], "MM/DD/YYYY")</f>
        <v>W6 59719 DONATED 09/27/2021</v>
      </c>
      <c r="C133" s="17" t="str">
        <f>IF(Master[[#This Row],[Cooperator (Donor) 1 -full record]]="","",Master[[#This Row],[Cooperator (Donor) 1 -full record]])</f>
        <v>Bureau of Land Management, SOS project</v>
      </c>
    </row>
    <row r="134" spans="2:3" x14ac:dyDescent="0.25">
      <c r="B134" t="str">
        <f>Master[[#This Row],[Accession Prefix (NPGS)]]&amp;" "&amp;Master[[#This Row],[Accession Number -Assigned]]&amp;" DONATED "&amp;TEXT(Master[[#This Row],[Received Date -received by site]], "MM/DD/YYYY")</f>
        <v>W6 59720 DONATED 09/27/2021</v>
      </c>
      <c r="C134" s="17" t="str">
        <f>IF(Master[[#This Row],[Cooperator (Donor) 1 -full record]]="","",Master[[#This Row],[Cooperator (Donor) 1 -full record]])</f>
        <v>Bureau of Land Management, SOS project</v>
      </c>
    </row>
    <row r="135" spans="2:3" x14ac:dyDescent="0.25">
      <c r="B135" t="str">
        <f>Master[[#This Row],[Accession Prefix (NPGS)]]&amp;" "&amp;Master[[#This Row],[Accession Number -Assigned]]&amp;" DONATED "&amp;TEXT(Master[[#This Row],[Received Date -received by site]], "MM/DD/YYYY")</f>
        <v>W6 59721 DONATED 09/27/2021</v>
      </c>
      <c r="C135" s="17" t="str">
        <f>IF(Master[[#This Row],[Cooperator (Donor) 1 -full record]]="","",Master[[#This Row],[Cooperator (Donor) 1 -full record]])</f>
        <v>Bureau of Land Management, SOS project</v>
      </c>
    </row>
    <row r="136" spans="2:3" x14ac:dyDescent="0.25">
      <c r="B136" t="str">
        <f>Master[[#This Row],[Accession Prefix (NPGS)]]&amp;" "&amp;Master[[#This Row],[Accession Number -Assigned]]&amp;" DONATED "&amp;TEXT(Master[[#This Row],[Received Date -received by site]], "MM/DD/YYYY")</f>
        <v>W6 59722 DONATED 09/27/2021</v>
      </c>
      <c r="C136" s="17" t="str">
        <f>IF(Master[[#This Row],[Cooperator (Donor) 1 -full record]]="","",Master[[#This Row],[Cooperator (Donor) 1 -full record]])</f>
        <v>Bureau of Land Management, SOS project</v>
      </c>
    </row>
    <row r="137" spans="2:3" x14ac:dyDescent="0.25">
      <c r="B137" t="str">
        <f>Master[[#This Row],[Accession Prefix (NPGS)]]&amp;" "&amp;Master[[#This Row],[Accession Number -Assigned]]&amp;" DONATED "&amp;TEXT(Master[[#This Row],[Received Date -received by site]], "MM/DD/YYYY")</f>
        <v>W6 59723 DONATED 09/27/2021</v>
      </c>
      <c r="C137" s="17" t="str">
        <f>IF(Master[[#This Row],[Cooperator (Donor) 1 -full record]]="","",Master[[#This Row],[Cooperator (Donor) 1 -full record]])</f>
        <v>Bureau of Land Management, SOS project</v>
      </c>
    </row>
    <row r="138" spans="2:3" x14ac:dyDescent="0.25">
      <c r="B138" t="str">
        <f>Master[[#This Row],[Accession Prefix (NPGS)]]&amp;" "&amp;Master[[#This Row],[Accession Number -Assigned]]&amp;" DONATED "&amp;TEXT(Master[[#This Row],[Received Date -received by site]], "MM/DD/YYYY")</f>
        <v>W6 59724 DONATED 09/27/2021</v>
      </c>
      <c r="C138" s="17" t="str">
        <f>IF(Master[[#This Row],[Cooperator (Donor) 1 -full record]]="","",Master[[#This Row],[Cooperator (Donor) 1 -full record]])</f>
        <v>Bureau of Land Management, SOS project</v>
      </c>
    </row>
    <row r="139" spans="2:3" x14ac:dyDescent="0.25">
      <c r="B139" t="str">
        <f>Master[[#This Row],[Accession Prefix (NPGS)]]&amp;" "&amp;Master[[#This Row],[Accession Number -Assigned]]&amp;" DONATED "&amp;TEXT(Master[[#This Row],[Received Date -received by site]], "MM/DD/YYYY")</f>
        <v>W6 59725 DONATED 09/27/2021</v>
      </c>
      <c r="C139" s="17" t="str">
        <f>IF(Master[[#This Row],[Cooperator (Donor) 1 -full record]]="","",Master[[#This Row],[Cooperator (Donor) 1 -full record]])</f>
        <v>Bureau of Land Management, SOS project</v>
      </c>
    </row>
    <row r="140" spans="2:3" x14ac:dyDescent="0.25">
      <c r="B140" t="str">
        <f>Master[[#This Row],[Accession Prefix (NPGS)]]&amp;" "&amp;Master[[#This Row],[Accession Number -Assigned]]&amp;" DONATED "&amp;TEXT(Master[[#This Row],[Received Date -received by site]], "MM/DD/YYYY")</f>
        <v>W6 59726 DONATED 09/27/2021</v>
      </c>
      <c r="C140" s="17" t="str">
        <f>IF(Master[[#This Row],[Cooperator (Donor) 1 -full record]]="","",Master[[#This Row],[Cooperator (Donor) 1 -full record]])</f>
        <v>Bureau of Land Management, SOS project</v>
      </c>
    </row>
    <row r="141" spans="2:3" x14ac:dyDescent="0.25">
      <c r="B141" t="str">
        <f>Master[[#This Row],[Accession Prefix (NPGS)]]&amp;" "&amp;Master[[#This Row],[Accession Number -Assigned]]&amp;" DONATED "&amp;TEXT(Master[[#This Row],[Received Date -received by site]], "MM/DD/YYYY")</f>
        <v>W6 59727 DONATED 09/27/2021</v>
      </c>
      <c r="C141" s="17" t="str">
        <f>IF(Master[[#This Row],[Cooperator (Donor) 1 -full record]]="","",Master[[#This Row],[Cooperator (Donor) 1 -full record]])</f>
        <v>Bureau of Land Management, SOS project</v>
      </c>
    </row>
    <row r="142" spans="2:3" x14ac:dyDescent="0.25">
      <c r="B142" t="str">
        <f>Master[[#This Row],[Accession Prefix (NPGS)]]&amp;" "&amp;Master[[#This Row],[Accession Number -Assigned]]&amp;" DONATED "&amp;TEXT(Master[[#This Row],[Received Date -received by site]], "MM/DD/YYYY")</f>
        <v>W6 59728 DONATED 09/27/2021</v>
      </c>
      <c r="C142" s="17" t="str">
        <f>IF(Master[[#This Row],[Cooperator (Donor) 1 -full record]]="","",Master[[#This Row],[Cooperator (Donor) 1 -full record]])</f>
        <v>Bureau of Land Management, SOS project</v>
      </c>
    </row>
    <row r="143" spans="2:3" x14ac:dyDescent="0.25">
      <c r="B143" t="str">
        <f>Master[[#This Row],[Accession Prefix (NPGS)]]&amp;" "&amp;Master[[#This Row],[Accession Number -Assigned]]&amp;" DONATED "&amp;TEXT(Master[[#This Row],[Received Date -received by site]], "MM/DD/YYYY")</f>
        <v>W6 59729 DONATED 09/27/2021</v>
      </c>
      <c r="C143" s="17" t="str">
        <f>IF(Master[[#This Row],[Cooperator (Donor) 1 -full record]]="","",Master[[#This Row],[Cooperator (Donor) 1 -full record]])</f>
        <v>Bureau of Land Management, SOS project</v>
      </c>
    </row>
    <row r="144" spans="2:3" x14ac:dyDescent="0.25">
      <c r="B144" t="str">
        <f>Master[[#This Row],[Accession Prefix (NPGS)]]&amp;" "&amp;Master[[#This Row],[Accession Number -Assigned]]&amp;" DONATED "&amp;TEXT(Master[[#This Row],[Received Date -received by site]], "MM/DD/YYYY")</f>
        <v>W6 59730 DONATED 09/27/2021</v>
      </c>
      <c r="C144" s="17" t="str">
        <f>IF(Master[[#This Row],[Cooperator (Donor) 1 -full record]]="","",Master[[#This Row],[Cooperator (Donor) 1 -full record]])</f>
        <v>Bureau of Land Management, SOS project</v>
      </c>
    </row>
    <row r="145" spans="2:3" x14ac:dyDescent="0.25">
      <c r="B145" t="str">
        <f>Master[[#This Row],[Accession Prefix (NPGS)]]&amp;" "&amp;Master[[#This Row],[Accession Number -Assigned]]&amp;" DONATED "&amp;TEXT(Master[[#This Row],[Received Date -received by site]], "MM/DD/YYYY")</f>
        <v>W6 59731 DONATED 09/27/2021</v>
      </c>
      <c r="C145" s="17" t="str">
        <f>IF(Master[[#This Row],[Cooperator (Donor) 1 -full record]]="","",Master[[#This Row],[Cooperator (Donor) 1 -full record]])</f>
        <v>Bureau of Land Management, SOS project</v>
      </c>
    </row>
    <row r="146" spans="2:3" x14ac:dyDescent="0.25">
      <c r="B146" t="str">
        <f>Master[[#This Row],[Accession Prefix (NPGS)]]&amp;" "&amp;Master[[#This Row],[Accession Number -Assigned]]&amp;" DONATED "&amp;TEXT(Master[[#This Row],[Received Date -received by site]], "MM/DD/YYYY")</f>
        <v>W6 59732 DONATED 09/27/2021</v>
      </c>
      <c r="C146" s="17" t="str">
        <f>IF(Master[[#This Row],[Cooperator (Donor) 1 -full record]]="","",Master[[#This Row],[Cooperator (Donor) 1 -full record]])</f>
        <v>Bureau of Land Management, SOS project</v>
      </c>
    </row>
    <row r="147" spans="2:3" x14ac:dyDescent="0.25">
      <c r="B147" t="str">
        <f>Master[[#This Row],[Accession Prefix (NPGS)]]&amp;" "&amp;Master[[#This Row],[Accession Number -Assigned]]&amp;" DONATED "&amp;TEXT(Master[[#This Row],[Received Date -received by site]], "MM/DD/YYYY")</f>
        <v>W6 59733 DONATED 09/27/2021</v>
      </c>
      <c r="C147" s="17" t="str">
        <f>IF(Master[[#This Row],[Cooperator (Donor) 1 -full record]]="","",Master[[#This Row],[Cooperator (Donor) 1 -full record]])</f>
        <v>Bureau of Land Management, SOS project</v>
      </c>
    </row>
    <row r="148" spans="2:3" x14ac:dyDescent="0.25">
      <c r="B148" t="str">
        <f>Master[[#This Row],[Accession Prefix (NPGS)]]&amp;" "&amp;Master[[#This Row],[Accession Number -Assigned]]&amp;" DONATED "&amp;TEXT(Master[[#This Row],[Received Date -received by site]], "MM/DD/YYYY")</f>
        <v>W6 59734 DONATED 09/27/2021</v>
      </c>
      <c r="C148" s="17" t="str">
        <f>IF(Master[[#This Row],[Cooperator (Donor) 1 -full record]]="","",Master[[#This Row],[Cooperator (Donor) 1 -full record]])</f>
        <v>Bureau of Land Management, SOS project</v>
      </c>
    </row>
    <row r="149" spans="2:3" x14ac:dyDescent="0.25">
      <c r="B149" t="str">
        <f>Master[[#This Row],[Accession Prefix (NPGS)]]&amp;" "&amp;Master[[#This Row],[Accession Number -Assigned]]&amp;" DONATED "&amp;TEXT(Master[[#This Row],[Received Date -received by site]], "MM/DD/YYYY")</f>
        <v>W6 59735 DONATED 09/27/2021</v>
      </c>
      <c r="C149" s="17" t="str">
        <f>IF(Master[[#This Row],[Cooperator (Donor) 1 -full record]]="","",Master[[#This Row],[Cooperator (Donor) 1 -full record]])</f>
        <v>Bureau of Land Management, SOS project</v>
      </c>
    </row>
    <row r="150" spans="2:3" x14ac:dyDescent="0.25">
      <c r="B150" t="str">
        <f>Master[[#This Row],[Accession Prefix (NPGS)]]&amp;" "&amp;Master[[#This Row],[Accession Number -Assigned]]&amp;" DONATED "&amp;TEXT(Master[[#This Row],[Received Date -received by site]], "MM/DD/YYYY")</f>
        <v>W6 59736 DONATED 09/27/2021</v>
      </c>
      <c r="C150" s="17" t="str">
        <f>IF(Master[[#This Row],[Cooperator (Donor) 1 -full record]]="","",Master[[#This Row],[Cooperator (Donor) 1 -full record]])</f>
        <v>Bureau of Land Management, SOS project</v>
      </c>
    </row>
    <row r="151" spans="2:3" x14ac:dyDescent="0.25">
      <c r="B151" t="str">
        <f>Master[[#This Row],[Accession Prefix (NPGS)]]&amp;" "&amp;Master[[#This Row],[Accession Number -Assigned]]&amp;" DONATED "&amp;TEXT(Master[[#This Row],[Received Date -received by site]], "MM/DD/YYYY")</f>
        <v>W6 59737 DONATED 09/27/2021</v>
      </c>
      <c r="C151" s="17" t="str">
        <f>IF(Master[[#This Row],[Cooperator (Donor) 1 -full record]]="","",Master[[#This Row],[Cooperator (Donor) 1 -full record]])</f>
        <v>Bureau of Land Management, SOS project</v>
      </c>
    </row>
    <row r="152" spans="2:3" x14ac:dyDescent="0.25">
      <c r="B152" t="str">
        <f>Master[[#This Row],[Accession Prefix (NPGS)]]&amp;" "&amp;Master[[#This Row],[Accession Number -Assigned]]&amp;" DONATED "&amp;TEXT(Master[[#This Row],[Received Date -received by site]], "MM/DD/YYYY")</f>
        <v xml:space="preserve">  DONATED 01/00/1900</v>
      </c>
      <c r="C152" s="17" t="str">
        <f>IF(Master[[#This Row],[Cooperator (Donor) 1 -full record]]="","",Master[[#This Row],[Cooperator (Donor) 1 -full record]])</f>
        <v/>
      </c>
    </row>
    <row r="153" spans="2:3" x14ac:dyDescent="0.25">
      <c r="B153" t="str">
        <f>Master[[#This Row],[Accession Prefix (NPGS)]]&amp;" "&amp;Master[[#This Row],[Accession Number -Assigned]]&amp;" DONATED "&amp;TEXT(Master[[#This Row],[Received Date -received by site]], "MM/DD/YYYY")</f>
        <v xml:space="preserve">  DONATED 01/00/1900</v>
      </c>
      <c r="C153" s="17" t="str">
        <f>IF(Master[[#This Row],[Cooperator (Donor) 1 -full record]]="","",Master[[#This Row],[Cooperator (Donor) 1 -full record]])</f>
        <v/>
      </c>
    </row>
    <row r="154" spans="2:3" x14ac:dyDescent="0.25">
      <c r="B154" t="str">
        <f>Master[[#This Row],[Accession Prefix (NPGS)]]&amp;" "&amp;Master[[#This Row],[Accession Number -Assigned]]&amp;" DONATED "&amp;TEXT(Master[[#This Row],[Received Date -received by site]], "MM/DD/YYYY")</f>
        <v xml:space="preserve">  DONATED 01/00/1900</v>
      </c>
      <c r="C154" s="17" t="str">
        <f>IF(Master[[#This Row],[Cooperator (Donor) 1 -full record]]="","",Master[[#This Row],[Cooperator (Donor) 1 -full record]])</f>
        <v/>
      </c>
    </row>
    <row r="155" spans="2:3" x14ac:dyDescent="0.25">
      <c r="B155" t="str">
        <f>Master[[#This Row],[Accession Prefix (NPGS)]]&amp;" "&amp;Master[[#This Row],[Accession Number -Assigned]]&amp;" DONATED "&amp;TEXT(Master[[#This Row],[Received Date -received by site]], "MM/DD/YYYY")</f>
        <v xml:space="preserve">  DONATED 01/00/1900</v>
      </c>
      <c r="C155" s="17" t="str">
        <f>IF(Master[[#This Row],[Cooperator (Donor) 1 -full record]]="","",Master[[#This Row],[Cooperator (Donor) 1 -full record]])</f>
        <v/>
      </c>
    </row>
    <row r="156" spans="2:3" x14ac:dyDescent="0.25">
      <c r="B156" t="str">
        <f>Master[[#This Row],[Accession Prefix (NPGS)]]&amp;" "&amp;Master[[#This Row],[Accession Number -Assigned]]&amp;" DONATED "&amp;TEXT(Master[[#This Row],[Received Date -received by site]], "MM/DD/YYYY")</f>
        <v xml:space="preserve">  DONATED 01/00/1900</v>
      </c>
      <c r="C156" s="17" t="str">
        <f>IF(Master[[#This Row],[Cooperator (Donor) 1 -full record]]="","",Master[[#This Row],[Cooperator (Donor) 1 -full record]])</f>
        <v/>
      </c>
    </row>
    <row r="157" spans="2:3" x14ac:dyDescent="0.25">
      <c r="B157" t="str">
        <f>Master[[#This Row],[Accession Prefix (NPGS)]]&amp;" "&amp;Master[[#This Row],[Accession Number -Assigned]]&amp;" DONATED "&amp;TEXT(Master[[#This Row],[Received Date -received by site]], "MM/DD/YYYY")</f>
        <v xml:space="preserve">  DONATED 01/00/1900</v>
      </c>
      <c r="C157" s="17" t="str">
        <f>IF(Master[[#This Row],[Cooperator (Donor) 1 -full record]]="","",Master[[#This Row],[Cooperator (Donor) 1 -full record]])</f>
        <v/>
      </c>
    </row>
    <row r="158" spans="2:3" x14ac:dyDescent="0.25">
      <c r="B158" t="str">
        <f>Master[[#This Row],[Accession Prefix (NPGS)]]&amp;" "&amp;Master[[#This Row],[Accession Number -Assigned]]&amp;" DONATED "&amp;TEXT(Master[[#This Row],[Received Date -received by site]], "MM/DD/YYYY")</f>
        <v xml:space="preserve">  DONATED 01/00/1900</v>
      </c>
      <c r="C158" s="17" t="str">
        <f>IF(Master[[#This Row],[Cooperator (Donor) 1 -full record]]="","",Master[[#This Row],[Cooperator (Donor) 1 -full record]])</f>
        <v/>
      </c>
    </row>
    <row r="159" spans="2:3" x14ac:dyDescent="0.25">
      <c r="B159" t="str">
        <f>Master[[#This Row],[Accession Prefix (NPGS)]]&amp;" "&amp;Master[[#This Row],[Accession Number -Assigned]]&amp;" DONATED "&amp;TEXT(Master[[#This Row],[Received Date -received by site]], "MM/DD/YYYY")</f>
        <v xml:space="preserve">  DONATED 01/00/1900</v>
      </c>
      <c r="C159" s="17" t="str">
        <f>IF(Master[[#This Row],[Cooperator (Donor) 1 -full record]]="","",Master[[#This Row],[Cooperator (Donor) 1 -full record]])</f>
        <v/>
      </c>
    </row>
    <row r="160" spans="2:3" x14ac:dyDescent="0.25">
      <c r="B160" t="str">
        <f>Master[[#This Row],[Accession Prefix (NPGS)]]&amp;" "&amp;Master[[#This Row],[Accession Number -Assigned]]&amp;" DONATED "&amp;TEXT(Master[[#This Row],[Received Date -received by site]], "MM/DD/YYYY")</f>
        <v xml:space="preserve">  DONATED 01/00/1900</v>
      </c>
      <c r="C160" s="17" t="str">
        <f>IF(Master[[#This Row],[Cooperator (Donor) 1 -full record]]="","",Master[[#This Row],[Cooperator (Donor) 1 -full record]])</f>
        <v/>
      </c>
    </row>
    <row r="161" spans="2:3" x14ac:dyDescent="0.25">
      <c r="B161" t="str">
        <f>Master[[#This Row],[Accession Prefix (NPGS)]]&amp;" "&amp;Master[[#This Row],[Accession Number -Assigned]]&amp;" DONATED "&amp;TEXT(Master[[#This Row],[Received Date -received by site]], "MM/DD/YYYY")</f>
        <v xml:space="preserve">  DONATED 01/00/1900</v>
      </c>
      <c r="C161" s="17" t="str">
        <f>IF(Master[[#This Row],[Cooperator (Donor) 1 -full record]]="","",Master[[#This Row],[Cooperator (Donor) 1 -full record]])</f>
        <v/>
      </c>
    </row>
    <row r="162" spans="2:3" x14ac:dyDescent="0.25">
      <c r="B162" t="str">
        <f>Master[[#This Row],[Accession Prefix (NPGS)]]&amp;" "&amp;Master[[#This Row],[Accession Number -Assigned]]&amp;" DONATED "&amp;TEXT(Master[[#This Row],[Received Date -received by site]], "MM/DD/YYYY")</f>
        <v xml:space="preserve">  DONATED 01/00/1900</v>
      </c>
      <c r="C162" s="17" t="str">
        <f>IF(Master[[#This Row],[Cooperator (Donor) 1 -full record]]="","",Master[[#This Row],[Cooperator (Donor) 1 -full record]])</f>
        <v/>
      </c>
    </row>
    <row r="163" spans="2:3" x14ac:dyDescent="0.25">
      <c r="B163" t="str">
        <f>Master[[#This Row],[Accession Prefix (NPGS)]]&amp;" "&amp;Master[[#This Row],[Accession Number -Assigned]]&amp;" DONATED "&amp;TEXT(Master[[#This Row],[Received Date -received by site]], "MM/DD/YYYY")</f>
        <v xml:space="preserve">  DONATED 01/00/1900</v>
      </c>
      <c r="C163" s="17" t="str">
        <f>IF(Master[[#This Row],[Cooperator (Donor) 1 -full record]]="","",Master[[#This Row],[Cooperator (Donor) 1 -full record]])</f>
        <v/>
      </c>
    </row>
    <row r="164" spans="2:3" x14ac:dyDescent="0.25">
      <c r="B164" t="str">
        <f>Master[[#This Row],[Accession Prefix (NPGS)]]&amp;" "&amp;Master[[#This Row],[Accession Number -Assigned]]&amp;" DONATED "&amp;TEXT(Master[[#This Row],[Received Date -received by site]], "MM/DD/YYYY")</f>
        <v xml:space="preserve">  DONATED 01/00/1900</v>
      </c>
      <c r="C164" s="17" t="str">
        <f>IF(Master[[#This Row],[Cooperator (Donor) 1 -full record]]="","",Master[[#This Row],[Cooperator (Donor) 1 -full record]])</f>
        <v/>
      </c>
    </row>
    <row r="165" spans="2:3" x14ac:dyDescent="0.25">
      <c r="B165" t="str">
        <f>Master[[#This Row],[Accession Prefix (NPGS)]]&amp;" "&amp;Master[[#This Row],[Accession Number -Assigned]]&amp;" DONATED "&amp;TEXT(Master[[#This Row],[Received Date -received by site]], "MM/DD/YYYY")</f>
        <v xml:space="preserve">  DONATED 01/00/1900</v>
      </c>
      <c r="C165" s="17" t="str">
        <f>IF(Master[[#This Row],[Cooperator (Donor) 1 -full record]]="","",Master[[#This Row],[Cooperator (Donor) 1 -full record]])</f>
        <v/>
      </c>
    </row>
    <row r="166" spans="2:3" x14ac:dyDescent="0.25">
      <c r="B166" t="str">
        <f>Master[[#This Row],[Accession Prefix (NPGS)]]&amp;" "&amp;Master[[#This Row],[Accession Number -Assigned]]&amp;" DONATED "&amp;TEXT(Master[[#This Row],[Received Date -received by site]], "MM/DD/YYYY")</f>
        <v xml:space="preserve">  DONATED 01/00/1900</v>
      </c>
      <c r="C166" s="17" t="str">
        <f>IF(Master[[#This Row],[Cooperator (Donor) 1 -full record]]="","",Master[[#This Row],[Cooperator (Donor) 1 -full record]])</f>
        <v/>
      </c>
    </row>
    <row r="167" spans="2:3" x14ac:dyDescent="0.25">
      <c r="B167" t="str">
        <f>Master[[#This Row],[Accession Prefix (NPGS)]]&amp;" "&amp;Master[[#This Row],[Accession Number -Assigned]]&amp;" DONATED "&amp;TEXT(Master[[#This Row],[Received Date -received by site]], "MM/DD/YYYY")</f>
        <v xml:space="preserve">  DONATED 01/00/1900</v>
      </c>
      <c r="C167" s="17" t="str">
        <f>IF(Master[[#This Row],[Cooperator (Donor) 1 -full record]]="","",Master[[#This Row],[Cooperator (Donor) 1 -full record]])</f>
        <v/>
      </c>
    </row>
    <row r="168" spans="2:3" x14ac:dyDescent="0.25">
      <c r="B168" t="str">
        <f>Master[[#This Row],[Accession Prefix (NPGS)]]&amp;" "&amp;Master[[#This Row],[Accession Number -Assigned]]&amp;" DONATED "&amp;TEXT(Master[[#This Row],[Received Date -received by site]], "MM/DD/YYYY")</f>
        <v xml:space="preserve">  DONATED 01/00/1900</v>
      </c>
      <c r="C168" s="17" t="str">
        <f>IF(Master[[#This Row],[Cooperator (Donor) 1 -full record]]="","",Master[[#This Row],[Cooperator (Donor) 1 -full record]])</f>
        <v/>
      </c>
    </row>
    <row r="169" spans="2:3" x14ac:dyDescent="0.25">
      <c r="B169" t="str">
        <f>Master[[#This Row],[Accession Prefix (NPGS)]]&amp;" "&amp;Master[[#This Row],[Accession Number -Assigned]]&amp;" DONATED "&amp;TEXT(Master[[#This Row],[Received Date -received by site]], "MM/DD/YYYY")</f>
        <v xml:space="preserve">  DONATED 01/00/1900</v>
      </c>
      <c r="C169" s="17" t="str">
        <f>IF(Master[[#This Row],[Cooperator (Donor) 1 -full record]]="","",Master[[#This Row],[Cooperator (Donor) 1 -full record]])</f>
        <v/>
      </c>
    </row>
    <row r="170" spans="2:3" x14ac:dyDescent="0.25">
      <c r="B170" t="str">
        <f>Master[[#This Row],[Accession Prefix (NPGS)]]&amp;" "&amp;Master[[#This Row],[Accession Number -Assigned]]&amp;" DONATED "&amp;TEXT(Master[[#This Row],[Received Date -received by site]], "MM/DD/YYYY")</f>
        <v xml:space="preserve">  DONATED 01/00/1900</v>
      </c>
      <c r="C170" s="17" t="str">
        <f>IF(Master[[#This Row],[Cooperator (Donor) 1 -full record]]="","",Master[[#This Row],[Cooperator (Donor) 1 -full record]])</f>
        <v/>
      </c>
    </row>
    <row r="171" spans="2:3" x14ac:dyDescent="0.25">
      <c r="B171" t="str">
        <f>Master[[#This Row],[Accession Prefix (NPGS)]]&amp;" "&amp;Master[[#This Row],[Accession Number -Assigned]]&amp;" DONATED "&amp;TEXT(Master[[#This Row],[Received Date -received by site]], "MM/DD/YYYY")</f>
        <v xml:space="preserve">  DONATED 01/00/1900</v>
      </c>
      <c r="C171" s="17" t="str">
        <f>IF(Master[[#This Row],[Cooperator (Donor) 1 -full record]]="","",Master[[#This Row],[Cooperator (Donor) 1 -full record]])</f>
        <v/>
      </c>
    </row>
    <row r="172" spans="2:3" x14ac:dyDescent="0.25">
      <c r="B172" t="str">
        <f>Master[[#This Row],[Accession Prefix (NPGS)]]&amp;" "&amp;Master[[#This Row],[Accession Number -Assigned]]&amp;" DONATED "&amp;TEXT(Master[[#This Row],[Received Date -received by site]], "MM/DD/YYYY")</f>
        <v xml:space="preserve">  DONATED 01/00/1900</v>
      </c>
      <c r="C172" s="17" t="str">
        <f>IF(Master[[#This Row],[Cooperator (Donor) 1 -full record]]="","",Master[[#This Row],[Cooperator (Donor) 1 -full record]])</f>
        <v/>
      </c>
    </row>
    <row r="173" spans="2:3" x14ac:dyDescent="0.25">
      <c r="B173" t="str">
        <f>Master[[#This Row],[Accession Prefix (NPGS)]]&amp;" "&amp;Master[[#This Row],[Accession Number -Assigned]]&amp;" DONATED "&amp;TEXT(Master[[#This Row],[Received Date -received by site]], "MM/DD/YYYY")</f>
        <v xml:space="preserve">  DONATED 01/00/1900</v>
      </c>
      <c r="C173" s="17" t="str">
        <f>IF(Master[[#This Row],[Cooperator (Donor) 1 -full record]]="","",Master[[#This Row],[Cooperator (Donor) 1 -full record]])</f>
        <v/>
      </c>
    </row>
    <row r="174" spans="2:3" x14ac:dyDescent="0.25">
      <c r="B174" t="str">
        <f>Master[[#This Row],[Accession Prefix (NPGS)]]&amp;" "&amp;Master[[#This Row],[Accession Number -Assigned]]&amp;" DONATED "&amp;TEXT(Master[[#This Row],[Received Date -received by site]], "MM/DD/YYYY")</f>
        <v xml:space="preserve">  DONATED 01/00/1900</v>
      </c>
      <c r="C174" s="17" t="str">
        <f>IF(Master[[#This Row],[Cooperator (Donor) 1 -full record]]="","",Master[[#This Row],[Cooperator (Donor) 1 -full record]])</f>
        <v/>
      </c>
    </row>
    <row r="175" spans="2:3" x14ac:dyDescent="0.25">
      <c r="B175" t="str">
        <f>Master[[#This Row],[Accession Prefix (NPGS)]]&amp;" "&amp;Master[[#This Row],[Accession Number -Assigned]]&amp;" DONATED "&amp;TEXT(Master[[#This Row],[Received Date -received by site]], "MM/DD/YYYY")</f>
        <v xml:space="preserve">  DONATED 01/00/1900</v>
      </c>
      <c r="C175" s="17" t="str">
        <f>IF(Master[[#This Row],[Cooperator (Donor) 1 -full record]]="","",Master[[#This Row],[Cooperator (Donor) 1 -full record]])</f>
        <v/>
      </c>
    </row>
    <row r="176" spans="2:3" x14ac:dyDescent="0.25">
      <c r="B176" t="str">
        <f>Master[[#This Row],[Accession Prefix (NPGS)]]&amp;" "&amp;Master[[#This Row],[Accession Number -Assigned]]&amp;" DONATED "&amp;TEXT(Master[[#This Row],[Received Date -received by site]], "MM/DD/YYYY")</f>
        <v xml:space="preserve">  DONATED 01/00/1900</v>
      </c>
      <c r="C176" s="17" t="str">
        <f>IF(Master[[#This Row],[Cooperator (Donor) 1 -full record]]="","",Master[[#This Row],[Cooperator (Donor) 1 -full record]])</f>
        <v/>
      </c>
    </row>
    <row r="177" spans="2:3" x14ac:dyDescent="0.25">
      <c r="B177" t="str">
        <f>Master[[#This Row],[Accession Prefix (NPGS)]]&amp;" "&amp;Master[[#This Row],[Accession Number -Assigned]]&amp;" DONATED "&amp;TEXT(Master[[#This Row],[Received Date -received by site]], "MM/DD/YYYY")</f>
        <v xml:space="preserve">  DONATED 01/00/1900</v>
      </c>
      <c r="C177" s="17" t="str">
        <f>IF(Master[[#This Row],[Cooperator (Donor) 1 -full record]]="","",Master[[#This Row],[Cooperator (Donor) 1 -full record]])</f>
        <v/>
      </c>
    </row>
    <row r="178" spans="2:3" x14ac:dyDescent="0.25">
      <c r="B178" t="str">
        <f>Master[[#This Row],[Accession Prefix (NPGS)]]&amp;" "&amp;Master[[#This Row],[Accession Number -Assigned]]&amp;" DONATED "&amp;TEXT(Master[[#This Row],[Received Date -received by site]], "MM/DD/YYYY")</f>
        <v xml:space="preserve">  DONATED 01/00/1900</v>
      </c>
      <c r="C178" s="17" t="str">
        <f>IF(Master[[#This Row],[Cooperator (Donor) 1 -full record]]="","",Master[[#This Row],[Cooperator (Donor) 1 -full record]])</f>
        <v/>
      </c>
    </row>
    <row r="179" spans="2:3" x14ac:dyDescent="0.25">
      <c r="B179" t="str">
        <f>Master[[#This Row],[Accession Prefix (NPGS)]]&amp;" "&amp;Master[[#This Row],[Accession Number -Assigned]]&amp;" DONATED "&amp;TEXT(Master[[#This Row],[Received Date -received by site]], "MM/DD/YYYY")</f>
        <v xml:space="preserve">  DONATED 01/00/1900</v>
      </c>
      <c r="C179" s="17" t="str">
        <f>IF(Master[[#This Row],[Cooperator (Donor) 1 -full record]]="","",Master[[#This Row],[Cooperator (Donor) 1 -full record]])</f>
        <v/>
      </c>
    </row>
    <row r="180" spans="2:3" x14ac:dyDescent="0.25">
      <c r="B180" t="str">
        <f>Master[[#This Row],[Accession Prefix (NPGS)]]&amp;" "&amp;Master[[#This Row],[Accession Number -Assigned]]&amp;" DONATED "&amp;TEXT(Master[[#This Row],[Received Date -received by site]], "MM/DD/YYYY")</f>
        <v xml:space="preserve">  DONATED 01/00/1900</v>
      </c>
      <c r="C180" s="17" t="str">
        <f>IF(Master[[#This Row],[Cooperator (Donor) 1 -full record]]="","",Master[[#This Row],[Cooperator (Donor) 1 -full record]])</f>
        <v/>
      </c>
    </row>
    <row r="181" spans="2:3" x14ac:dyDescent="0.25">
      <c r="B181" t="str">
        <f>Master[[#This Row],[Accession Prefix (NPGS)]]&amp;" "&amp;Master[[#This Row],[Accession Number -Assigned]]&amp;" DONATED "&amp;TEXT(Master[[#This Row],[Received Date -received by site]], "MM/DD/YYYY")</f>
        <v xml:space="preserve">  DONATED 01/00/1900</v>
      </c>
      <c r="C181" s="17" t="str">
        <f>IF(Master[[#This Row],[Cooperator (Donor) 1 -full record]]="","",Master[[#This Row],[Cooperator (Donor) 1 -full record]])</f>
        <v/>
      </c>
    </row>
    <row r="182" spans="2:3" x14ac:dyDescent="0.25">
      <c r="B182" t="str">
        <f>Master[[#This Row],[Accession Prefix (NPGS)]]&amp;" "&amp;Master[[#This Row],[Accession Number -Assigned]]&amp;" DONATED "&amp;TEXT(Master[[#This Row],[Received Date -received by site]], "MM/DD/YYYY")</f>
        <v xml:space="preserve">  DONATED 01/00/1900</v>
      </c>
      <c r="C182" s="17" t="str">
        <f>IF(Master[[#This Row],[Cooperator (Donor) 1 -full record]]="","",Master[[#This Row],[Cooperator (Donor) 1 -full record]])</f>
        <v/>
      </c>
    </row>
    <row r="183" spans="2:3" x14ac:dyDescent="0.25">
      <c r="B183" t="str">
        <f>Master[[#This Row],[Accession Prefix (NPGS)]]&amp;" "&amp;Master[[#This Row],[Accession Number -Assigned]]&amp;" DONATED "&amp;TEXT(Master[[#This Row],[Received Date -received by site]], "MM/DD/YYYY")</f>
        <v xml:space="preserve">  DONATED 01/00/1900</v>
      </c>
      <c r="C183" s="17" t="str">
        <f>IF(Master[[#This Row],[Cooperator (Donor) 1 -full record]]="","",Master[[#This Row],[Cooperator (Donor) 1 -full record]])</f>
        <v/>
      </c>
    </row>
    <row r="184" spans="2:3" x14ac:dyDescent="0.25">
      <c r="B184" t="str">
        <f>Master[[#This Row],[Accession Prefix (NPGS)]]&amp;" "&amp;Master[[#This Row],[Accession Number -Assigned]]&amp;" DONATED "&amp;TEXT(Master[[#This Row],[Received Date -received by site]], "MM/DD/YYYY")</f>
        <v xml:space="preserve">  DONATED 01/00/1900</v>
      </c>
      <c r="C184" s="17" t="str">
        <f>IF(Master[[#This Row],[Cooperator (Donor) 1 -full record]]="","",Master[[#This Row],[Cooperator (Donor) 1 -full record]])</f>
        <v/>
      </c>
    </row>
    <row r="185" spans="2:3" x14ac:dyDescent="0.25">
      <c r="B185" t="str">
        <f>Master[[#This Row],[Accession Prefix (NPGS)]]&amp;" "&amp;Master[[#This Row],[Accession Number -Assigned]]&amp;" DONATED "&amp;TEXT(Master[[#This Row],[Received Date -received by site]], "MM/DD/YYYY")</f>
        <v xml:space="preserve">  DONATED 01/00/1900</v>
      </c>
      <c r="C185" s="17" t="str">
        <f>IF(Master[[#This Row],[Cooperator (Donor) 1 -full record]]="","",Master[[#This Row],[Cooperator (Donor) 1 -full record]])</f>
        <v/>
      </c>
    </row>
    <row r="186" spans="2:3" x14ac:dyDescent="0.25">
      <c r="B186" t="str">
        <f>Master[[#This Row],[Accession Prefix (NPGS)]]&amp;" "&amp;Master[[#This Row],[Accession Number -Assigned]]&amp;" DONATED "&amp;TEXT(Master[[#This Row],[Received Date -received by site]], "MM/DD/YYYY")</f>
        <v xml:space="preserve">  DONATED 01/00/1900</v>
      </c>
      <c r="C186" s="17" t="str">
        <f>IF(Master[[#This Row],[Cooperator (Donor) 1 -full record]]="","",Master[[#This Row],[Cooperator (Donor) 1 -full record]])</f>
        <v/>
      </c>
    </row>
    <row r="187" spans="2:3" x14ac:dyDescent="0.25">
      <c r="B187" t="str">
        <f>Master[[#This Row],[Accession Prefix (NPGS)]]&amp;" "&amp;Master[[#This Row],[Accession Number -Assigned]]&amp;" DONATED "&amp;TEXT(Master[[#This Row],[Received Date -received by site]], "MM/DD/YYYY")</f>
        <v xml:space="preserve">  DONATED 01/00/1900</v>
      </c>
      <c r="C187" s="17" t="str">
        <f>IF(Master[[#This Row],[Cooperator (Donor) 1 -full record]]="","",Master[[#This Row],[Cooperator (Donor) 1 -full record]])</f>
        <v/>
      </c>
    </row>
    <row r="188" spans="2:3" x14ac:dyDescent="0.25">
      <c r="B188" t="str">
        <f>Master[[#This Row],[Accession Prefix (NPGS)]]&amp;" "&amp;Master[[#This Row],[Accession Number -Assigned]]&amp;" DONATED "&amp;TEXT(Master[[#This Row],[Received Date -received by site]], "MM/DD/YYYY")</f>
        <v xml:space="preserve">  DONATED 01/00/1900</v>
      </c>
      <c r="C188" s="17" t="str">
        <f>IF(Master[[#This Row],[Cooperator (Donor) 1 -full record]]="","",Master[[#This Row],[Cooperator (Donor) 1 -full record]])</f>
        <v/>
      </c>
    </row>
    <row r="189" spans="2:3" x14ac:dyDescent="0.25">
      <c r="B189" t="str">
        <f>Master[[#This Row],[Accession Prefix (NPGS)]]&amp;" "&amp;Master[[#This Row],[Accession Number -Assigned]]&amp;" DONATED "&amp;TEXT(Master[[#This Row],[Received Date -received by site]], "MM/DD/YYYY")</f>
        <v xml:space="preserve">  DONATED 01/00/1900</v>
      </c>
      <c r="C189" s="17" t="str">
        <f>IF(Master[[#This Row],[Cooperator (Donor) 1 -full record]]="","",Master[[#This Row],[Cooperator (Donor) 1 -full record]])</f>
        <v/>
      </c>
    </row>
    <row r="190" spans="2:3" x14ac:dyDescent="0.25">
      <c r="B190" t="str">
        <f>Master[[#This Row],[Accession Prefix (NPGS)]]&amp;" "&amp;Master[[#This Row],[Accession Number -Assigned]]&amp;" DONATED "&amp;TEXT(Master[[#This Row],[Received Date -received by site]], "MM/DD/YYYY")</f>
        <v xml:space="preserve">  DONATED 01/00/1900</v>
      </c>
      <c r="C190" s="17" t="str">
        <f>IF(Master[[#This Row],[Cooperator (Donor) 1 -full record]]="","",Master[[#This Row],[Cooperator (Donor) 1 -full record]])</f>
        <v/>
      </c>
    </row>
    <row r="191" spans="2:3" x14ac:dyDescent="0.25">
      <c r="B191" t="str">
        <f>Master[[#This Row],[Accession Prefix (NPGS)]]&amp;" "&amp;Master[[#This Row],[Accession Number -Assigned]]&amp;" DONATED "&amp;TEXT(Master[[#This Row],[Received Date -received by site]], "MM/DD/YYYY")</f>
        <v xml:space="preserve">  DONATED 01/00/1900</v>
      </c>
      <c r="C191" s="17" t="str">
        <f>IF(Master[[#This Row],[Cooperator (Donor) 1 -full record]]="","",Master[[#This Row],[Cooperator (Donor) 1 -full record]])</f>
        <v/>
      </c>
    </row>
    <row r="192" spans="2:3" x14ac:dyDescent="0.25">
      <c r="B192" t="str">
        <f>Master[[#This Row],[Accession Prefix (NPGS)]]&amp;" "&amp;Master[[#This Row],[Accession Number -Assigned]]&amp;" DONATED "&amp;TEXT(Master[[#This Row],[Received Date -received by site]], "MM/DD/YYYY")</f>
        <v xml:space="preserve">  DONATED 01/00/1900</v>
      </c>
      <c r="C192" s="17" t="str">
        <f>IF(Master[[#This Row],[Cooperator (Donor) 1 -full record]]="","",Master[[#This Row],[Cooperator (Donor) 1 -full record]])</f>
        <v/>
      </c>
    </row>
    <row r="193" spans="2:3" x14ac:dyDescent="0.25">
      <c r="B193" t="str">
        <f>Master[[#This Row],[Accession Prefix (NPGS)]]&amp;" "&amp;Master[[#This Row],[Accession Number -Assigned]]&amp;" DONATED "&amp;TEXT(Master[[#This Row],[Received Date -received by site]], "MM/DD/YYYY")</f>
        <v xml:space="preserve">  DONATED 01/00/1900</v>
      </c>
      <c r="C193" s="17" t="str">
        <f>IF(Master[[#This Row],[Cooperator (Donor) 1 -full record]]="","",Master[[#This Row],[Cooperator (Donor) 1 -full record]])</f>
        <v/>
      </c>
    </row>
    <row r="194" spans="2:3" x14ac:dyDescent="0.25">
      <c r="B194" t="str">
        <f>Master[[#This Row],[Accession Prefix (NPGS)]]&amp;" "&amp;Master[[#This Row],[Accession Number -Assigned]]&amp;" DONATED "&amp;TEXT(Master[[#This Row],[Received Date -received by site]], "MM/DD/YYYY")</f>
        <v xml:space="preserve">  DONATED 01/00/1900</v>
      </c>
      <c r="C194" s="17" t="str">
        <f>IF(Master[[#This Row],[Cooperator (Donor) 1 -full record]]="","",Master[[#This Row],[Cooperator (Donor) 1 -full record]])</f>
        <v/>
      </c>
    </row>
    <row r="195" spans="2:3" x14ac:dyDescent="0.25">
      <c r="B195" t="str">
        <f>Master[[#This Row],[Accession Prefix (NPGS)]]&amp;" "&amp;Master[[#This Row],[Accession Number -Assigned]]&amp;" DONATED "&amp;TEXT(Master[[#This Row],[Received Date -received by site]], "MM/DD/YYYY")</f>
        <v xml:space="preserve">  DONATED 01/00/1900</v>
      </c>
      <c r="C195" s="17" t="str">
        <f>IF(Master[[#This Row],[Cooperator (Donor) 1 -full record]]="","",Master[[#This Row],[Cooperator (Donor) 1 -full record]])</f>
        <v/>
      </c>
    </row>
    <row r="196" spans="2:3" x14ac:dyDescent="0.25">
      <c r="B196" t="str">
        <f>Master[[#This Row],[Accession Prefix (NPGS)]]&amp;" "&amp;Master[[#This Row],[Accession Number -Assigned]]&amp;" DONATED "&amp;TEXT(Master[[#This Row],[Received Date -received by site]], "MM/DD/YYYY")</f>
        <v xml:space="preserve">  DONATED 01/00/1900</v>
      </c>
      <c r="C196" s="17" t="str">
        <f>IF(Master[[#This Row],[Cooperator (Donor) 1 -full record]]="","",Master[[#This Row],[Cooperator (Donor) 1 -full record]])</f>
        <v/>
      </c>
    </row>
    <row r="197" spans="2:3" x14ac:dyDescent="0.25">
      <c r="B197" t="str">
        <f>Master[[#This Row],[Accession Prefix (NPGS)]]&amp;" "&amp;Master[[#This Row],[Accession Number -Assigned]]&amp;" DONATED "&amp;TEXT(Master[[#This Row],[Received Date -received by site]], "MM/DD/YYYY")</f>
        <v xml:space="preserve">  DONATED 01/00/1900</v>
      </c>
      <c r="C197" s="17" t="str">
        <f>IF(Master[[#This Row],[Cooperator (Donor) 1 -full record]]="","",Master[[#This Row],[Cooperator (Donor) 1 -full record]])</f>
        <v/>
      </c>
    </row>
    <row r="198" spans="2:3" x14ac:dyDescent="0.25">
      <c r="B198" t="str">
        <f>Master[[#This Row],[Accession Prefix (NPGS)]]&amp;" "&amp;Master[[#This Row],[Accession Number -Assigned]]&amp;" DONATED "&amp;TEXT(Master[[#This Row],[Received Date -received by site]], "MM/DD/YYYY")</f>
        <v xml:space="preserve">  DONATED 01/00/1900</v>
      </c>
      <c r="C198" s="17" t="str">
        <f>IF(Master[[#This Row],[Cooperator (Donor) 1 -full record]]="","",Master[[#This Row],[Cooperator (Donor) 1 -full record]])</f>
        <v/>
      </c>
    </row>
    <row r="199" spans="2:3" x14ac:dyDescent="0.25">
      <c r="B199" t="str">
        <f>Master[[#This Row],[Accession Prefix (NPGS)]]&amp;" "&amp;Master[[#This Row],[Accession Number -Assigned]]&amp;" DONATED "&amp;TEXT(Master[[#This Row],[Received Date -received by site]], "MM/DD/YYYY")</f>
        <v xml:space="preserve">  DONATED 01/00/1900</v>
      </c>
      <c r="C199" s="17" t="str">
        <f>IF(Master[[#This Row],[Cooperator (Donor) 1 -full record]]="","",Master[[#This Row],[Cooperator (Donor) 1 -full record]])</f>
        <v/>
      </c>
    </row>
    <row r="200" spans="2:3" x14ac:dyDescent="0.25">
      <c r="B200" t="str">
        <f>Master[[#This Row],[Accession Prefix (NPGS)]]&amp;" "&amp;Master[[#This Row],[Accession Number -Assigned]]&amp;" DONATED "&amp;TEXT(Master[[#This Row],[Received Date -received by site]], "MM/DD/YYYY")</f>
        <v xml:space="preserve">  DONATED 01/00/1900</v>
      </c>
      <c r="C200" s="17" t="str">
        <f>IF(Master[[#This Row],[Cooperator (Donor) 1 -full record]]="","",Master[[#This Row],[Cooperator (Donor) 1 -full record]])</f>
        <v/>
      </c>
    </row>
    <row r="201" spans="2:3" x14ac:dyDescent="0.25">
      <c r="B201" t="str">
        <f>Master[[#This Row],[Accession Prefix (NPGS)]]&amp;" "&amp;Master[[#This Row],[Accession Number -Assigned]]&amp;" DONATED "&amp;TEXT(Master[[#This Row],[Received Date -received by site]], "MM/DD/YYYY")</f>
        <v xml:space="preserve">  DONATED 01/00/1900</v>
      </c>
      <c r="C201" s="17" t="str">
        <f>IF(Master[[#This Row],[Cooperator (Donor) 1 -full record]]="","",Master[[#This Row],[Cooperator (Donor) 1 -full record]])</f>
        <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tabColor theme="0" tint="-0.249977111117893"/>
  </sheetPr>
  <dimension ref="A1:D201"/>
  <sheetViews>
    <sheetView workbookViewId="0">
      <selection activeCell="A2" sqref="A2"/>
    </sheetView>
  </sheetViews>
  <sheetFormatPr defaultColWidth="9.140625" defaultRowHeight="15" x14ac:dyDescent="0.25"/>
  <cols>
    <col min="1" max="1" width="10.85546875" style="7" customWidth="1"/>
    <col min="2" max="2" width="33.140625" style="7" customWidth="1"/>
    <col min="3" max="3" width="46.140625" style="7" customWidth="1"/>
    <col min="4" max="4" width="9.7109375" style="7" bestFit="1" customWidth="1"/>
    <col min="5" max="16384" width="9.140625" style="7"/>
  </cols>
  <sheetData>
    <row r="1" spans="1:4" s="116" customFormat="1" ht="45" x14ac:dyDescent="0.25">
      <c r="A1" s="116" t="s">
        <v>73</v>
      </c>
      <c r="B1" s="118" t="s">
        <v>74</v>
      </c>
      <c r="C1" s="118" t="s">
        <v>55</v>
      </c>
    </row>
    <row r="2" spans="1:4" ht="15.75" x14ac:dyDescent="0.25">
      <c r="A2" s="1"/>
      <c r="B2" s="7" t="str">
        <f>Master[[#This Row],[Accession Prefix (NPGS)]]&amp;" "&amp;Master[[#This Row],[Accession Number -Assigned]]&amp;" DONATED "&amp;TEXT(Master[[#This Row],[Received Date -received by site]], "MM/DD/YYYY")</f>
        <v>W6 57036 DONATED 09/26/2019</v>
      </c>
      <c r="C2" s="17" t="str">
        <f>IF(Master[[#This Row],[Cooperator (Donor) 2 -full record]]="","",Master[[#This Row],[Cooperator (Donor) 2 -full record]])</f>
        <v/>
      </c>
      <c r="D2" s="2"/>
    </row>
    <row r="3" spans="1:4" x14ac:dyDescent="0.25">
      <c r="B3" s="7" t="str">
        <f>Master[[#This Row],[Accession Prefix (NPGS)]]&amp;" "&amp;Master[[#This Row],[Accession Number -Assigned]]&amp;" DONATED "&amp;TEXT(Master[[#This Row],[Received Date -received by site]], "MM/DD/YYYY")</f>
        <v>W6  DONATED 01/00/1900</v>
      </c>
      <c r="C3" s="17" t="str">
        <f>IF(Master[[#This Row],[Cooperator (Donor) 2 -full record]]="","",Master[[#This Row],[Cooperator (Donor) 2 -full record]])</f>
        <v>COLL_ID</v>
      </c>
      <c r="D3" s="2"/>
    </row>
    <row r="4" spans="1:4" x14ac:dyDescent="0.25">
      <c r="B4" s="7" t="str">
        <f>Master[[#This Row],[Accession Prefix (NPGS)]]&amp;" "&amp;Master[[#This Row],[Accession Number -Assigned]]&amp;" DONATED "&amp;TEXT(Master[[#This Row],[Received Date -received by site]], "MM/DD/YYYY")</f>
        <v>W6 59590 DONATED 09/27/2021</v>
      </c>
      <c r="C4" s="17" t="str">
        <f>IF(Master[[#This Row],[Cooperator (Donor) 2 -full record]]="","",Master[[#This Row],[Cooperator (Donor) 2 -full record]])</f>
        <v>CO932</v>
      </c>
      <c r="D4" s="2"/>
    </row>
    <row r="5" spans="1:4" x14ac:dyDescent="0.25">
      <c r="B5" s="7" t="str">
        <f>Master[[#This Row],[Accession Prefix (NPGS)]]&amp;" "&amp;Master[[#This Row],[Accession Number -Assigned]]&amp;" DONATED "&amp;TEXT(Master[[#This Row],[Received Date -received by site]], "MM/DD/YYYY")</f>
        <v>W6 59591 DONATED 09/27/2021</v>
      </c>
      <c r="C5" s="17" t="str">
        <f>IF(Master[[#This Row],[Cooperator (Donor) 2 -full record]]="","",Master[[#This Row],[Cooperator (Donor) 2 -full record]])</f>
        <v>CO932</v>
      </c>
      <c r="D5" s="2"/>
    </row>
    <row r="6" spans="1:4" x14ac:dyDescent="0.25">
      <c r="B6" s="7" t="str">
        <f>Master[[#This Row],[Accession Prefix (NPGS)]]&amp;" "&amp;Master[[#This Row],[Accession Number -Assigned]]&amp;" DONATED "&amp;TEXT(Master[[#This Row],[Received Date -received by site]], "MM/DD/YYYY")</f>
        <v>W6 59592 DONATED 09/27/2021</v>
      </c>
      <c r="C6" s="17" t="str">
        <f>IF(Master[[#This Row],[Cooperator (Donor) 2 -full record]]="","",Master[[#This Row],[Cooperator (Donor) 2 -full record]])</f>
        <v>CO932</v>
      </c>
      <c r="D6" s="2"/>
    </row>
    <row r="7" spans="1:4" x14ac:dyDescent="0.25">
      <c r="B7" s="7" t="str">
        <f>Master[[#This Row],[Accession Prefix (NPGS)]]&amp;" "&amp;Master[[#This Row],[Accession Number -Assigned]]&amp;" DONATED "&amp;TEXT(Master[[#This Row],[Received Date -received by site]], "MM/DD/YYYY")</f>
        <v>W6 59593 DONATED 09/27/2021</v>
      </c>
      <c r="C7" s="17" t="str">
        <f>IF(Master[[#This Row],[Cooperator (Donor) 2 -full record]]="","",Master[[#This Row],[Cooperator (Donor) 2 -full record]])</f>
        <v>CO932</v>
      </c>
      <c r="D7" s="2"/>
    </row>
    <row r="8" spans="1:4" x14ac:dyDescent="0.25">
      <c r="B8" s="7" t="str">
        <f>Master[[#This Row],[Accession Prefix (NPGS)]]&amp;" "&amp;Master[[#This Row],[Accession Number -Assigned]]&amp;" DONATED "&amp;TEXT(Master[[#This Row],[Received Date -received by site]], "MM/DD/YYYY")</f>
        <v>W6 59594 DONATED 09/27/2021</v>
      </c>
      <c r="C8" s="17" t="str">
        <f>IF(Master[[#This Row],[Cooperator (Donor) 2 -full record]]="","",Master[[#This Row],[Cooperator (Donor) 2 -full record]])</f>
        <v>CO932</v>
      </c>
      <c r="D8" s="2"/>
    </row>
    <row r="9" spans="1:4" x14ac:dyDescent="0.25">
      <c r="B9" s="7" t="str">
        <f>Master[[#This Row],[Accession Prefix (NPGS)]]&amp;" "&amp;Master[[#This Row],[Accession Number -Assigned]]&amp;" DONATED "&amp;TEXT(Master[[#This Row],[Received Date -received by site]], "MM/DD/YYYY")</f>
        <v>W6 59595 DONATED 09/27/2021</v>
      </c>
      <c r="C9" s="17" t="str">
        <f>IF(Master[[#This Row],[Cooperator (Donor) 2 -full record]]="","",Master[[#This Row],[Cooperator (Donor) 2 -full record]])</f>
        <v>CO932</v>
      </c>
      <c r="D9" s="2"/>
    </row>
    <row r="10" spans="1:4" x14ac:dyDescent="0.25">
      <c r="B10" s="7" t="str">
        <f>Master[[#This Row],[Accession Prefix (NPGS)]]&amp;" "&amp;Master[[#This Row],[Accession Number -Assigned]]&amp;" DONATED "&amp;TEXT(Master[[#This Row],[Received Date -received by site]], "MM/DD/YYYY")</f>
        <v>W6 59596 DONATED 09/27/2021</v>
      </c>
      <c r="C10" s="17" t="str">
        <f>IF(Master[[#This Row],[Cooperator (Donor) 2 -full record]]="","",Master[[#This Row],[Cooperator (Donor) 2 -full record]])</f>
        <v>CO932</v>
      </c>
      <c r="D10" s="2"/>
    </row>
    <row r="11" spans="1:4" x14ac:dyDescent="0.25">
      <c r="B11" s="7" t="str">
        <f>Master[[#This Row],[Accession Prefix (NPGS)]]&amp;" "&amp;Master[[#This Row],[Accession Number -Assigned]]&amp;" DONATED "&amp;TEXT(Master[[#This Row],[Received Date -received by site]], "MM/DD/YYYY")</f>
        <v>W6 59597 DONATED 09/27/2021</v>
      </c>
      <c r="C11" s="17" t="str">
        <f>IF(Master[[#This Row],[Cooperator (Donor) 2 -full record]]="","",Master[[#This Row],[Cooperator (Donor) 2 -full record]])</f>
        <v>CO932</v>
      </c>
      <c r="D11" s="2"/>
    </row>
    <row r="12" spans="1:4" x14ac:dyDescent="0.25">
      <c r="B12" s="7" t="str">
        <f>Master[[#This Row],[Accession Prefix (NPGS)]]&amp;" "&amp;Master[[#This Row],[Accession Number -Assigned]]&amp;" DONATED "&amp;TEXT(Master[[#This Row],[Received Date -received by site]], "MM/DD/YYYY")</f>
        <v>W6 59598 DONATED 09/27/2021</v>
      </c>
      <c r="C12" s="17" t="str">
        <f>IF(Master[[#This Row],[Cooperator (Donor) 2 -full record]]="","",Master[[#This Row],[Cooperator (Donor) 2 -full record]])</f>
        <v>CO932</v>
      </c>
      <c r="D12" s="2"/>
    </row>
    <row r="13" spans="1:4" x14ac:dyDescent="0.25">
      <c r="B13" s="7" t="str">
        <f>Master[[#This Row],[Accession Prefix (NPGS)]]&amp;" "&amp;Master[[#This Row],[Accession Number -Assigned]]&amp;" DONATED "&amp;TEXT(Master[[#This Row],[Received Date -received by site]], "MM/DD/YYYY")</f>
        <v>W6 59599 DONATED 09/27/2021</v>
      </c>
      <c r="C13" s="17" t="str">
        <f>IF(Master[[#This Row],[Cooperator (Donor) 2 -full record]]="","",Master[[#This Row],[Cooperator (Donor) 2 -full record]])</f>
        <v>CO932</v>
      </c>
      <c r="D13" s="2"/>
    </row>
    <row r="14" spans="1:4" x14ac:dyDescent="0.25">
      <c r="B14" s="7" t="str">
        <f>Master[[#This Row],[Accession Prefix (NPGS)]]&amp;" "&amp;Master[[#This Row],[Accession Number -Assigned]]&amp;" DONATED "&amp;TEXT(Master[[#This Row],[Received Date -received by site]], "MM/DD/YYYY")</f>
        <v>W6 59600 DONATED 09/27/2021</v>
      </c>
      <c r="C14" s="17" t="str">
        <f>IF(Master[[#This Row],[Cooperator (Donor) 2 -full record]]="","",Master[[#This Row],[Cooperator (Donor) 2 -full record]])</f>
        <v>CO932</v>
      </c>
      <c r="D14" s="2"/>
    </row>
    <row r="15" spans="1:4" x14ac:dyDescent="0.25">
      <c r="B15" s="7" t="str">
        <f>Master[[#This Row],[Accession Prefix (NPGS)]]&amp;" "&amp;Master[[#This Row],[Accession Number -Assigned]]&amp;" DONATED "&amp;TEXT(Master[[#This Row],[Received Date -received by site]], "MM/DD/YYYY")</f>
        <v>W6 59601 DONATED 09/27/2021</v>
      </c>
      <c r="C15" s="17" t="str">
        <f>IF(Master[[#This Row],[Cooperator (Donor) 2 -full record]]="","",Master[[#This Row],[Cooperator (Donor) 2 -full record]])</f>
        <v>CO932</v>
      </c>
      <c r="D15" s="2"/>
    </row>
    <row r="16" spans="1:4" x14ac:dyDescent="0.25">
      <c r="B16" s="7" t="str">
        <f>Master[[#This Row],[Accession Prefix (NPGS)]]&amp;" "&amp;Master[[#This Row],[Accession Number -Assigned]]&amp;" DONATED "&amp;TEXT(Master[[#This Row],[Received Date -received by site]], "MM/DD/YYYY")</f>
        <v>W6 59602 DONATED 09/27/2021</v>
      </c>
      <c r="C16" s="17" t="str">
        <f>IF(Master[[#This Row],[Cooperator (Donor) 2 -full record]]="","",Master[[#This Row],[Cooperator (Donor) 2 -full record]])</f>
        <v>CO932</v>
      </c>
      <c r="D16" s="2"/>
    </row>
    <row r="17" spans="2:4" x14ac:dyDescent="0.25">
      <c r="B17" s="7" t="str">
        <f>Master[[#This Row],[Accession Prefix (NPGS)]]&amp;" "&amp;Master[[#This Row],[Accession Number -Assigned]]&amp;" DONATED "&amp;TEXT(Master[[#This Row],[Received Date -received by site]], "MM/DD/YYYY")</f>
        <v>W6 59603 DONATED 09/27/2021</v>
      </c>
      <c r="C17" s="17" t="str">
        <f>IF(Master[[#This Row],[Cooperator (Donor) 2 -full record]]="","",Master[[#This Row],[Cooperator (Donor) 2 -full record]])</f>
        <v>CO932</v>
      </c>
      <c r="D17" s="2"/>
    </row>
    <row r="18" spans="2:4" x14ac:dyDescent="0.25">
      <c r="B18" s="7" t="str">
        <f>Master[[#This Row],[Accession Prefix (NPGS)]]&amp;" "&amp;Master[[#This Row],[Accession Number -Assigned]]&amp;" DONATED "&amp;TEXT(Master[[#This Row],[Received Date -received by site]], "MM/DD/YYYY")</f>
        <v>W6 59604 DONATED 09/27/2021</v>
      </c>
      <c r="C18" s="17" t="str">
        <f>IF(Master[[#This Row],[Cooperator (Donor) 2 -full record]]="","",Master[[#This Row],[Cooperator (Donor) 2 -full record]])</f>
        <v>CO932</v>
      </c>
      <c r="D18" s="2"/>
    </row>
    <row r="19" spans="2:4" x14ac:dyDescent="0.25">
      <c r="B19" s="7" t="str">
        <f>Master[[#This Row],[Accession Prefix (NPGS)]]&amp;" "&amp;Master[[#This Row],[Accession Number -Assigned]]&amp;" DONATED "&amp;TEXT(Master[[#This Row],[Received Date -received by site]], "MM/DD/YYYY")</f>
        <v>W6 59605 DONATED 09/27/2021</v>
      </c>
      <c r="C19" s="17" t="str">
        <f>IF(Master[[#This Row],[Cooperator (Donor) 2 -full record]]="","",Master[[#This Row],[Cooperator (Donor) 2 -full record]])</f>
        <v>CO932</v>
      </c>
      <c r="D19" s="2"/>
    </row>
    <row r="20" spans="2:4" x14ac:dyDescent="0.25">
      <c r="B20" s="7" t="str">
        <f>Master[[#This Row],[Accession Prefix (NPGS)]]&amp;" "&amp;Master[[#This Row],[Accession Number -Assigned]]&amp;" DONATED "&amp;TEXT(Master[[#This Row],[Received Date -received by site]], "MM/DD/YYYY")</f>
        <v>W6 59606 DONATED 09/27/2021</v>
      </c>
      <c r="C20" s="17" t="str">
        <f>IF(Master[[#This Row],[Cooperator (Donor) 2 -full record]]="","",Master[[#This Row],[Cooperator (Donor) 2 -full record]])</f>
        <v>CO932</v>
      </c>
      <c r="D20" s="2"/>
    </row>
    <row r="21" spans="2:4" x14ac:dyDescent="0.25">
      <c r="B21" s="7" t="str">
        <f>Master[[#This Row],[Accession Prefix (NPGS)]]&amp;" "&amp;Master[[#This Row],[Accession Number -Assigned]]&amp;" DONATED "&amp;TEXT(Master[[#This Row],[Received Date -received by site]], "MM/DD/YYYY")</f>
        <v>W6 59607 DONATED 09/27/2021</v>
      </c>
      <c r="C21" s="17" t="str">
        <f>IF(Master[[#This Row],[Cooperator (Donor) 2 -full record]]="","",Master[[#This Row],[Cooperator (Donor) 2 -full record]])</f>
        <v>CO932</v>
      </c>
      <c r="D21" s="2"/>
    </row>
    <row r="22" spans="2:4" x14ac:dyDescent="0.25">
      <c r="B22" s="7" t="str">
        <f>Master[[#This Row],[Accession Prefix (NPGS)]]&amp;" "&amp;Master[[#This Row],[Accession Number -Assigned]]&amp;" DONATED "&amp;TEXT(Master[[#This Row],[Received Date -received by site]], "MM/DD/YYYY")</f>
        <v>W6 59608 DONATED 09/27/2021</v>
      </c>
      <c r="C22" s="17" t="str">
        <f>IF(Master[[#This Row],[Cooperator (Donor) 2 -full record]]="","",Master[[#This Row],[Cooperator (Donor) 2 -full record]])</f>
        <v>CO932</v>
      </c>
      <c r="D22" s="2"/>
    </row>
    <row r="23" spans="2:4" x14ac:dyDescent="0.25">
      <c r="B23" s="7" t="str">
        <f>Master[[#This Row],[Accession Prefix (NPGS)]]&amp;" "&amp;Master[[#This Row],[Accession Number -Assigned]]&amp;" DONATED "&amp;TEXT(Master[[#This Row],[Received Date -received by site]], "MM/DD/YYYY")</f>
        <v>W6 59609 DONATED 09/27/2021</v>
      </c>
      <c r="C23" s="17" t="str">
        <f>IF(Master[[#This Row],[Cooperator (Donor) 2 -full record]]="","",Master[[#This Row],[Cooperator (Donor) 2 -full record]])</f>
        <v>CO932</v>
      </c>
      <c r="D23" s="2"/>
    </row>
    <row r="24" spans="2:4" x14ac:dyDescent="0.25">
      <c r="B24" s="7" t="str">
        <f>Master[[#This Row],[Accession Prefix (NPGS)]]&amp;" "&amp;Master[[#This Row],[Accession Number -Assigned]]&amp;" DONATED "&amp;TEXT(Master[[#This Row],[Received Date -received by site]], "MM/DD/YYYY")</f>
        <v>W6 59610 DONATED 09/27/2021</v>
      </c>
      <c r="C24" s="17" t="str">
        <f>IF(Master[[#This Row],[Cooperator (Donor) 2 -full record]]="","",Master[[#This Row],[Cooperator (Donor) 2 -full record]])</f>
        <v>CO932</v>
      </c>
      <c r="D24" s="2"/>
    </row>
    <row r="25" spans="2:4" x14ac:dyDescent="0.25">
      <c r="B25" s="7" t="str">
        <f>Master[[#This Row],[Accession Prefix (NPGS)]]&amp;" "&amp;Master[[#This Row],[Accession Number -Assigned]]&amp;" DONATED "&amp;TEXT(Master[[#This Row],[Received Date -received by site]], "MM/DD/YYYY")</f>
        <v>W6 59611 DONATED 09/27/2021</v>
      </c>
      <c r="C25" s="17" t="str">
        <f>IF(Master[[#This Row],[Cooperator (Donor) 2 -full record]]="","",Master[[#This Row],[Cooperator (Donor) 2 -full record]])</f>
        <v>CO932</v>
      </c>
      <c r="D25" s="2"/>
    </row>
    <row r="26" spans="2:4" x14ac:dyDescent="0.25">
      <c r="B26" s="7" t="str">
        <f>Master[[#This Row],[Accession Prefix (NPGS)]]&amp;" "&amp;Master[[#This Row],[Accession Number -Assigned]]&amp;" DONATED "&amp;TEXT(Master[[#This Row],[Received Date -received by site]], "MM/DD/YYYY")</f>
        <v>W6 59612 DONATED 09/27/2021</v>
      </c>
      <c r="C26" s="17" t="str">
        <f>IF(Master[[#This Row],[Cooperator (Donor) 2 -full record]]="","",Master[[#This Row],[Cooperator (Donor) 2 -full record]])</f>
        <v>CO932</v>
      </c>
      <c r="D26" s="2"/>
    </row>
    <row r="27" spans="2:4" x14ac:dyDescent="0.25">
      <c r="B27" s="7" t="str">
        <f>Master[[#This Row],[Accession Prefix (NPGS)]]&amp;" "&amp;Master[[#This Row],[Accession Number -Assigned]]&amp;" DONATED "&amp;TEXT(Master[[#This Row],[Received Date -received by site]], "MM/DD/YYYY")</f>
        <v>W6 59613 DONATED 09/27/2021</v>
      </c>
      <c r="C27" s="17" t="str">
        <f>IF(Master[[#This Row],[Cooperator (Donor) 2 -full record]]="","",Master[[#This Row],[Cooperator (Donor) 2 -full record]])</f>
        <v>CO932</v>
      </c>
      <c r="D27" s="2"/>
    </row>
    <row r="28" spans="2:4" x14ac:dyDescent="0.25">
      <c r="B28" s="7" t="str">
        <f>Master[[#This Row],[Accession Prefix (NPGS)]]&amp;" "&amp;Master[[#This Row],[Accession Number -Assigned]]&amp;" DONATED "&amp;TEXT(Master[[#This Row],[Received Date -received by site]], "MM/DD/YYYY")</f>
        <v>W6 59614 DONATED 09/27/2021</v>
      </c>
      <c r="C28" s="17" t="str">
        <f>IF(Master[[#This Row],[Cooperator (Donor) 2 -full record]]="","",Master[[#This Row],[Cooperator (Donor) 2 -full record]])</f>
        <v>CO932</v>
      </c>
      <c r="D28" s="2"/>
    </row>
    <row r="29" spans="2:4" x14ac:dyDescent="0.25">
      <c r="B29" s="7" t="str">
        <f>Master[[#This Row],[Accession Prefix (NPGS)]]&amp;" "&amp;Master[[#This Row],[Accession Number -Assigned]]&amp;" DONATED "&amp;TEXT(Master[[#This Row],[Received Date -received by site]], "MM/DD/YYYY")</f>
        <v>W6 59615 DONATED 09/27/2021</v>
      </c>
      <c r="C29" s="17" t="str">
        <f>IF(Master[[#This Row],[Cooperator (Donor) 2 -full record]]="","",Master[[#This Row],[Cooperator (Donor) 2 -full record]])</f>
        <v>CO932</v>
      </c>
      <c r="D29" s="2"/>
    </row>
    <row r="30" spans="2:4" x14ac:dyDescent="0.25">
      <c r="B30" s="7" t="str">
        <f>Master[[#This Row],[Accession Prefix (NPGS)]]&amp;" "&amp;Master[[#This Row],[Accession Number -Assigned]]&amp;" DONATED "&amp;TEXT(Master[[#This Row],[Received Date -received by site]], "MM/DD/YYYY")</f>
        <v>W6 59616 DONATED 09/27/2021</v>
      </c>
      <c r="C30" s="17" t="str">
        <f>IF(Master[[#This Row],[Cooperator (Donor) 2 -full record]]="","",Master[[#This Row],[Cooperator (Donor) 2 -full record]])</f>
        <v>CO932</v>
      </c>
      <c r="D30" s="2"/>
    </row>
    <row r="31" spans="2:4" x14ac:dyDescent="0.25">
      <c r="B31" s="7" t="str">
        <f>Master[[#This Row],[Accession Prefix (NPGS)]]&amp;" "&amp;Master[[#This Row],[Accession Number -Assigned]]&amp;" DONATED "&amp;TEXT(Master[[#This Row],[Received Date -received by site]], "MM/DD/YYYY")</f>
        <v>W6 59617 DONATED 09/27/2021</v>
      </c>
      <c r="C31" s="17" t="str">
        <f>IF(Master[[#This Row],[Cooperator (Donor) 2 -full record]]="","",Master[[#This Row],[Cooperator (Donor) 2 -full record]])</f>
        <v>NV030</v>
      </c>
      <c r="D31" s="2"/>
    </row>
    <row r="32" spans="2:4" x14ac:dyDescent="0.25">
      <c r="B32" s="7" t="str">
        <f>Master[[#This Row],[Accession Prefix (NPGS)]]&amp;" "&amp;Master[[#This Row],[Accession Number -Assigned]]&amp;" DONATED "&amp;TEXT(Master[[#This Row],[Received Date -received by site]], "MM/DD/YYYY")</f>
        <v>W6 59618 DONATED 09/27/2021</v>
      </c>
      <c r="C32" s="17" t="str">
        <f>IF(Master[[#This Row],[Cooperator (Donor) 2 -full record]]="","",Master[[#This Row],[Cooperator (Donor) 2 -full record]])</f>
        <v>NV030</v>
      </c>
      <c r="D32" s="2"/>
    </row>
    <row r="33" spans="2:4" x14ac:dyDescent="0.25">
      <c r="B33" s="7" t="str">
        <f>Master[[#This Row],[Accession Prefix (NPGS)]]&amp;" "&amp;Master[[#This Row],[Accession Number -Assigned]]&amp;" DONATED "&amp;TEXT(Master[[#This Row],[Received Date -received by site]], "MM/DD/YYYY")</f>
        <v>W6 59619 DONATED 09/27/2021</v>
      </c>
      <c r="C33" s="17" t="str">
        <f>IF(Master[[#This Row],[Cooperator (Donor) 2 -full record]]="","",Master[[#This Row],[Cooperator (Donor) 2 -full record]])</f>
        <v>NV030</v>
      </c>
      <c r="D33" s="2"/>
    </row>
    <row r="34" spans="2:4" x14ac:dyDescent="0.25">
      <c r="B34" s="7" t="str">
        <f>Master[[#This Row],[Accession Prefix (NPGS)]]&amp;" "&amp;Master[[#This Row],[Accession Number -Assigned]]&amp;" DONATED "&amp;TEXT(Master[[#This Row],[Received Date -received by site]], "MM/DD/YYYY")</f>
        <v>W6 59620 DONATED 09/27/2021</v>
      </c>
      <c r="C34" s="17" t="str">
        <f>IF(Master[[#This Row],[Cooperator (Donor) 2 -full record]]="","",Master[[#This Row],[Cooperator (Donor) 2 -full record]])</f>
        <v>NV030</v>
      </c>
      <c r="D34" s="2"/>
    </row>
    <row r="35" spans="2:4" x14ac:dyDescent="0.25">
      <c r="B35" s="7" t="str">
        <f>Master[[#This Row],[Accession Prefix (NPGS)]]&amp;" "&amp;Master[[#This Row],[Accession Number -Assigned]]&amp;" DONATED "&amp;TEXT(Master[[#This Row],[Received Date -received by site]], "MM/DD/YYYY")</f>
        <v>W6 59621 DONATED 09/27/2021</v>
      </c>
      <c r="C35" s="17" t="str">
        <f>IF(Master[[#This Row],[Cooperator (Donor) 2 -full record]]="","",Master[[#This Row],[Cooperator (Donor) 2 -full record]])</f>
        <v>NV030</v>
      </c>
      <c r="D35" s="2"/>
    </row>
    <row r="36" spans="2:4" x14ac:dyDescent="0.25">
      <c r="B36" s="7" t="str">
        <f>Master[[#This Row],[Accession Prefix (NPGS)]]&amp;" "&amp;Master[[#This Row],[Accession Number -Assigned]]&amp;" DONATED "&amp;TEXT(Master[[#This Row],[Received Date -received by site]], "MM/DD/YYYY")</f>
        <v>W6 59622 DONATED 09/27/2021</v>
      </c>
      <c r="C36" s="17" t="str">
        <f>IF(Master[[#This Row],[Cooperator (Donor) 2 -full record]]="","",Master[[#This Row],[Cooperator (Donor) 2 -full record]])</f>
        <v>NV030</v>
      </c>
      <c r="D36" s="2"/>
    </row>
    <row r="37" spans="2:4" x14ac:dyDescent="0.25">
      <c r="B37" s="7" t="str">
        <f>Master[[#This Row],[Accession Prefix (NPGS)]]&amp;" "&amp;Master[[#This Row],[Accession Number -Assigned]]&amp;" DONATED "&amp;TEXT(Master[[#This Row],[Received Date -received by site]], "MM/DD/YYYY")</f>
        <v>W6 59623 DONATED 09/27/2021</v>
      </c>
      <c r="C37" s="17" t="str">
        <f>IF(Master[[#This Row],[Cooperator (Donor) 2 -full record]]="","",Master[[#This Row],[Cooperator (Donor) 2 -full record]])</f>
        <v>NV030</v>
      </c>
      <c r="D37" s="2"/>
    </row>
    <row r="38" spans="2:4" x14ac:dyDescent="0.25">
      <c r="B38" s="7" t="str">
        <f>Master[[#This Row],[Accession Prefix (NPGS)]]&amp;" "&amp;Master[[#This Row],[Accession Number -Assigned]]&amp;" DONATED "&amp;TEXT(Master[[#This Row],[Received Date -received by site]], "MM/DD/YYYY")</f>
        <v>W6 59624 DONATED 09/27/2021</v>
      </c>
      <c r="C38" s="17" t="str">
        <f>IF(Master[[#This Row],[Cooperator (Donor) 2 -full record]]="","",Master[[#This Row],[Cooperator (Donor) 2 -full record]])</f>
        <v>NV030</v>
      </c>
      <c r="D38" s="2"/>
    </row>
    <row r="39" spans="2:4" x14ac:dyDescent="0.25">
      <c r="B39" s="7" t="str">
        <f>Master[[#This Row],[Accession Prefix (NPGS)]]&amp;" "&amp;Master[[#This Row],[Accession Number -Assigned]]&amp;" DONATED "&amp;TEXT(Master[[#This Row],[Received Date -received by site]], "MM/DD/YYYY")</f>
        <v>W6 59625 DONATED 09/27/2021</v>
      </c>
      <c r="C39" s="17" t="str">
        <f>IF(Master[[#This Row],[Cooperator (Donor) 2 -full record]]="","",Master[[#This Row],[Cooperator (Donor) 2 -full record]])</f>
        <v>NV030</v>
      </c>
      <c r="D39" s="2"/>
    </row>
    <row r="40" spans="2:4" x14ac:dyDescent="0.25">
      <c r="B40" s="7" t="str">
        <f>Master[[#This Row],[Accession Prefix (NPGS)]]&amp;" "&amp;Master[[#This Row],[Accession Number -Assigned]]&amp;" DONATED "&amp;TEXT(Master[[#This Row],[Received Date -received by site]], "MM/DD/YYYY")</f>
        <v>W6 59626 DONATED 09/27/2021</v>
      </c>
      <c r="C40" s="17" t="str">
        <f>IF(Master[[#This Row],[Cooperator (Donor) 2 -full record]]="","",Master[[#This Row],[Cooperator (Donor) 2 -full record]])</f>
        <v>NV030</v>
      </c>
      <c r="D40" s="2"/>
    </row>
    <row r="41" spans="2:4" x14ac:dyDescent="0.25">
      <c r="B41" s="7" t="str">
        <f>Master[[#This Row],[Accession Prefix (NPGS)]]&amp;" "&amp;Master[[#This Row],[Accession Number -Assigned]]&amp;" DONATED "&amp;TEXT(Master[[#This Row],[Received Date -received by site]], "MM/DD/YYYY")</f>
        <v>W6 59627 DONATED 09/27/2021</v>
      </c>
      <c r="C41" s="17" t="str">
        <f>IF(Master[[#This Row],[Cooperator (Donor) 2 -full record]]="","",Master[[#This Row],[Cooperator (Donor) 2 -full record]])</f>
        <v>NV030</v>
      </c>
      <c r="D41" s="2"/>
    </row>
    <row r="42" spans="2:4" x14ac:dyDescent="0.25">
      <c r="B42" s="7" t="str">
        <f>Master[[#This Row],[Accession Prefix (NPGS)]]&amp;" "&amp;Master[[#This Row],[Accession Number -Assigned]]&amp;" DONATED "&amp;TEXT(Master[[#This Row],[Received Date -received by site]], "MM/DD/YYYY")</f>
        <v>W6 59628 DONATED 09/27/2021</v>
      </c>
      <c r="C42" s="17" t="str">
        <f>IF(Master[[#This Row],[Cooperator (Donor) 2 -full record]]="","",Master[[#This Row],[Cooperator (Donor) 2 -full record]])</f>
        <v>NV030</v>
      </c>
      <c r="D42" s="2"/>
    </row>
    <row r="43" spans="2:4" x14ac:dyDescent="0.25">
      <c r="B43" s="7" t="str">
        <f>Master[[#This Row],[Accession Prefix (NPGS)]]&amp;" "&amp;Master[[#This Row],[Accession Number -Assigned]]&amp;" DONATED "&amp;TEXT(Master[[#This Row],[Received Date -received by site]], "MM/DD/YYYY")</f>
        <v>W6 59629 DONATED 09/27/2021</v>
      </c>
      <c r="C43" s="17" t="str">
        <f>IF(Master[[#This Row],[Cooperator (Donor) 2 -full record]]="","",Master[[#This Row],[Cooperator (Donor) 2 -full record]])</f>
        <v>NV030</v>
      </c>
      <c r="D43" s="2"/>
    </row>
    <row r="44" spans="2:4" x14ac:dyDescent="0.25">
      <c r="B44" s="7" t="str">
        <f>Master[[#This Row],[Accession Prefix (NPGS)]]&amp;" "&amp;Master[[#This Row],[Accession Number -Assigned]]&amp;" DONATED "&amp;TEXT(Master[[#This Row],[Received Date -received by site]], "MM/DD/YYYY")</f>
        <v>W6 59630 DONATED 09/27/2021</v>
      </c>
      <c r="C44" s="17" t="str">
        <f>IF(Master[[#This Row],[Cooperator (Donor) 2 -full record]]="","",Master[[#This Row],[Cooperator (Donor) 2 -full record]])</f>
        <v>NV030</v>
      </c>
      <c r="D44" s="2"/>
    </row>
    <row r="45" spans="2:4" x14ac:dyDescent="0.25">
      <c r="B45" s="7" t="str">
        <f>Master[[#This Row],[Accession Prefix (NPGS)]]&amp;" "&amp;Master[[#This Row],[Accession Number -Assigned]]&amp;" DONATED "&amp;TEXT(Master[[#This Row],[Received Date -received by site]], "MM/DD/YYYY")</f>
        <v>W6 59631 DONATED 09/27/2021</v>
      </c>
      <c r="C45" s="17" t="str">
        <f>IF(Master[[#This Row],[Cooperator (Donor) 2 -full record]]="","",Master[[#This Row],[Cooperator (Donor) 2 -full record]])</f>
        <v>NV030</v>
      </c>
      <c r="D45" s="2"/>
    </row>
    <row r="46" spans="2:4" x14ac:dyDescent="0.25">
      <c r="B46" s="7" t="str">
        <f>Master[[#This Row],[Accession Prefix (NPGS)]]&amp;" "&amp;Master[[#This Row],[Accession Number -Assigned]]&amp;" DONATED "&amp;TEXT(Master[[#This Row],[Received Date -received by site]], "MM/DD/YYYY")</f>
        <v>W6 59632 DONATED 09/27/2021</v>
      </c>
      <c r="C46" s="17" t="str">
        <f>IF(Master[[#This Row],[Cooperator (Donor) 2 -full record]]="","",Master[[#This Row],[Cooperator (Donor) 2 -full record]])</f>
        <v>NV030</v>
      </c>
      <c r="D46" s="2"/>
    </row>
    <row r="47" spans="2:4" x14ac:dyDescent="0.25">
      <c r="B47" s="7" t="str">
        <f>Master[[#This Row],[Accession Prefix (NPGS)]]&amp;" "&amp;Master[[#This Row],[Accession Number -Assigned]]&amp;" DONATED "&amp;TEXT(Master[[#This Row],[Received Date -received by site]], "MM/DD/YYYY")</f>
        <v>W6 59633 DONATED 09/27/2021</v>
      </c>
      <c r="C47" s="17" t="str">
        <f>IF(Master[[#This Row],[Cooperator (Donor) 2 -full record]]="","",Master[[#This Row],[Cooperator (Donor) 2 -full record]])</f>
        <v>NV030</v>
      </c>
      <c r="D47" s="2"/>
    </row>
    <row r="48" spans="2:4" x14ac:dyDescent="0.25">
      <c r="B48" s="7" t="str">
        <f>Master[[#This Row],[Accession Prefix (NPGS)]]&amp;" "&amp;Master[[#This Row],[Accession Number -Assigned]]&amp;" DONATED "&amp;TEXT(Master[[#This Row],[Received Date -received by site]], "MM/DD/YYYY")</f>
        <v>W6 59634 DONATED 09/27/2021</v>
      </c>
      <c r="C48" s="17" t="str">
        <f>IF(Master[[#This Row],[Cooperator (Donor) 2 -full record]]="","",Master[[#This Row],[Cooperator (Donor) 2 -full record]])</f>
        <v>NV030</v>
      </c>
      <c r="D48" s="2"/>
    </row>
    <row r="49" spans="2:4" x14ac:dyDescent="0.25">
      <c r="B49" s="7" t="str">
        <f>Master[[#This Row],[Accession Prefix (NPGS)]]&amp;" "&amp;Master[[#This Row],[Accession Number -Assigned]]&amp;" DONATED "&amp;TEXT(Master[[#This Row],[Received Date -received by site]], "MM/DD/YYYY")</f>
        <v>W6 59635 DONATED 09/27/2021</v>
      </c>
      <c r="C49" s="17" t="str">
        <f>IF(Master[[#This Row],[Cooperator (Donor) 2 -full record]]="","",Master[[#This Row],[Cooperator (Donor) 2 -full record]])</f>
        <v>NV030</v>
      </c>
      <c r="D49" s="2"/>
    </row>
    <row r="50" spans="2:4" x14ac:dyDescent="0.25">
      <c r="B50" s="7" t="str">
        <f>Master[[#This Row],[Accession Prefix (NPGS)]]&amp;" "&amp;Master[[#This Row],[Accession Number -Assigned]]&amp;" DONATED "&amp;TEXT(Master[[#This Row],[Received Date -received by site]], "MM/DD/YYYY")</f>
        <v>W6 59636 DONATED 09/27/2021</v>
      </c>
      <c r="C50" s="17" t="str">
        <f>IF(Master[[#This Row],[Cooperator (Donor) 2 -full record]]="","",Master[[#This Row],[Cooperator (Donor) 2 -full record]])</f>
        <v>NV030</v>
      </c>
      <c r="D50" s="2"/>
    </row>
    <row r="51" spans="2:4" x14ac:dyDescent="0.25">
      <c r="B51" s="7" t="str">
        <f>Master[[#This Row],[Accession Prefix (NPGS)]]&amp;" "&amp;Master[[#This Row],[Accession Number -Assigned]]&amp;" DONATED "&amp;TEXT(Master[[#This Row],[Received Date -received by site]], "MM/DD/YYYY")</f>
        <v>W6 59637 DONATED 09/27/2021</v>
      </c>
      <c r="C51" s="17" t="str">
        <f>IF(Master[[#This Row],[Cooperator (Donor) 2 -full record]]="","",Master[[#This Row],[Cooperator (Donor) 2 -full record]])</f>
        <v>NV030</v>
      </c>
      <c r="D51" s="2"/>
    </row>
    <row r="52" spans="2:4" x14ac:dyDescent="0.25">
      <c r="B52" s="7" t="str">
        <f>Master[[#This Row],[Accession Prefix (NPGS)]]&amp;" "&amp;Master[[#This Row],[Accession Number -Assigned]]&amp;" DONATED "&amp;TEXT(Master[[#This Row],[Received Date -received by site]], "MM/DD/YYYY")</f>
        <v>W6 59638 DONATED 09/27/2021</v>
      </c>
      <c r="C52" s="17" t="str">
        <f>IF(Master[[#This Row],[Cooperator (Donor) 2 -full record]]="","",Master[[#This Row],[Cooperator (Donor) 2 -full record]])</f>
        <v>NV030</v>
      </c>
      <c r="D52" s="2"/>
    </row>
    <row r="53" spans="2:4" x14ac:dyDescent="0.25">
      <c r="B53" s="7" t="str">
        <f>Master[[#This Row],[Accession Prefix (NPGS)]]&amp;" "&amp;Master[[#This Row],[Accession Number -Assigned]]&amp;" DONATED "&amp;TEXT(Master[[#This Row],[Received Date -received by site]], "MM/DD/YYYY")</f>
        <v>W6 59639 DONATED 09/27/2021</v>
      </c>
      <c r="C53" s="17" t="str">
        <f>IF(Master[[#This Row],[Cooperator (Donor) 2 -full record]]="","",Master[[#This Row],[Cooperator (Donor) 2 -full record]])</f>
        <v>NV030</v>
      </c>
      <c r="D53" s="2"/>
    </row>
    <row r="54" spans="2:4" x14ac:dyDescent="0.25">
      <c r="B54" s="7" t="str">
        <f>Master[[#This Row],[Accession Prefix (NPGS)]]&amp;" "&amp;Master[[#This Row],[Accession Number -Assigned]]&amp;" DONATED "&amp;TEXT(Master[[#This Row],[Received Date -received by site]], "MM/DD/YYYY")</f>
        <v>W6 59640 DONATED 09/27/2021</v>
      </c>
      <c r="C54" s="17" t="str">
        <f>IF(Master[[#This Row],[Cooperator (Donor) 2 -full record]]="","",Master[[#This Row],[Cooperator (Donor) 2 -full record]])</f>
        <v>NV030</v>
      </c>
      <c r="D54" s="2"/>
    </row>
    <row r="55" spans="2:4" x14ac:dyDescent="0.25">
      <c r="B55" s="7" t="str">
        <f>Master[[#This Row],[Accession Prefix (NPGS)]]&amp;" "&amp;Master[[#This Row],[Accession Number -Assigned]]&amp;" DONATED "&amp;TEXT(Master[[#This Row],[Received Date -received by site]], "MM/DD/YYYY")</f>
        <v>W6 59641 DONATED 09/27/2021</v>
      </c>
      <c r="C55" s="17" t="str">
        <f>IF(Master[[#This Row],[Cooperator (Donor) 2 -full record]]="","",Master[[#This Row],[Cooperator (Donor) 2 -full record]])</f>
        <v>NV030</v>
      </c>
      <c r="D55" s="2"/>
    </row>
    <row r="56" spans="2:4" x14ac:dyDescent="0.25">
      <c r="B56" s="7" t="str">
        <f>Master[[#This Row],[Accession Prefix (NPGS)]]&amp;" "&amp;Master[[#This Row],[Accession Number -Assigned]]&amp;" DONATED "&amp;TEXT(Master[[#This Row],[Received Date -received by site]], "MM/DD/YYYY")</f>
        <v>W6 59642 DONATED 09/27/2021</v>
      </c>
      <c r="C56" s="17" t="str">
        <f>IF(Master[[#This Row],[Cooperator (Donor) 2 -full record]]="","",Master[[#This Row],[Cooperator (Donor) 2 -full record]])</f>
        <v>NV030</v>
      </c>
      <c r="D56" s="2"/>
    </row>
    <row r="57" spans="2:4" x14ac:dyDescent="0.25">
      <c r="B57" s="7" t="str">
        <f>Master[[#This Row],[Accession Prefix (NPGS)]]&amp;" "&amp;Master[[#This Row],[Accession Number -Assigned]]&amp;" DONATED "&amp;TEXT(Master[[#This Row],[Received Date -received by site]], "MM/DD/YYYY")</f>
        <v>W6 59643 DONATED 09/27/2021</v>
      </c>
      <c r="C57" s="17" t="str">
        <f>IF(Master[[#This Row],[Cooperator (Donor) 2 -full record]]="","",Master[[#This Row],[Cooperator (Donor) 2 -full record]])</f>
        <v>UT020</v>
      </c>
      <c r="D57" s="2"/>
    </row>
    <row r="58" spans="2:4" x14ac:dyDescent="0.25">
      <c r="B58" s="7" t="str">
        <f>Master[[#This Row],[Accession Prefix (NPGS)]]&amp;" "&amp;Master[[#This Row],[Accession Number -Assigned]]&amp;" DONATED "&amp;TEXT(Master[[#This Row],[Received Date -received by site]], "MM/DD/YYYY")</f>
        <v>W6 59644 DONATED 09/27/2021</v>
      </c>
      <c r="C58" s="17" t="str">
        <f>IF(Master[[#This Row],[Cooperator (Donor) 2 -full record]]="","",Master[[#This Row],[Cooperator (Donor) 2 -full record]])</f>
        <v>UT020</v>
      </c>
      <c r="D58" s="2"/>
    </row>
    <row r="59" spans="2:4" x14ac:dyDescent="0.25">
      <c r="B59" s="7" t="str">
        <f>Master[[#This Row],[Accession Prefix (NPGS)]]&amp;" "&amp;Master[[#This Row],[Accession Number -Assigned]]&amp;" DONATED "&amp;TEXT(Master[[#This Row],[Received Date -received by site]], "MM/DD/YYYY")</f>
        <v>W6 59645 DONATED 09/27/2021</v>
      </c>
      <c r="C59" s="17" t="str">
        <f>IF(Master[[#This Row],[Cooperator (Donor) 2 -full record]]="","",Master[[#This Row],[Cooperator (Donor) 2 -full record]])</f>
        <v>UT020</v>
      </c>
      <c r="D59" s="2"/>
    </row>
    <row r="60" spans="2:4" x14ac:dyDescent="0.25">
      <c r="B60" s="7" t="str">
        <f>Master[[#This Row],[Accession Prefix (NPGS)]]&amp;" "&amp;Master[[#This Row],[Accession Number -Assigned]]&amp;" DONATED "&amp;TEXT(Master[[#This Row],[Received Date -received by site]], "MM/DD/YYYY")</f>
        <v>W6 59646 DONATED 09/27/2021</v>
      </c>
      <c r="C60" s="17" t="str">
        <f>IF(Master[[#This Row],[Cooperator (Donor) 2 -full record]]="","",Master[[#This Row],[Cooperator (Donor) 2 -full record]])</f>
        <v>UT020</v>
      </c>
      <c r="D60" s="2"/>
    </row>
    <row r="61" spans="2:4" x14ac:dyDescent="0.25">
      <c r="B61" s="7" t="str">
        <f>Master[[#This Row],[Accession Prefix (NPGS)]]&amp;" "&amp;Master[[#This Row],[Accession Number -Assigned]]&amp;" DONATED "&amp;TEXT(Master[[#This Row],[Received Date -received by site]], "MM/DD/YYYY")</f>
        <v>W6 59647 DONATED 09/27/2021</v>
      </c>
      <c r="C61" s="17" t="str">
        <f>IF(Master[[#This Row],[Cooperator (Donor) 2 -full record]]="","",Master[[#This Row],[Cooperator (Donor) 2 -full record]])</f>
        <v>UT020</v>
      </c>
      <c r="D61" s="2"/>
    </row>
    <row r="62" spans="2:4" x14ac:dyDescent="0.25">
      <c r="B62" s="7" t="str">
        <f>Master[[#This Row],[Accession Prefix (NPGS)]]&amp;" "&amp;Master[[#This Row],[Accession Number -Assigned]]&amp;" DONATED "&amp;TEXT(Master[[#This Row],[Received Date -received by site]], "MM/DD/YYYY")</f>
        <v>W6 59648 DONATED 09/27/2021</v>
      </c>
      <c r="C62" s="17" t="str">
        <f>IF(Master[[#This Row],[Cooperator (Donor) 2 -full record]]="","",Master[[#This Row],[Cooperator (Donor) 2 -full record]])</f>
        <v>UT020</v>
      </c>
      <c r="D62" s="2"/>
    </row>
    <row r="63" spans="2:4" x14ac:dyDescent="0.25">
      <c r="B63" s="7" t="str">
        <f>Master[[#This Row],[Accession Prefix (NPGS)]]&amp;" "&amp;Master[[#This Row],[Accession Number -Assigned]]&amp;" DONATED "&amp;TEXT(Master[[#This Row],[Received Date -received by site]], "MM/DD/YYYY")</f>
        <v>W6 59649 DONATED 09/27/2021</v>
      </c>
      <c r="C63" s="17" t="str">
        <f>IF(Master[[#This Row],[Cooperator (Donor) 2 -full record]]="","",Master[[#This Row],[Cooperator (Donor) 2 -full record]])</f>
        <v>UT020</v>
      </c>
      <c r="D63" s="2"/>
    </row>
    <row r="64" spans="2:4" x14ac:dyDescent="0.25">
      <c r="B64" s="7" t="str">
        <f>Master[[#This Row],[Accession Prefix (NPGS)]]&amp;" "&amp;Master[[#This Row],[Accession Number -Assigned]]&amp;" DONATED "&amp;TEXT(Master[[#This Row],[Received Date -received by site]], "MM/DD/YYYY")</f>
        <v>W6 59650 DONATED 09/27/2021</v>
      </c>
      <c r="C64" s="17" t="str">
        <f>IF(Master[[#This Row],[Cooperator (Donor) 2 -full record]]="","",Master[[#This Row],[Cooperator (Donor) 2 -full record]])</f>
        <v>UT020</v>
      </c>
      <c r="D64" s="2"/>
    </row>
    <row r="65" spans="2:4" x14ac:dyDescent="0.25">
      <c r="B65" s="7" t="str">
        <f>Master[[#This Row],[Accession Prefix (NPGS)]]&amp;" "&amp;Master[[#This Row],[Accession Number -Assigned]]&amp;" DONATED "&amp;TEXT(Master[[#This Row],[Received Date -received by site]], "MM/DD/YYYY")</f>
        <v>W6 59651 DONATED 09/27/2021</v>
      </c>
      <c r="C65" s="17" t="str">
        <f>IF(Master[[#This Row],[Cooperator (Donor) 2 -full record]]="","",Master[[#This Row],[Cooperator (Donor) 2 -full record]])</f>
        <v>UT020</v>
      </c>
      <c r="D65" s="2"/>
    </row>
    <row r="66" spans="2:4" x14ac:dyDescent="0.25">
      <c r="B66" s="7" t="str">
        <f>Master[[#This Row],[Accession Prefix (NPGS)]]&amp;" "&amp;Master[[#This Row],[Accession Number -Assigned]]&amp;" DONATED "&amp;TEXT(Master[[#This Row],[Received Date -received by site]], "MM/DD/YYYY")</f>
        <v>W6 59652 DONATED 09/27/2021</v>
      </c>
      <c r="C66" s="17" t="str">
        <f>IF(Master[[#This Row],[Cooperator (Donor) 2 -full record]]="","",Master[[#This Row],[Cooperator (Donor) 2 -full record]])</f>
        <v>UT020</v>
      </c>
      <c r="D66" s="2"/>
    </row>
    <row r="67" spans="2:4" x14ac:dyDescent="0.25">
      <c r="B67" s="7" t="str">
        <f>Master[[#This Row],[Accession Prefix (NPGS)]]&amp;" "&amp;Master[[#This Row],[Accession Number -Assigned]]&amp;" DONATED "&amp;TEXT(Master[[#This Row],[Received Date -received by site]], "MM/DD/YYYY")</f>
        <v>W6 59653 DONATED 09/27/2021</v>
      </c>
      <c r="C67" s="17" t="str">
        <f>IF(Master[[#This Row],[Cooperator (Donor) 2 -full record]]="","",Master[[#This Row],[Cooperator (Donor) 2 -full record]])</f>
        <v>UT020</v>
      </c>
      <c r="D67" s="2"/>
    </row>
    <row r="68" spans="2:4" x14ac:dyDescent="0.25">
      <c r="B68" s="7" t="str">
        <f>Master[[#This Row],[Accession Prefix (NPGS)]]&amp;" "&amp;Master[[#This Row],[Accession Number -Assigned]]&amp;" DONATED "&amp;TEXT(Master[[#This Row],[Received Date -received by site]], "MM/DD/YYYY")</f>
        <v>W6 59654 DONATED 09/27/2021</v>
      </c>
      <c r="C68" s="17" t="str">
        <f>IF(Master[[#This Row],[Cooperator (Donor) 2 -full record]]="","",Master[[#This Row],[Cooperator (Donor) 2 -full record]])</f>
        <v>UT020</v>
      </c>
      <c r="D68" s="2"/>
    </row>
    <row r="69" spans="2:4" x14ac:dyDescent="0.25">
      <c r="B69" s="7" t="str">
        <f>Master[[#This Row],[Accession Prefix (NPGS)]]&amp;" "&amp;Master[[#This Row],[Accession Number -Assigned]]&amp;" DONATED "&amp;TEXT(Master[[#This Row],[Received Date -received by site]], "MM/DD/YYYY")</f>
        <v>W6 59655 DONATED 09/27/2021</v>
      </c>
      <c r="C69" s="17" t="str">
        <f>IF(Master[[#This Row],[Cooperator (Donor) 2 -full record]]="","",Master[[#This Row],[Cooperator (Donor) 2 -full record]])</f>
        <v>UT080</v>
      </c>
      <c r="D69" s="2"/>
    </row>
    <row r="70" spans="2:4" x14ac:dyDescent="0.25">
      <c r="B70" s="7" t="str">
        <f>Master[[#This Row],[Accession Prefix (NPGS)]]&amp;" "&amp;Master[[#This Row],[Accession Number -Assigned]]&amp;" DONATED "&amp;TEXT(Master[[#This Row],[Received Date -received by site]], "MM/DD/YYYY")</f>
        <v>W6 59656 DONATED 09/27/2021</v>
      </c>
      <c r="C70" s="17" t="str">
        <f>IF(Master[[#This Row],[Cooperator (Donor) 2 -full record]]="","",Master[[#This Row],[Cooperator (Donor) 2 -full record]])</f>
        <v>UT080</v>
      </c>
      <c r="D70" s="2"/>
    </row>
    <row r="71" spans="2:4" x14ac:dyDescent="0.25">
      <c r="B71" s="7" t="str">
        <f>Master[[#This Row],[Accession Prefix (NPGS)]]&amp;" "&amp;Master[[#This Row],[Accession Number -Assigned]]&amp;" DONATED "&amp;TEXT(Master[[#This Row],[Received Date -received by site]], "MM/DD/YYYY")</f>
        <v>W6 59657 DONATED 09/27/2021</v>
      </c>
      <c r="C71" s="17" t="str">
        <f>IF(Master[[#This Row],[Cooperator (Donor) 2 -full record]]="","",Master[[#This Row],[Cooperator (Donor) 2 -full record]])</f>
        <v>UT080</v>
      </c>
      <c r="D71" s="2"/>
    </row>
    <row r="72" spans="2:4" x14ac:dyDescent="0.25">
      <c r="B72" s="7" t="str">
        <f>Master[[#This Row],[Accession Prefix (NPGS)]]&amp;" "&amp;Master[[#This Row],[Accession Number -Assigned]]&amp;" DONATED "&amp;TEXT(Master[[#This Row],[Received Date -received by site]], "MM/DD/YYYY")</f>
        <v>W6 59658 DONATED 09/27/2021</v>
      </c>
      <c r="C72" s="17" t="str">
        <f>IF(Master[[#This Row],[Cooperator (Donor) 2 -full record]]="","",Master[[#This Row],[Cooperator (Donor) 2 -full record]])</f>
        <v>UT080</v>
      </c>
      <c r="D72" s="2"/>
    </row>
    <row r="73" spans="2:4" x14ac:dyDescent="0.25">
      <c r="B73" s="7" t="str">
        <f>Master[[#This Row],[Accession Prefix (NPGS)]]&amp;" "&amp;Master[[#This Row],[Accession Number -Assigned]]&amp;" DONATED "&amp;TEXT(Master[[#This Row],[Received Date -received by site]], "MM/DD/YYYY")</f>
        <v>W6 59659 DONATED 09/27/2021</v>
      </c>
      <c r="C73" s="17" t="str">
        <f>IF(Master[[#This Row],[Cooperator (Donor) 2 -full record]]="","",Master[[#This Row],[Cooperator (Donor) 2 -full record]])</f>
        <v>UT080</v>
      </c>
      <c r="D73" s="2"/>
    </row>
    <row r="74" spans="2:4" x14ac:dyDescent="0.25">
      <c r="B74" s="7" t="str">
        <f>Master[[#This Row],[Accession Prefix (NPGS)]]&amp;" "&amp;Master[[#This Row],[Accession Number -Assigned]]&amp;" DONATED "&amp;TEXT(Master[[#This Row],[Received Date -received by site]], "MM/DD/YYYY")</f>
        <v>W6 59660 DONATED 09/27/2021</v>
      </c>
      <c r="C74" s="17" t="str">
        <f>IF(Master[[#This Row],[Cooperator (Donor) 2 -full record]]="","",Master[[#This Row],[Cooperator (Donor) 2 -full record]])</f>
        <v>UT080</v>
      </c>
      <c r="D74" s="2"/>
    </row>
    <row r="75" spans="2:4" x14ac:dyDescent="0.25">
      <c r="B75" s="7" t="str">
        <f>Master[[#This Row],[Accession Prefix (NPGS)]]&amp;" "&amp;Master[[#This Row],[Accession Number -Assigned]]&amp;" DONATED "&amp;TEXT(Master[[#This Row],[Received Date -received by site]], "MM/DD/YYYY")</f>
        <v>W6 59661 DONATED 09/27/2021</v>
      </c>
      <c r="C75" s="17" t="str">
        <f>IF(Master[[#This Row],[Cooperator (Donor) 2 -full record]]="","",Master[[#This Row],[Cooperator (Donor) 2 -full record]])</f>
        <v>UT080</v>
      </c>
      <c r="D75" s="2"/>
    </row>
    <row r="76" spans="2:4" x14ac:dyDescent="0.25">
      <c r="B76" s="7" t="str">
        <f>Master[[#This Row],[Accession Prefix (NPGS)]]&amp;" "&amp;Master[[#This Row],[Accession Number -Assigned]]&amp;" DONATED "&amp;TEXT(Master[[#This Row],[Received Date -received by site]], "MM/DD/YYYY")</f>
        <v>W6 59662 DONATED 09/27/2021</v>
      </c>
      <c r="C76" s="17" t="str">
        <f>IF(Master[[#This Row],[Cooperator (Donor) 2 -full record]]="","",Master[[#This Row],[Cooperator (Donor) 2 -full record]])</f>
        <v>UT080</v>
      </c>
      <c r="D76" s="2"/>
    </row>
    <row r="77" spans="2:4" x14ac:dyDescent="0.25">
      <c r="B77" s="7" t="str">
        <f>Master[[#This Row],[Accession Prefix (NPGS)]]&amp;" "&amp;Master[[#This Row],[Accession Number -Assigned]]&amp;" DONATED "&amp;TEXT(Master[[#This Row],[Received Date -received by site]], "MM/DD/YYYY")</f>
        <v>W6 59663 DONATED 09/27/2021</v>
      </c>
      <c r="C77" s="17" t="str">
        <f>IF(Master[[#This Row],[Cooperator (Donor) 2 -full record]]="","",Master[[#This Row],[Cooperator (Donor) 2 -full record]])</f>
        <v>UT080</v>
      </c>
      <c r="D77" s="2"/>
    </row>
    <row r="78" spans="2:4" x14ac:dyDescent="0.25">
      <c r="B78" s="7" t="str">
        <f>Master[[#This Row],[Accession Prefix (NPGS)]]&amp;" "&amp;Master[[#This Row],[Accession Number -Assigned]]&amp;" DONATED "&amp;TEXT(Master[[#This Row],[Received Date -received by site]], "MM/DD/YYYY")</f>
        <v>W6 59664 DONATED 09/27/2021</v>
      </c>
      <c r="C78" s="17" t="str">
        <f>IF(Master[[#This Row],[Cooperator (Donor) 2 -full record]]="","",Master[[#This Row],[Cooperator (Donor) 2 -full record]])</f>
        <v>UT080</v>
      </c>
      <c r="D78" s="2"/>
    </row>
    <row r="79" spans="2:4" x14ac:dyDescent="0.25">
      <c r="B79" s="7" t="str">
        <f>Master[[#This Row],[Accession Prefix (NPGS)]]&amp;" "&amp;Master[[#This Row],[Accession Number -Assigned]]&amp;" DONATED "&amp;TEXT(Master[[#This Row],[Received Date -received by site]], "MM/DD/YYYY")</f>
        <v>W6 59665 DONATED 09/27/2021</v>
      </c>
      <c r="C79" s="17" t="str">
        <f>IF(Master[[#This Row],[Cooperator (Donor) 2 -full record]]="","",Master[[#This Row],[Cooperator (Donor) 2 -full record]])</f>
        <v>UT080</v>
      </c>
      <c r="D79" s="2"/>
    </row>
    <row r="80" spans="2:4" x14ac:dyDescent="0.25">
      <c r="B80" s="7" t="str">
        <f>Master[[#This Row],[Accession Prefix (NPGS)]]&amp;" "&amp;Master[[#This Row],[Accession Number -Assigned]]&amp;" DONATED "&amp;TEXT(Master[[#This Row],[Received Date -received by site]], "MM/DD/YYYY")</f>
        <v>W6 59666 DONATED 09/27/2021</v>
      </c>
      <c r="C80" s="17" t="str">
        <f>IF(Master[[#This Row],[Cooperator (Donor) 2 -full record]]="","",Master[[#This Row],[Cooperator (Donor) 2 -full record]])</f>
        <v>UT080</v>
      </c>
      <c r="D80" s="2"/>
    </row>
    <row r="81" spans="2:4" x14ac:dyDescent="0.25">
      <c r="B81" s="7" t="str">
        <f>Master[[#This Row],[Accession Prefix (NPGS)]]&amp;" "&amp;Master[[#This Row],[Accession Number -Assigned]]&amp;" DONATED "&amp;TEXT(Master[[#This Row],[Received Date -received by site]], "MM/DD/YYYY")</f>
        <v>W6 59667 DONATED 09/27/2021</v>
      </c>
      <c r="C81" s="17" t="str">
        <f>IF(Master[[#This Row],[Cooperator (Donor) 2 -full record]]="","",Master[[#This Row],[Cooperator (Donor) 2 -full record]])</f>
        <v>UT080</v>
      </c>
      <c r="D81" s="2"/>
    </row>
    <row r="82" spans="2:4" x14ac:dyDescent="0.25">
      <c r="B82" s="7" t="str">
        <f>Master[[#This Row],[Accession Prefix (NPGS)]]&amp;" "&amp;Master[[#This Row],[Accession Number -Assigned]]&amp;" DONATED "&amp;TEXT(Master[[#This Row],[Received Date -received by site]], "MM/DD/YYYY")</f>
        <v>W6 59668 DONATED 09/27/2021</v>
      </c>
      <c r="C82" s="17" t="str">
        <f>IF(Master[[#This Row],[Cooperator (Donor) 2 -full record]]="","",Master[[#This Row],[Cooperator (Donor) 2 -full record]])</f>
        <v>UT080</v>
      </c>
      <c r="D82" s="2"/>
    </row>
    <row r="83" spans="2:4" x14ac:dyDescent="0.25">
      <c r="B83" s="7" t="str">
        <f>Master[[#This Row],[Accession Prefix (NPGS)]]&amp;" "&amp;Master[[#This Row],[Accession Number -Assigned]]&amp;" DONATED "&amp;TEXT(Master[[#This Row],[Received Date -received by site]], "MM/DD/YYYY")</f>
        <v>W6 59669 DONATED 09/27/2021</v>
      </c>
      <c r="C83" s="17" t="str">
        <f>IF(Master[[#This Row],[Cooperator (Donor) 2 -full record]]="","",Master[[#This Row],[Cooperator (Donor) 2 -full record]])</f>
        <v>UT080</v>
      </c>
      <c r="D83" s="2"/>
    </row>
    <row r="84" spans="2:4" x14ac:dyDescent="0.25">
      <c r="B84" s="7" t="str">
        <f>Master[[#This Row],[Accession Prefix (NPGS)]]&amp;" "&amp;Master[[#This Row],[Accession Number -Assigned]]&amp;" DONATED "&amp;TEXT(Master[[#This Row],[Received Date -received by site]], "MM/DD/YYYY")</f>
        <v>W6 59670 DONATED 09/27/2021</v>
      </c>
      <c r="C84" s="17" t="str">
        <f>IF(Master[[#This Row],[Cooperator (Donor) 2 -full record]]="","",Master[[#This Row],[Cooperator (Donor) 2 -full record]])</f>
        <v>UT080</v>
      </c>
      <c r="D84" s="2"/>
    </row>
    <row r="85" spans="2:4" x14ac:dyDescent="0.25">
      <c r="B85" s="7" t="str">
        <f>Master[[#This Row],[Accession Prefix (NPGS)]]&amp;" "&amp;Master[[#This Row],[Accession Number -Assigned]]&amp;" DONATED "&amp;TEXT(Master[[#This Row],[Received Date -received by site]], "MM/DD/YYYY")</f>
        <v>W6 59671 DONATED 09/27/2021</v>
      </c>
      <c r="C85" s="17" t="str">
        <f>IF(Master[[#This Row],[Cooperator (Donor) 2 -full record]]="","",Master[[#This Row],[Cooperator (Donor) 2 -full record]])</f>
        <v>UT080</v>
      </c>
      <c r="D85" s="2"/>
    </row>
    <row r="86" spans="2:4" x14ac:dyDescent="0.25">
      <c r="B86" s="7" t="str">
        <f>Master[[#This Row],[Accession Prefix (NPGS)]]&amp;" "&amp;Master[[#This Row],[Accession Number -Assigned]]&amp;" DONATED "&amp;TEXT(Master[[#This Row],[Received Date -received by site]], "MM/DD/YYYY")</f>
        <v>W6 59672 DONATED 09/27/2021</v>
      </c>
      <c r="C86" s="17" t="str">
        <f>IF(Master[[#This Row],[Cooperator (Donor) 2 -full record]]="","",Master[[#This Row],[Cooperator (Donor) 2 -full record]])</f>
        <v>UT080</v>
      </c>
      <c r="D86" s="2"/>
    </row>
    <row r="87" spans="2:4" x14ac:dyDescent="0.25">
      <c r="B87" s="7" t="str">
        <f>Master[[#This Row],[Accession Prefix (NPGS)]]&amp;" "&amp;Master[[#This Row],[Accession Number -Assigned]]&amp;" DONATED "&amp;TEXT(Master[[#This Row],[Received Date -received by site]], "MM/DD/YYYY")</f>
        <v>W6 59673 DONATED 09/27/2021</v>
      </c>
      <c r="C87" s="17" t="str">
        <f>IF(Master[[#This Row],[Cooperator (Donor) 2 -full record]]="","",Master[[#This Row],[Cooperator (Donor) 2 -full record]])</f>
        <v>UT080</v>
      </c>
      <c r="D87" s="2"/>
    </row>
    <row r="88" spans="2:4" x14ac:dyDescent="0.25">
      <c r="B88" s="7" t="str">
        <f>Master[[#This Row],[Accession Prefix (NPGS)]]&amp;" "&amp;Master[[#This Row],[Accession Number -Assigned]]&amp;" DONATED "&amp;TEXT(Master[[#This Row],[Received Date -received by site]], "MM/DD/YYYY")</f>
        <v>W6 59674 DONATED 09/27/2021</v>
      </c>
      <c r="C88" s="17" t="str">
        <f>IF(Master[[#This Row],[Cooperator (Donor) 2 -full record]]="","",Master[[#This Row],[Cooperator (Donor) 2 -full record]])</f>
        <v>UT080</v>
      </c>
      <c r="D88" s="2"/>
    </row>
    <row r="89" spans="2:4" x14ac:dyDescent="0.25">
      <c r="B89" s="7" t="str">
        <f>Master[[#This Row],[Accession Prefix (NPGS)]]&amp;" "&amp;Master[[#This Row],[Accession Number -Assigned]]&amp;" DONATED "&amp;TEXT(Master[[#This Row],[Received Date -received by site]], "MM/DD/YYYY")</f>
        <v>W6 59675 DONATED 09/27/2021</v>
      </c>
      <c r="C89" s="17" t="str">
        <f>IF(Master[[#This Row],[Cooperator (Donor) 2 -full record]]="","",Master[[#This Row],[Cooperator (Donor) 2 -full record]])</f>
        <v>UT080</v>
      </c>
      <c r="D89" s="2"/>
    </row>
    <row r="90" spans="2:4" x14ac:dyDescent="0.25">
      <c r="B90" s="7" t="str">
        <f>Master[[#This Row],[Accession Prefix (NPGS)]]&amp;" "&amp;Master[[#This Row],[Accession Number -Assigned]]&amp;" DONATED "&amp;TEXT(Master[[#This Row],[Received Date -received by site]], "MM/DD/YYYY")</f>
        <v>W6 59676 DONATED 09/27/2021</v>
      </c>
      <c r="C90" s="17" t="str">
        <f>IF(Master[[#This Row],[Cooperator (Donor) 2 -full record]]="","",Master[[#This Row],[Cooperator (Donor) 2 -full record]])</f>
        <v>UT080</v>
      </c>
      <c r="D90" s="2"/>
    </row>
    <row r="91" spans="2:4" x14ac:dyDescent="0.25">
      <c r="B91" s="7" t="str">
        <f>Master[[#This Row],[Accession Prefix (NPGS)]]&amp;" "&amp;Master[[#This Row],[Accession Number -Assigned]]&amp;" DONATED "&amp;TEXT(Master[[#This Row],[Received Date -received by site]], "MM/DD/YYYY")</f>
        <v>W6 59677 DONATED 09/27/2021</v>
      </c>
      <c r="C91" s="17" t="str">
        <f>IF(Master[[#This Row],[Cooperator (Donor) 2 -full record]]="","",Master[[#This Row],[Cooperator (Donor) 2 -full record]])</f>
        <v>UT080</v>
      </c>
      <c r="D91" s="2"/>
    </row>
    <row r="92" spans="2:4" x14ac:dyDescent="0.25">
      <c r="B92" s="7" t="str">
        <f>Master[[#This Row],[Accession Prefix (NPGS)]]&amp;" "&amp;Master[[#This Row],[Accession Number -Assigned]]&amp;" DONATED "&amp;TEXT(Master[[#This Row],[Received Date -received by site]], "MM/DD/YYYY")</f>
        <v>W6 59678 DONATED 09/27/2021</v>
      </c>
      <c r="C92" s="17" t="str">
        <f>IF(Master[[#This Row],[Cooperator (Donor) 2 -full record]]="","",Master[[#This Row],[Cooperator (Donor) 2 -full record]])</f>
        <v>UT080</v>
      </c>
      <c r="D92" s="2"/>
    </row>
    <row r="93" spans="2:4" x14ac:dyDescent="0.25">
      <c r="B93" s="7" t="str">
        <f>Master[[#This Row],[Accession Prefix (NPGS)]]&amp;" "&amp;Master[[#This Row],[Accession Number -Assigned]]&amp;" DONATED "&amp;TEXT(Master[[#This Row],[Received Date -received by site]], "MM/DD/YYYY")</f>
        <v>W6 59679 DONATED 09/27/2021</v>
      </c>
      <c r="C93" s="17" t="str">
        <f>IF(Master[[#This Row],[Cooperator (Donor) 2 -full record]]="","",Master[[#This Row],[Cooperator (Donor) 2 -full record]])</f>
        <v>UT080</v>
      </c>
      <c r="D93" s="2"/>
    </row>
    <row r="94" spans="2:4" x14ac:dyDescent="0.25">
      <c r="B94" s="7" t="str">
        <f>Master[[#This Row],[Accession Prefix (NPGS)]]&amp;" "&amp;Master[[#This Row],[Accession Number -Assigned]]&amp;" DONATED "&amp;TEXT(Master[[#This Row],[Received Date -received by site]], "MM/DD/YYYY")</f>
        <v>W6 59680 DONATED 09/27/2021</v>
      </c>
      <c r="C94" s="17" t="str">
        <f>IF(Master[[#This Row],[Cooperator (Donor) 2 -full record]]="","",Master[[#This Row],[Cooperator (Donor) 2 -full record]])</f>
        <v>UT080</v>
      </c>
      <c r="D94" s="2"/>
    </row>
    <row r="95" spans="2:4" x14ac:dyDescent="0.25">
      <c r="B95" s="7" t="str">
        <f>Master[[#This Row],[Accession Prefix (NPGS)]]&amp;" "&amp;Master[[#This Row],[Accession Number -Assigned]]&amp;" DONATED "&amp;TEXT(Master[[#This Row],[Received Date -received by site]], "MM/DD/YYYY")</f>
        <v>W6 59681 DONATED 09/27/2021</v>
      </c>
      <c r="C95" s="17" t="str">
        <f>IF(Master[[#This Row],[Cooperator (Donor) 2 -full record]]="","",Master[[#This Row],[Cooperator (Donor) 2 -full record]])</f>
        <v>UT080</v>
      </c>
      <c r="D95" s="2"/>
    </row>
    <row r="96" spans="2:4" x14ac:dyDescent="0.25">
      <c r="B96" s="7" t="str">
        <f>Master[[#This Row],[Accession Prefix (NPGS)]]&amp;" "&amp;Master[[#This Row],[Accession Number -Assigned]]&amp;" DONATED "&amp;TEXT(Master[[#This Row],[Received Date -received by site]], "MM/DD/YYYY")</f>
        <v>W6 59682 DONATED 09/27/2021</v>
      </c>
      <c r="C96" s="17" t="str">
        <f>IF(Master[[#This Row],[Cooperator (Donor) 2 -full record]]="","",Master[[#This Row],[Cooperator (Donor) 2 -full record]])</f>
        <v>UT080</v>
      </c>
      <c r="D96" s="2"/>
    </row>
    <row r="97" spans="2:3" x14ac:dyDescent="0.25">
      <c r="B97" s="7" t="str">
        <f>Master[[#This Row],[Accession Prefix (NPGS)]]&amp;" "&amp;Master[[#This Row],[Accession Number -Assigned]]&amp;" DONATED "&amp;TEXT(Master[[#This Row],[Received Date -received by site]], "MM/DD/YYYY")</f>
        <v>W6 59683 DONATED 09/27/2021</v>
      </c>
      <c r="C97" s="17" t="str">
        <f>IF(Master[[#This Row],[Cooperator (Donor) 2 -full record]]="","",Master[[#This Row],[Cooperator (Donor) 2 -full record]])</f>
        <v>WY050</v>
      </c>
    </row>
    <row r="98" spans="2:3" x14ac:dyDescent="0.25">
      <c r="B98" s="7" t="str">
        <f>Master[[#This Row],[Accession Prefix (NPGS)]]&amp;" "&amp;Master[[#This Row],[Accession Number -Assigned]]&amp;" DONATED "&amp;TEXT(Master[[#This Row],[Received Date -received by site]], "MM/DD/YYYY")</f>
        <v>W6 59684 DONATED 09/27/2021</v>
      </c>
      <c r="C98" s="17" t="str">
        <f>IF(Master[[#This Row],[Cooperator (Donor) 2 -full record]]="","",Master[[#This Row],[Cooperator (Donor) 2 -full record]])</f>
        <v>WY070</v>
      </c>
    </row>
    <row r="99" spans="2:3" x14ac:dyDescent="0.25">
      <c r="B99" s="7" t="str">
        <f>Master[[#This Row],[Accession Prefix (NPGS)]]&amp;" "&amp;Master[[#This Row],[Accession Number -Assigned]]&amp;" DONATED "&amp;TEXT(Master[[#This Row],[Received Date -received by site]], "MM/DD/YYYY")</f>
        <v>W6 59685 DONATED 09/27/2021</v>
      </c>
      <c r="C99" s="17" t="str">
        <f>IF(Master[[#This Row],[Cooperator (Donor) 2 -full record]]="","",Master[[#This Row],[Cooperator (Donor) 2 -full record]])</f>
        <v>WY070</v>
      </c>
    </row>
    <row r="100" spans="2:3" x14ac:dyDescent="0.25">
      <c r="B100" s="7" t="str">
        <f>Master[[#This Row],[Accession Prefix (NPGS)]]&amp;" "&amp;Master[[#This Row],[Accession Number -Assigned]]&amp;" DONATED "&amp;TEXT(Master[[#This Row],[Received Date -received by site]], "MM/DD/YYYY")</f>
        <v>W6 59686 DONATED 09/27/2021</v>
      </c>
      <c r="C100" s="17" t="str">
        <f>IF(Master[[#This Row],[Cooperator (Donor) 2 -full record]]="","",Master[[#This Row],[Cooperator (Donor) 2 -full record]])</f>
        <v>WY070</v>
      </c>
    </row>
    <row r="101" spans="2:3" x14ac:dyDescent="0.25">
      <c r="B101" s="7" t="str">
        <f>Master[[#This Row],[Accession Prefix (NPGS)]]&amp;" "&amp;Master[[#This Row],[Accession Number -Assigned]]&amp;" DONATED "&amp;TEXT(Master[[#This Row],[Received Date -received by site]], "MM/DD/YYYY")</f>
        <v>W6 59687 DONATED 09/27/2021</v>
      </c>
      <c r="C101" s="17" t="str">
        <f>IF(Master[[#This Row],[Cooperator (Donor) 2 -full record]]="","",Master[[#This Row],[Cooperator (Donor) 2 -full record]])</f>
        <v>WY070</v>
      </c>
    </row>
    <row r="102" spans="2:3" x14ac:dyDescent="0.25">
      <c r="B102" s="7" t="str">
        <f>Master[[#This Row],[Accession Prefix (NPGS)]]&amp;" "&amp;Master[[#This Row],[Accession Number -Assigned]]&amp;" DONATED "&amp;TEXT(Master[[#This Row],[Received Date -received by site]], "MM/DD/YYYY")</f>
        <v>W6 59688 DONATED 09/27/2021</v>
      </c>
      <c r="C102" s="17" t="str">
        <f>IF(Master[[#This Row],[Cooperator (Donor) 2 -full record]]="","",Master[[#This Row],[Cooperator (Donor) 2 -full record]])</f>
        <v>WY070</v>
      </c>
    </row>
    <row r="103" spans="2:3" x14ac:dyDescent="0.25">
      <c r="B103" s="7" t="str">
        <f>Master[[#This Row],[Accession Prefix (NPGS)]]&amp;" "&amp;Master[[#This Row],[Accession Number -Assigned]]&amp;" DONATED "&amp;TEXT(Master[[#This Row],[Received Date -received by site]], "MM/DD/YYYY")</f>
        <v>W6 59689 DONATED 09/27/2021</v>
      </c>
      <c r="C103" s="17" t="str">
        <f>IF(Master[[#This Row],[Cooperator (Donor) 2 -full record]]="","",Master[[#This Row],[Cooperator (Donor) 2 -full record]])</f>
        <v>WY070</v>
      </c>
    </row>
    <row r="104" spans="2:3" x14ac:dyDescent="0.25">
      <c r="B104" s="7" t="str">
        <f>Master[[#This Row],[Accession Prefix (NPGS)]]&amp;" "&amp;Master[[#This Row],[Accession Number -Assigned]]&amp;" DONATED "&amp;TEXT(Master[[#This Row],[Received Date -received by site]], "MM/DD/YYYY")</f>
        <v>W6 59690 DONATED 09/27/2021</v>
      </c>
      <c r="C104" s="17" t="str">
        <f>IF(Master[[#This Row],[Cooperator (Donor) 2 -full record]]="","",Master[[#This Row],[Cooperator (Donor) 2 -full record]])</f>
        <v>WY070</v>
      </c>
    </row>
    <row r="105" spans="2:3" x14ac:dyDescent="0.25">
      <c r="B105" s="7" t="str">
        <f>Master[[#This Row],[Accession Prefix (NPGS)]]&amp;" "&amp;Master[[#This Row],[Accession Number -Assigned]]&amp;" DONATED "&amp;TEXT(Master[[#This Row],[Received Date -received by site]], "MM/DD/YYYY")</f>
        <v>W6 59691 DONATED 09/27/2021</v>
      </c>
      <c r="C105" s="17" t="str">
        <f>IF(Master[[#This Row],[Cooperator (Donor) 2 -full record]]="","",Master[[#This Row],[Cooperator (Donor) 2 -full record]])</f>
        <v>WY070</v>
      </c>
    </row>
    <row r="106" spans="2:3" x14ac:dyDescent="0.25">
      <c r="B106" s="7" t="str">
        <f>Master[[#This Row],[Accession Prefix (NPGS)]]&amp;" "&amp;Master[[#This Row],[Accession Number -Assigned]]&amp;" DONATED "&amp;TEXT(Master[[#This Row],[Received Date -received by site]], "MM/DD/YYYY")</f>
        <v>W6 59692 DONATED 09/27/2021</v>
      </c>
      <c r="C106" s="17" t="str">
        <f>IF(Master[[#This Row],[Cooperator (Donor) 2 -full record]]="","",Master[[#This Row],[Cooperator (Donor) 2 -full record]])</f>
        <v>WY070</v>
      </c>
    </row>
    <row r="107" spans="2:3" x14ac:dyDescent="0.25">
      <c r="B107" s="7" t="str">
        <f>Master[[#This Row],[Accession Prefix (NPGS)]]&amp;" "&amp;Master[[#This Row],[Accession Number -Assigned]]&amp;" DONATED "&amp;TEXT(Master[[#This Row],[Received Date -received by site]], "MM/DD/YYYY")</f>
        <v>W6 59693 DONATED 09/27/2021</v>
      </c>
      <c r="C107" s="17" t="str">
        <f>IF(Master[[#This Row],[Cooperator (Donor) 2 -full record]]="","",Master[[#This Row],[Cooperator (Donor) 2 -full record]])</f>
        <v>WY070</v>
      </c>
    </row>
    <row r="108" spans="2:3" x14ac:dyDescent="0.25">
      <c r="B108" s="7" t="str">
        <f>Master[[#This Row],[Accession Prefix (NPGS)]]&amp;" "&amp;Master[[#This Row],[Accession Number -Assigned]]&amp;" DONATED "&amp;TEXT(Master[[#This Row],[Received Date -received by site]], "MM/DD/YYYY")</f>
        <v>W6 59694 DONATED 09/27/2021</v>
      </c>
      <c r="C108" s="17" t="str">
        <f>IF(Master[[#This Row],[Cooperator (Donor) 2 -full record]]="","",Master[[#This Row],[Cooperator (Donor) 2 -full record]])</f>
        <v>WY070</v>
      </c>
    </row>
    <row r="109" spans="2:3" x14ac:dyDescent="0.25">
      <c r="B109" s="7" t="str">
        <f>Master[[#This Row],[Accession Prefix (NPGS)]]&amp;" "&amp;Master[[#This Row],[Accession Number -Assigned]]&amp;" DONATED "&amp;TEXT(Master[[#This Row],[Received Date -received by site]], "MM/DD/YYYY")</f>
        <v>W6 59695 DONATED 09/27/2021</v>
      </c>
      <c r="C109" s="17" t="str">
        <f>IF(Master[[#This Row],[Cooperator (Donor) 2 -full record]]="","",Master[[#This Row],[Cooperator (Donor) 2 -full record]])</f>
        <v>WY070</v>
      </c>
    </row>
    <row r="110" spans="2:3" x14ac:dyDescent="0.25">
      <c r="B110" s="7" t="str">
        <f>Master[[#This Row],[Accession Prefix (NPGS)]]&amp;" "&amp;Master[[#This Row],[Accession Number -Assigned]]&amp;" DONATED "&amp;TEXT(Master[[#This Row],[Received Date -received by site]], "MM/DD/YYYY")</f>
        <v>W6 59696 DONATED 09/27/2021</v>
      </c>
      <c r="C110" s="17" t="str">
        <f>IF(Master[[#This Row],[Cooperator (Donor) 2 -full record]]="","",Master[[#This Row],[Cooperator (Donor) 2 -full record]])</f>
        <v>WY070</v>
      </c>
    </row>
    <row r="111" spans="2:3" x14ac:dyDescent="0.25">
      <c r="B111" s="7" t="str">
        <f>Master[[#This Row],[Accession Prefix (NPGS)]]&amp;" "&amp;Master[[#This Row],[Accession Number -Assigned]]&amp;" DONATED "&amp;TEXT(Master[[#This Row],[Received Date -received by site]], "MM/DD/YYYY")</f>
        <v>W6 59697 DONATED 09/27/2021</v>
      </c>
      <c r="C111" s="17" t="str">
        <f>IF(Master[[#This Row],[Cooperator (Donor) 2 -full record]]="","",Master[[#This Row],[Cooperator (Donor) 2 -full record]])</f>
        <v>WY070</v>
      </c>
    </row>
    <row r="112" spans="2:3" x14ac:dyDescent="0.25">
      <c r="B112" s="7" t="str">
        <f>Master[[#This Row],[Accession Prefix (NPGS)]]&amp;" "&amp;Master[[#This Row],[Accession Number -Assigned]]&amp;" DONATED "&amp;TEXT(Master[[#This Row],[Received Date -received by site]], "MM/DD/YYYY")</f>
        <v>W6 59698 DONATED 09/27/2021</v>
      </c>
      <c r="C112" s="17" t="str">
        <f>IF(Master[[#This Row],[Cooperator (Donor) 2 -full record]]="","",Master[[#This Row],[Cooperator (Donor) 2 -full record]])</f>
        <v>WY070</v>
      </c>
    </row>
    <row r="113" spans="2:3" x14ac:dyDescent="0.25">
      <c r="B113" s="7" t="str">
        <f>Master[[#This Row],[Accession Prefix (NPGS)]]&amp;" "&amp;Master[[#This Row],[Accession Number -Assigned]]&amp;" DONATED "&amp;TEXT(Master[[#This Row],[Received Date -received by site]], "MM/DD/YYYY")</f>
        <v>W6 59699 DONATED 09/27/2021</v>
      </c>
      <c r="C113" s="17" t="str">
        <f>IF(Master[[#This Row],[Cooperator (Donor) 2 -full record]]="","",Master[[#This Row],[Cooperator (Donor) 2 -full record]])</f>
        <v>WY070</v>
      </c>
    </row>
    <row r="114" spans="2:3" x14ac:dyDescent="0.25">
      <c r="B114" s="7" t="str">
        <f>Master[[#This Row],[Accession Prefix (NPGS)]]&amp;" "&amp;Master[[#This Row],[Accession Number -Assigned]]&amp;" DONATED "&amp;TEXT(Master[[#This Row],[Received Date -received by site]], "MM/DD/YYYY")</f>
        <v>W6 59700 DONATED 09/27/2021</v>
      </c>
      <c r="C114" s="17" t="str">
        <f>IF(Master[[#This Row],[Cooperator (Donor) 2 -full record]]="","",Master[[#This Row],[Cooperator (Donor) 2 -full record]])</f>
        <v>WY070</v>
      </c>
    </row>
    <row r="115" spans="2:3" x14ac:dyDescent="0.25">
      <c r="B115" s="7" t="str">
        <f>Master[[#This Row],[Accession Prefix (NPGS)]]&amp;" "&amp;Master[[#This Row],[Accession Number -Assigned]]&amp;" DONATED "&amp;TEXT(Master[[#This Row],[Received Date -received by site]], "MM/DD/YYYY")</f>
        <v>W6 59701 DONATED 09/27/2021</v>
      </c>
      <c r="C115" s="17" t="str">
        <f>IF(Master[[#This Row],[Cooperator (Donor) 2 -full record]]="","",Master[[#This Row],[Cooperator (Donor) 2 -full record]])</f>
        <v>WY070</v>
      </c>
    </row>
    <row r="116" spans="2:3" x14ac:dyDescent="0.25">
      <c r="B116" s="7" t="str">
        <f>Master[[#This Row],[Accession Prefix (NPGS)]]&amp;" "&amp;Master[[#This Row],[Accession Number -Assigned]]&amp;" DONATED "&amp;TEXT(Master[[#This Row],[Received Date -received by site]], "MM/DD/YYYY")</f>
        <v>W6 59702 DONATED 09/27/2021</v>
      </c>
      <c r="C116" s="17" t="str">
        <f>IF(Master[[#This Row],[Cooperator (Donor) 2 -full record]]="","",Master[[#This Row],[Cooperator (Donor) 2 -full record]])</f>
        <v>WY070</v>
      </c>
    </row>
    <row r="117" spans="2:3" x14ac:dyDescent="0.25">
      <c r="B117" s="7" t="str">
        <f>Master[[#This Row],[Accession Prefix (NPGS)]]&amp;" "&amp;Master[[#This Row],[Accession Number -Assigned]]&amp;" DONATED "&amp;TEXT(Master[[#This Row],[Received Date -received by site]], "MM/DD/YYYY")</f>
        <v>W6 59703 DONATED 09/27/2021</v>
      </c>
      <c r="C117" s="17" t="str">
        <f>IF(Master[[#This Row],[Cooperator (Donor) 2 -full record]]="","",Master[[#This Row],[Cooperator (Donor) 2 -full record]])</f>
        <v>WY070</v>
      </c>
    </row>
    <row r="118" spans="2:3" x14ac:dyDescent="0.25">
      <c r="B118" s="7" t="str">
        <f>Master[[#This Row],[Accession Prefix (NPGS)]]&amp;" "&amp;Master[[#This Row],[Accession Number -Assigned]]&amp;" DONATED "&amp;TEXT(Master[[#This Row],[Received Date -received by site]], "MM/DD/YYYY")</f>
        <v>W6 59704 DONATED 09/27/2021</v>
      </c>
      <c r="C118" s="17" t="str">
        <f>IF(Master[[#This Row],[Cooperator (Donor) 2 -full record]]="","",Master[[#This Row],[Cooperator (Donor) 2 -full record]])</f>
        <v>WY070</v>
      </c>
    </row>
    <row r="119" spans="2:3" x14ac:dyDescent="0.25">
      <c r="B119" s="7" t="str">
        <f>Master[[#This Row],[Accession Prefix (NPGS)]]&amp;" "&amp;Master[[#This Row],[Accession Number -Assigned]]&amp;" DONATED "&amp;TEXT(Master[[#This Row],[Received Date -received by site]], "MM/DD/YYYY")</f>
        <v>W6 59705 DONATED 09/27/2021</v>
      </c>
      <c r="C119" s="17" t="str">
        <f>IF(Master[[#This Row],[Cooperator (Donor) 2 -full record]]="","",Master[[#This Row],[Cooperator (Donor) 2 -full record]])</f>
        <v>WY070</v>
      </c>
    </row>
    <row r="120" spans="2:3" x14ac:dyDescent="0.25">
      <c r="B120" s="7" t="str">
        <f>Master[[#This Row],[Accession Prefix (NPGS)]]&amp;" "&amp;Master[[#This Row],[Accession Number -Assigned]]&amp;" DONATED "&amp;TEXT(Master[[#This Row],[Received Date -received by site]], "MM/DD/YYYY")</f>
        <v>W6 59706 DONATED 09/27/2021</v>
      </c>
      <c r="C120" s="17" t="str">
        <f>IF(Master[[#This Row],[Cooperator (Donor) 2 -full record]]="","",Master[[#This Row],[Cooperator (Donor) 2 -full record]])</f>
        <v>WY070</v>
      </c>
    </row>
    <row r="121" spans="2:3" x14ac:dyDescent="0.25">
      <c r="B121" s="7" t="str">
        <f>Master[[#This Row],[Accession Prefix (NPGS)]]&amp;" "&amp;Master[[#This Row],[Accession Number -Assigned]]&amp;" DONATED "&amp;TEXT(Master[[#This Row],[Received Date -received by site]], "MM/DD/YYYY")</f>
        <v>W6 59707 DONATED 09/27/2021</v>
      </c>
      <c r="C121" s="17" t="str">
        <f>IF(Master[[#This Row],[Cooperator (Donor) 2 -full record]]="","",Master[[#This Row],[Cooperator (Donor) 2 -full record]])</f>
        <v>WY070</v>
      </c>
    </row>
    <row r="122" spans="2:3" x14ac:dyDescent="0.25">
      <c r="B122" s="7" t="str">
        <f>Master[[#This Row],[Accession Prefix (NPGS)]]&amp;" "&amp;Master[[#This Row],[Accession Number -Assigned]]&amp;" DONATED "&amp;TEXT(Master[[#This Row],[Received Date -received by site]], "MM/DD/YYYY")</f>
        <v>W6 59708 DONATED 09/27/2021</v>
      </c>
      <c r="C122" s="17" t="str">
        <f>IF(Master[[#This Row],[Cooperator (Donor) 2 -full record]]="","",Master[[#This Row],[Cooperator (Donor) 2 -full record]])</f>
        <v>WY070</v>
      </c>
    </row>
    <row r="123" spans="2:3" x14ac:dyDescent="0.25">
      <c r="B123" s="7" t="str">
        <f>Master[[#This Row],[Accession Prefix (NPGS)]]&amp;" "&amp;Master[[#This Row],[Accession Number -Assigned]]&amp;" DONATED "&amp;TEXT(Master[[#This Row],[Received Date -received by site]], "MM/DD/YYYY")</f>
        <v>W6 59709 DONATED 09/27/2021</v>
      </c>
      <c r="C123" s="17" t="str">
        <f>IF(Master[[#This Row],[Cooperator (Donor) 2 -full record]]="","",Master[[#This Row],[Cooperator (Donor) 2 -full record]])</f>
        <v>WY070</v>
      </c>
    </row>
    <row r="124" spans="2:3" x14ac:dyDescent="0.25">
      <c r="B124" s="7" t="str">
        <f>Master[[#This Row],[Accession Prefix (NPGS)]]&amp;" "&amp;Master[[#This Row],[Accession Number -Assigned]]&amp;" DONATED "&amp;TEXT(Master[[#This Row],[Received Date -received by site]], "MM/DD/YYYY")</f>
        <v>W6 59710 DONATED 09/27/2021</v>
      </c>
      <c r="C124" s="17" t="str">
        <f>IF(Master[[#This Row],[Cooperator (Donor) 2 -full record]]="","",Master[[#This Row],[Cooperator (Donor) 2 -full record]])</f>
        <v>WY070</v>
      </c>
    </row>
    <row r="125" spans="2:3" x14ac:dyDescent="0.25">
      <c r="B125" s="7" t="str">
        <f>Master[[#This Row],[Accession Prefix (NPGS)]]&amp;" "&amp;Master[[#This Row],[Accession Number -Assigned]]&amp;" DONATED "&amp;TEXT(Master[[#This Row],[Received Date -received by site]], "MM/DD/YYYY")</f>
        <v>W6 59711 DONATED 09/27/2021</v>
      </c>
      <c r="C125" s="17" t="str">
        <f>IF(Master[[#This Row],[Cooperator (Donor) 2 -full record]]="","",Master[[#This Row],[Cooperator (Donor) 2 -full record]])</f>
        <v>WY070</v>
      </c>
    </row>
    <row r="126" spans="2:3" x14ac:dyDescent="0.25">
      <c r="B126" s="7" t="str">
        <f>Master[[#This Row],[Accession Prefix (NPGS)]]&amp;" "&amp;Master[[#This Row],[Accession Number -Assigned]]&amp;" DONATED "&amp;TEXT(Master[[#This Row],[Received Date -received by site]], "MM/DD/YYYY")</f>
        <v>W6 59712 DONATED 09/27/2021</v>
      </c>
      <c r="C126" s="17" t="str">
        <f>IF(Master[[#This Row],[Cooperator (Donor) 2 -full record]]="","",Master[[#This Row],[Cooperator (Donor) 2 -full record]])</f>
        <v>WY070</v>
      </c>
    </row>
    <row r="127" spans="2:3" x14ac:dyDescent="0.25">
      <c r="B127" s="7" t="str">
        <f>Master[[#This Row],[Accession Prefix (NPGS)]]&amp;" "&amp;Master[[#This Row],[Accession Number -Assigned]]&amp;" DONATED "&amp;TEXT(Master[[#This Row],[Received Date -received by site]], "MM/DD/YYYY")</f>
        <v>W6 59713 DONATED 09/27/2021</v>
      </c>
      <c r="C127" s="17" t="str">
        <f>IF(Master[[#This Row],[Cooperator (Donor) 2 -full record]]="","",Master[[#This Row],[Cooperator (Donor) 2 -full record]])</f>
        <v>WY090</v>
      </c>
    </row>
    <row r="128" spans="2:3" x14ac:dyDescent="0.25">
      <c r="B128" s="7" t="str">
        <f>Master[[#This Row],[Accession Prefix (NPGS)]]&amp;" "&amp;Master[[#This Row],[Accession Number -Assigned]]&amp;" DONATED "&amp;TEXT(Master[[#This Row],[Received Date -received by site]], "MM/DD/YYYY")</f>
        <v>W6 59714 DONATED 09/27/2021</v>
      </c>
      <c r="C128" s="17" t="str">
        <f>IF(Master[[#This Row],[Cooperator (Donor) 2 -full record]]="","",Master[[#This Row],[Cooperator (Donor) 2 -full record]])</f>
        <v>WY090</v>
      </c>
    </row>
    <row r="129" spans="2:3" x14ac:dyDescent="0.25">
      <c r="B129" s="7" t="str">
        <f>Master[[#This Row],[Accession Prefix (NPGS)]]&amp;" "&amp;Master[[#This Row],[Accession Number -Assigned]]&amp;" DONATED "&amp;TEXT(Master[[#This Row],[Received Date -received by site]], "MM/DD/YYYY")</f>
        <v>W6 59715 DONATED 09/27/2021</v>
      </c>
      <c r="C129" s="17" t="str">
        <f>IF(Master[[#This Row],[Cooperator (Donor) 2 -full record]]="","",Master[[#This Row],[Cooperator (Donor) 2 -full record]])</f>
        <v>WY090</v>
      </c>
    </row>
    <row r="130" spans="2:3" x14ac:dyDescent="0.25">
      <c r="B130" s="7" t="str">
        <f>Master[[#This Row],[Accession Prefix (NPGS)]]&amp;" "&amp;Master[[#This Row],[Accession Number -Assigned]]&amp;" DONATED "&amp;TEXT(Master[[#This Row],[Received Date -received by site]], "MM/DD/YYYY")</f>
        <v>W6 59716 DONATED 09/27/2021</v>
      </c>
      <c r="C130" s="17" t="str">
        <f>IF(Master[[#This Row],[Cooperator (Donor) 2 -full record]]="","",Master[[#This Row],[Cooperator (Donor) 2 -full record]])</f>
        <v>WY090</v>
      </c>
    </row>
    <row r="131" spans="2:3" x14ac:dyDescent="0.25">
      <c r="B131" s="7" t="str">
        <f>Master[[#This Row],[Accession Prefix (NPGS)]]&amp;" "&amp;Master[[#This Row],[Accession Number -Assigned]]&amp;" DONATED "&amp;TEXT(Master[[#This Row],[Received Date -received by site]], "MM/DD/YYYY")</f>
        <v>W6 59717 DONATED 09/27/2021</v>
      </c>
      <c r="C131" s="17" t="str">
        <f>IF(Master[[#This Row],[Cooperator (Donor) 2 -full record]]="","",Master[[#This Row],[Cooperator (Donor) 2 -full record]])</f>
        <v>WY090</v>
      </c>
    </row>
    <row r="132" spans="2:3" x14ac:dyDescent="0.25">
      <c r="B132" s="7" t="str">
        <f>Master[[#This Row],[Accession Prefix (NPGS)]]&amp;" "&amp;Master[[#This Row],[Accession Number -Assigned]]&amp;" DONATED "&amp;TEXT(Master[[#This Row],[Received Date -received by site]], "MM/DD/YYYY")</f>
        <v>W6 59718 DONATED 09/27/2021</v>
      </c>
      <c r="C132" s="17" t="str">
        <f>IF(Master[[#This Row],[Cooperator (Donor) 2 -full record]]="","",Master[[#This Row],[Cooperator (Donor) 2 -full record]])</f>
        <v>WY090</v>
      </c>
    </row>
    <row r="133" spans="2:3" x14ac:dyDescent="0.25">
      <c r="B133" s="7" t="str">
        <f>Master[[#This Row],[Accession Prefix (NPGS)]]&amp;" "&amp;Master[[#This Row],[Accession Number -Assigned]]&amp;" DONATED "&amp;TEXT(Master[[#This Row],[Received Date -received by site]], "MM/DD/YYYY")</f>
        <v>W6 59719 DONATED 09/27/2021</v>
      </c>
      <c r="C133" s="17" t="str">
        <f>IF(Master[[#This Row],[Cooperator (Donor) 2 -full record]]="","",Master[[#This Row],[Cooperator (Donor) 2 -full record]])</f>
        <v>WY090</v>
      </c>
    </row>
    <row r="134" spans="2:3" x14ac:dyDescent="0.25">
      <c r="B134" s="7" t="str">
        <f>Master[[#This Row],[Accession Prefix (NPGS)]]&amp;" "&amp;Master[[#This Row],[Accession Number -Assigned]]&amp;" DONATED "&amp;TEXT(Master[[#This Row],[Received Date -received by site]], "MM/DD/YYYY")</f>
        <v>W6 59720 DONATED 09/27/2021</v>
      </c>
      <c r="C134" s="17" t="str">
        <f>IF(Master[[#This Row],[Cooperator (Donor) 2 -full record]]="","",Master[[#This Row],[Cooperator (Donor) 2 -full record]])</f>
        <v>WY090</v>
      </c>
    </row>
    <row r="135" spans="2:3" x14ac:dyDescent="0.25">
      <c r="B135" s="7" t="str">
        <f>Master[[#This Row],[Accession Prefix (NPGS)]]&amp;" "&amp;Master[[#This Row],[Accession Number -Assigned]]&amp;" DONATED "&amp;TEXT(Master[[#This Row],[Received Date -received by site]], "MM/DD/YYYY")</f>
        <v>W6 59721 DONATED 09/27/2021</v>
      </c>
      <c r="C135" s="17" t="str">
        <f>IF(Master[[#This Row],[Cooperator (Donor) 2 -full record]]="","",Master[[#This Row],[Cooperator (Donor) 2 -full record]])</f>
        <v>WY090</v>
      </c>
    </row>
    <row r="136" spans="2:3" x14ac:dyDescent="0.25">
      <c r="B136" s="7" t="str">
        <f>Master[[#This Row],[Accession Prefix (NPGS)]]&amp;" "&amp;Master[[#This Row],[Accession Number -Assigned]]&amp;" DONATED "&amp;TEXT(Master[[#This Row],[Received Date -received by site]], "MM/DD/YYYY")</f>
        <v>W6 59722 DONATED 09/27/2021</v>
      </c>
      <c r="C136" s="17" t="str">
        <f>IF(Master[[#This Row],[Cooperator (Donor) 2 -full record]]="","",Master[[#This Row],[Cooperator (Donor) 2 -full record]])</f>
        <v>WY090</v>
      </c>
    </row>
    <row r="137" spans="2:3" x14ac:dyDescent="0.25">
      <c r="B137" s="7" t="str">
        <f>Master[[#This Row],[Accession Prefix (NPGS)]]&amp;" "&amp;Master[[#This Row],[Accession Number -Assigned]]&amp;" DONATED "&amp;TEXT(Master[[#This Row],[Received Date -received by site]], "MM/DD/YYYY")</f>
        <v>W6 59723 DONATED 09/27/2021</v>
      </c>
      <c r="C137" s="17" t="str">
        <f>IF(Master[[#This Row],[Cooperator (Donor) 2 -full record]]="","",Master[[#This Row],[Cooperator (Donor) 2 -full record]])</f>
        <v>WY090</v>
      </c>
    </row>
    <row r="138" spans="2:3" x14ac:dyDescent="0.25">
      <c r="B138" s="7" t="str">
        <f>Master[[#This Row],[Accession Prefix (NPGS)]]&amp;" "&amp;Master[[#This Row],[Accession Number -Assigned]]&amp;" DONATED "&amp;TEXT(Master[[#This Row],[Received Date -received by site]], "MM/DD/YYYY")</f>
        <v>W6 59724 DONATED 09/27/2021</v>
      </c>
      <c r="C138" s="17" t="str">
        <f>IF(Master[[#This Row],[Cooperator (Donor) 2 -full record]]="","",Master[[#This Row],[Cooperator (Donor) 2 -full record]])</f>
        <v>WY090</v>
      </c>
    </row>
    <row r="139" spans="2:3" x14ac:dyDescent="0.25">
      <c r="B139" s="7" t="str">
        <f>Master[[#This Row],[Accession Prefix (NPGS)]]&amp;" "&amp;Master[[#This Row],[Accession Number -Assigned]]&amp;" DONATED "&amp;TEXT(Master[[#This Row],[Received Date -received by site]], "MM/DD/YYYY")</f>
        <v>W6 59725 DONATED 09/27/2021</v>
      </c>
      <c r="C139" s="17" t="str">
        <f>IF(Master[[#This Row],[Cooperator (Donor) 2 -full record]]="","",Master[[#This Row],[Cooperator (Donor) 2 -full record]])</f>
        <v>WY090</v>
      </c>
    </row>
    <row r="140" spans="2:3" x14ac:dyDescent="0.25">
      <c r="B140" s="7" t="str">
        <f>Master[[#This Row],[Accession Prefix (NPGS)]]&amp;" "&amp;Master[[#This Row],[Accession Number -Assigned]]&amp;" DONATED "&amp;TEXT(Master[[#This Row],[Received Date -received by site]], "MM/DD/YYYY")</f>
        <v>W6 59726 DONATED 09/27/2021</v>
      </c>
      <c r="C140" s="17" t="str">
        <f>IF(Master[[#This Row],[Cooperator (Donor) 2 -full record]]="","",Master[[#This Row],[Cooperator (Donor) 2 -full record]])</f>
        <v>WY090</v>
      </c>
    </row>
    <row r="141" spans="2:3" x14ac:dyDescent="0.25">
      <c r="B141" s="7" t="str">
        <f>Master[[#This Row],[Accession Prefix (NPGS)]]&amp;" "&amp;Master[[#This Row],[Accession Number -Assigned]]&amp;" DONATED "&amp;TEXT(Master[[#This Row],[Received Date -received by site]], "MM/DD/YYYY")</f>
        <v>W6 59727 DONATED 09/27/2021</v>
      </c>
      <c r="C141" s="17" t="str">
        <f>IF(Master[[#This Row],[Cooperator (Donor) 2 -full record]]="","",Master[[#This Row],[Cooperator (Donor) 2 -full record]])</f>
        <v>WY090</v>
      </c>
    </row>
    <row r="142" spans="2:3" x14ac:dyDescent="0.25">
      <c r="B142" s="7" t="str">
        <f>Master[[#This Row],[Accession Prefix (NPGS)]]&amp;" "&amp;Master[[#This Row],[Accession Number -Assigned]]&amp;" DONATED "&amp;TEXT(Master[[#This Row],[Received Date -received by site]], "MM/DD/YYYY")</f>
        <v>W6 59728 DONATED 09/27/2021</v>
      </c>
      <c r="C142" s="17" t="str">
        <f>IF(Master[[#This Row],[Cooperator (Donor) 2 -full record]]="","",Master[[#This Row],[Cooperator (Donor) 2 -full record]])</f>
        <v>WY090</v>
      </c>
    </row>
    <row r="143" spans="2:3" x14ac:dyDescent="0.25">
      <c r="B143" s="7" t="str">
        <f>Master[[#This Row],[Accession Prefix (NPGS)]]&amp;" "&amp;Master[[#This Row],[Accession Number -Assigned]]&amp;" DONATED "&amp;TEXT(Master[[#This Row],[Received Date -received by site]], "MM/DD/YYYY")</f>
        <v>W6 59729 DONATED 09/27/2021</v>
      </c>
      <c r="C143" s="17" t="str">
        <f>IF(Master[[#This Row],[Cooperator (Donor) 2 -full record]]="","",Master[[#This Row],[Cooperator (Donor) 2 -full record]])</f>
        <v>WY090</v>
      </c>
    </row>
    <row r="144" spans="2:3" x14ac:dyDescent="0.25">
      <c r="B144" s="7" t="str">
        <f>Master[[#This Row],[Accession Prefix (NPGS)]]&amp;" "&amp;Master[[#This Row],[Accession Number -Assigned]]&amp;" DONATED "&amp;TEXT(Master[[#This Row],[Received Date -received by site]], "MM/DD/YYYY")</f>
        <v>W6 59730 DONATED 09/27/2021</v>
      </c>
      <c r="C144" s="17" t="str">
        <f>IF(Master[[#This Row],[Cooperator (Donor) 2 -full record]]="","",Master[[#This Row],[Cooperator (Donor) 2 -full record]])</f>
        <v>WY090</v>
      </c>
    </row>
    <row r="145" spans="2:3" x14ac:dyDescent="0.25">
      <c r="B145" s="7" t="str">
        <f>Master[[#This Row],[Accession Prefix (NPGS)]]&amp;" "&amp;Master[[#This Row],[Accession Number -Assigned]]&amp;" DONATED "&amp;TEXT(Master[[#This Row],[Received Date -received by site]], "MM/DD/YYYY")</f>
        <v>W6 59731 DONATED 09/27/2021</v>
      </c>
      <c r="C145" s="17" t="str">
        <f>IF(Master[[#This Row],[Cooperator (Donor) 2 -full record]]="","",Master[[#This Row],[Cooperator (Donor) 2 -full record]])</f>
        <v>WY090</v>
      </c>
    </row>
    <row r="146" spans="2:3" x14ac:dyDescent="0.25">
      <c r="B146" s="7" t="str">
        <f>Master[[#This Row],[Accession Prefix (NPGS)]]&amp;" "&amp;Master[[#This Row],[Accession Number -Assigned]]&amp;" DONATED "&amp;TEXT(Master[[#This Row],[Received Date -received by site]], "MM/DD/YYYY")</f>
        <v>W6 59732 DONATED 09/27/2021</v>
      </c>
      <c r="C146" s="17" t="str">
        <f>IF(Master[[#This Row],[Cooperator (Donor) 2 -full record]]="","",Master[[#This Row],[Cooperator (Donor) 2 -full record]])</f>
        <v>WY090</v>
      </c>
    </row>
    <row r="147" spans="2:3" x14ac:dyDescent="0.25">
      <c r="B147" s="7" t="str">
        <f>Master[[#This Row],[Accession Prefix (NPGS)]]&amp;" "&amp;Master[[#This Row],[Accession Number -Assigned]]&amp;" DONATED "&amp;TEXT(Master[[#This Row],[Received Date -received by site]], "MM/DD/YYYY")</f>
        <v>W6 59733 DONATED 09/27/2021</v>
      </c>
      <c r="C147" s="17" t="str">
        <f>IF(Master[[#This Row],[Cooperator (Donor) 2 -full record]]="","",Master[[#This Row],[Cooperator (Donor) 2 -full record]])</f>
        <v>WY090</v>
      </c>
    </row>
    <row r="148" spans="2:3" x14ac:dyDescent="0.25">
      <c r="B148" s="7" t="str">
        <f>Master[[#This Row],[Accession Prefix (NPGS)]]&amp;" "&amp;Master[[#This Row],[Accession Number -Assigned]]&amp;" DONATED "&amp;TEXT(Master[[#This Row],[Received Date -received by site]], "MM/DD/YYYY")</f>
        <v>W6 59734 DONATED 09/27/2021</v>
      </c>
      <c r="C148" s="17" t="str">
        <f>IF(Master[[#This Row],[Cooperator (Donor) 2 -full record]]="","",Master[[#This Row],[Cooperator (Donor) 2 -full record]])</f>
        <v>WY090</v>
      </c>
    </row>
    <row r="149" spans="2:3" x14ac:dyDescent="0.25">
      <c r="B149" s="7" t="str">
        <f>Master[[#This Row],[Accession Prefix (NPGS)]]&amp;" "&amp;Master[[#This Row],[Accession Number -Assigned]]&amp;" DONATED "&amp;TEXT(Master[[#This Row],[Received Date -received by site]], "MM/DD/YYYY")</f>
        <v>W6 59735 DONATED 09/27/2021</v>
      </c>
      <c r="C149" s="17" t="str">
        <f>IF(Master[[#This Row],[Cooperator (Donor) 2 -full record]]="","",Master[[#This Row],[Cooperator (Donor) 2 -full record]])</f>
        <v>WY090</v>
      </c>
    </row>
    <row r="150" spans="2:3" x14ac:dyDescent="0.25">
      <c r="B150" s="7" t="str">
        <f>Master[[#This Row],[Accession Prefix (NPGS)]]&amp;" "&amp;Master[[#This Row],[Accession Number -Assigned]]&amp;" DONATED "&amp;TEXT(Master[[#This Row],[Received Date -received by site]], "MM/DD/YYYY")</f>
        <v>W6 59736 DONATED 09/27/2021</v>
      </c>
      <c r="C150" s="17" t="str">
        <f>IF(Master[[#This Row],[Cooperator (Donor) 2 -full record]]="","",Master[[#This Row],[Cooperator (Donor) 2 -full record]])</f>
        <v>WY090</v>
      </c>
    </row>
    <row r="151" spans="2:3" x14ac:dyDescent="0.25">
      <c r="B151" s="7" t="str">
        <f>Master[[#This Row],[Accession Prefix (NPGS)]]&amp;" "&amp;Master[[#This Row],[Accession Number -Assigned]]&amp;" DONATED "&amp;TEXT(Master[[#This Row],[Received Date -received by site]], "MM/DD/YYYY")</f>
        <v>W6 59737 DONATED 09/27/2021</v>
      </c>
      <c r="C151" s="17" t="str">
        <f>IF(Master[[#This Row],[Cooperator (Donor) 2 -full record]]="","",Master[[#This Row],[Cooperator (Donor) 2 -full record]])</f>
        <v>WY090</v>
      </c>
    </row>
    <row r="152" spans="2:3" x14ac:dyDescent="0.25">
      <c r="B152" s="7" t="str">
        <f>Master[[#This Row],[Accession Prefix (NPGS)]]&amp;" "&amp;Master[[#This Row],[Accession Number -Assigned]]&amp;" DONATED "&amp;TEXT(Master[[#This Row],[Received Date -received by site]], "MM/DD/YYYY")</f>
        <v xml:space="preserve">  DONATED 01/00/1900</v>
      </c>
      <c r="C152" s="17" t="str">
        <f>IF(Master[[#This Row],[Cooperator (Donor) 2 -full record]]="","",Master[[#This Row],[Cooperator (Donor) 2 -full record]])</f>
        <v/>
      </c>
    </row>
    <row r="153" spans="2:3" x14ac:dyDescent="0.25">
      <c r="B153" s="7" t="str">
        <f>Master[[#This Row],[Accession Prefix (NPGS)]]&amp;" "&amp;Master[[#This Row],[Accession Number -Assigned]]&amp;" DONATED "&amp;TEXT(Master[[#This Row],[Received Date -received by site]], "MM/DD/YYYY")</f>
        <v xml:space="preserve">  DONATED 01/00/1900</v>
      </c>
      <c r="C153" s="17" t="str">
        <f>IF(Master[[#This Row],[Cooperator (Donor) 2 -full record]]="","",Master[[#This Row],[Cooperator (Donor) 2 -full record]])</f>
        <v/>
      </c>
    </row>
    <row r="154" spans="2:3" x14ac:dyDescent="0.25">
      <c r="B154" s="7" t="str">
        <f>Master[[#This Row],[Accession Prefix (NPGS)]]&amp;" "&amp;Master[[#This Row],[Accession Number -Assigned]]&amp;" DONATED "&amp;TEXT(Master[[#This Row],[Received Date -received by site]], "MM/DD/YYYY")</f>
        <v xml:space="preserve">  DONATED 01/00/1900</v>
      </c>
      <c r="C154" s="17" t="str">
        <f>IF(Master[[#This Row],[Cooperator (Donor) 2 -full record]]="","",Master[[#This Row],[Cooperator (Donor) 2 -full record]])</f>
        <v/>
      </c>
    </row>
    <row r="155" spans="2:3" x14ac:dyDescent="0.25">
      <c r="B155" s="7" t="str">
        <f>Master[[#This Row],[Accession Prefix (NPGS)]]&amp;" "&amp;Master[[#This Row],[Accession Number -Assigned]]&amp;" DONATED "&amp;TEXT(Master[[#This Row],[Received Date -received by site]], "MM/DD/YYYY")</f>
        <v xml:space="preserve">  DONATED 01/00/1900</v>
      </c>
      <c r="C155" s="17" t="str">
        <f>IF(Master[[#This Row],[Cooperator (Donor) 2 -full record]]="","",Master[[#This Row],[Cooperator (Donor) 2 -full record]])</f>
        <v/>
      </c>
    </row>
    <row r="156" spans="2:3" x14ac:dyDescent="0.25">
      <c r="B156" s="7" t="str">
        <f>Master[[#This Row],[Accession Prefix (NPGS)]]&amp;" "&amp;Master[[#This Row],[Accession Number -Assigned]]&amp;" DONATED "&amp;TEXT(Master[[#This Row],[Received Date -received by site]], "MM/DD/YYYY")</f>
        <v xml:space="preserve">  DONATED 01/00/1900</v>
      </c>
      <c r="C156" s="17" t="str">
        <f>IF(Master[[#This Row],[Cooperator (Donor) 2 -full record]]="","",Master[[#This Row],[Cooperator (Donor) 2 -full record]])</f>
        <v/>
      </c>
    </row>
    <row r="157" spans="2:3" x14ac:dyDescent="0.25">
      <c r="B157" s="7" t="str">
        <f>Master[[#This Row],[Accession Prefix (NPGS)]]&amp;" "&amp;Master[[#This Row],[Accession Number -Assigned]]&amp;" DONATED "&amp;TEXT(Master[[#This Row],[Received Date -received by site]], "MM/DD/YYYY")</f>
        <v xml:space="preserve">  DONATED 01/00/1900</v>
      </c>
      <c r="C157" s="17" t="str">
        <f>IF(Master[[#This Row],[Cooperator (Donor) 2 -full record]]="","",Master[[#This Row],[Cooperator (Donor) 2 -full record]])</f>
        <v/>
      </c>
    </row>
    <row r="158" spans="2:3" x14ac:dyDescent="0.25">
      <c r="B158" s="7" t="str">
        <f>Master[[#This Row],[Accession Prefix (NPGS)]]&amp;" "&amp;Master[[#This Row],[Accession Number -Assigned]]&amp;" DONATED "&amp;TEXT(Master[[#This Row],[Received Date -received by site]], "MM/DD/YYYY")</f>
        <v xml:space="preserve">  DONATED 01/00/1900</v>
      </c>
      <c r="C158" s="17" t="str">
        <f>IF(Master[[#This Row],[Cooperator (Donor) 2 -full record]]="","",Master[[#This Row],[Cooperator (Donor) 2 -full record]])</f>
        <v/>
      </c>
    </row>
    <row r="159" spans="2:3" x14ac:dyDescent="0.25">
      <c r="B159" s="7" t="str">
        <f>Master[[#This Row],[Accession Prefix (NPGS)]]&amp;" "&amp;Master[[#This Row],[Accession Number -Assigned]]&amp;" DONATED "&amp;TEXT(Master[[#This Row],[Received Date -received by site]], "MM/DD/YYYY")</f>
        <v xml:space="preserve">  DONATED 01/00/1900</v>
      </c>
      <c r="C159" s="17" t="str">
        <f>IF(Master[[#This Row],[Cooperator (Donor) 2 -full record]]="","",Master[[#This Row],[Cooperator (Donor) 2 -full record]])</f>
        <v/>
      </c>
    </row>
    <row r="160" spans="2:3" x14ac:dyDescent="0.25">
      <c r="B160" s="7" t="str">
        <f>Master[[#This Row],[Accession Prefix (NPGS)]]&amp;" "&amp;Master[[#This Row],[Accession Number -Assigned]]&amp;" DONATED "&amp;TEXT(Master[[#This Row],[Received Date -received by site]], "MM/DD/YYYY")</f>
        <v xml:space="preserve">  DONATED 01/00/1900</v>
      </c>
      <c r="C160" s="17" t="str">
        <f>IF(Master[[#This Row],[Cooperator (Donor) 2 -full record]]="","",Master[[#This Row],[Cooperator (Donor) 2 -full record]])</f>
        <v/>
      </c>
    </row>
    <row r="161" spans="2:3" x14ac:dyDescent="0.25">
      <c r="B161" s="7" t="str">
        <f>Master[[#This Row],[Accession Prefix (NPGS)]]&amp;" "&amp;Master[[#This Row],[Accession Number -Assigned]]&amp;" DONATED "&amp;TEXT(Master[[#This Row],[Received Date -received by site]], "MM/DD/YYYY")</f>
        <v xml:space="preserve">  DONATED 01/00/1900</v>
      </c>
      <c r="C161" s="17" t="str">
        <f>IF(Master[[#This Row],[Cooperator (Donor) 2 -full record]]="","",Master[[#This Row],[Cooperator (Donor) 2 -full record]])</f>
        <v/>
      </c>
    </row>
    <row r="162" spans="2:3" x14ac:dyDescent="0.25">
      <c r="B162" s="7" t="str">
        <f>Master[[#This Row],[Accession Prefix (NPGS)]]&amp;" "&amp;Master[[#This Row],[Accession Number -Assigned]]&amp;" DONATED "&amp;TEXT(Master[[#This Row],[Received Date -received by site]], "MM/DD/YYYY")</f>
        <v xml:space="preserve">  DONATED 01/00/1900</v>
      </c>
      <c r="C162" s="17" t="str">
        <f>IF(Master[[#This Row],[Cooperator (Donor) 2 -full record]]="","",Master[[#This Row],[Cooperator (Donor) 2 -full record]])</f>
        <v/>
      </c>
    </row>
    <row r="163" spans="2:3" x14ac:dyDescent="0.25">
      <c r="B163" s="7" t="str">
        <f>Master[[#This Row],[Accession Prefix (NPGS)]]&amp;" "&amp;Master[[#This Row],[Accession Number -Assigned]]&amp;" DONATED "&amp;TEXT(Master[[#This Row],[Received Date -received by site]], "MM/DD/YYYY")</f>
        <v xml:space="preserve">  DONATED 01/00/1900</v>
      </c>
      <c r="C163" s="17" t="str">
        <f>IF(Master[[#This Row],[Cooperator (Donor) 2 -full record]]="","",Master[[#This Row],[Cooperator (Donor) 2 -full record]])</f>
        <v/>
      </c>
    </row>
    <row r="164" spans="2:3" x14ac:dyDescent="0.25">
      <c r="B164" s="7" t="str">
        <f>Master[[#This Row],[Accession Prefix (NPGS)]]&amp;" "&amp;Master[[#This Row],[Accession Number -Assigned]]&amp;" DONATED "&amp;TEXT(Master[[#This Row],[Received Date -received by site]], "MM/DD/YYYY")</f>
        <v xml:space="preserve">  DONATED 01/00/1900</v>
      </c>
      <c r="C164" s="17" t="str">
        <f>IF(Master[[#This Row],[Cooperator (Donor) 2 -full record]]="","",Master[[#This Row],[Cooperator (Donor) 2 -full record]])</f>
        <v/>
      </c>
    </row>
    <row r="165" spans="2:3" x14ac:dyDescent="0.25">
      <c r="B165" s="7" t="str">
        <f>Master[[#This Row],[Accession Prefix (NPGS)]]&amp;" "&amp;Master[[#This Row],[Accession Number -Assigned]]&amp;" DONATED "&amp;TEXT(Master[[#This Row],[Received Date -received by site]], "MM/DD/YYYY")</f>
        <v xml:space="preserve">  DONATED 01/00/1900</v>
      </c>
      <c r="C165" s="17" t="str">
        <f>IF(Master[[#This Row],[Cooperator (Donor) 2 -full record]]="","",Master[[#This Row],[Cooperator (Donor) 2 -full record]])</f>
        <v/>
      </c>
    </row>
    <row r="166" spans="2:3" x14ac:dyDescent="0.25">
      <c r="B166" s="7" t="str">
        <f>Master[[#This Row],[Accession Prefix (NPGS)]]&amp;" "&amp;Master[[#This Row],[Accession Number -Assigned]]&amp;" DONATED "&amp;TEXT(Master[[#This Row],[Received Date -received by site]], "MM/DD/YYYY")</f>
        <v xml:space="preserve">  DONATED 01/00/1900</v>
      </c>
      <c r="C166" s="17" t="str">
        <f>IF(Master[[#This Row],[Cooperator (Donor) 2 -full record]]="","",Master[[#This Row],[Cooperator (Donor) 2 -full record]])</f>
        <v/>
      </c>
    </row>
    <row r="167" spans="2:3" x14ac:dyDescent="0.25">
      <c r="B167" s="7" t="str">
        <f>Master[[#This Row],[Accession Prefix (NPGS)]]&amp;" "&amp;Master[[#This Row],[Accession Number -Assigned]]&amp;" DONATED "&amp;TEXT(Master[[#This Row],[Received Date -received by site]], "MM/DD/YYYY")</f>
        <v xml:space="preserve">  DONATED 01/00/1900</v>
      </c>
      <c r="C167" s="17" t="str">
        <f>IF(Master[[#This Row],[Cooperator (Donor) 2 -full record]]="","",Master[[#This Row],[Cooperator (Donor) 2 -full record]])</f>
        <v/>
      </c>
    </row>
    <row r="168" spans="2:3" x14ac:dyDescent="0.25">
      <c r="B168" s="7" t="str">
        <f>Master[[#This Row],[Accession Prefix (NPGS)]]&amp;" "&amp;Master[[#This Row],[Accession Number -Assigned]]&amp;" DONATED "&amp;TEXT(Master[[#This Row],[Received Date -received by site]], "MM/DD/YYYY")</f>
        <v xml:space="preserve">  DONATED 01/00/1900</v>
      </c>
      <c r="C168" s="17" t="str">
        <f>IF(Master[[#This Row],[Cooperator (Donor) 2 -full record]]="","",Master[[#This Row],[Cooperator (Donor) 2 -full record]])</f>
        <v/>
      </c>
    </row>
    <row r="169" spans="2:3" x14ac:dyDescent="0.25">
      <c r="B169" s="7" t="str">
        <f>Master[[#This Row],[Accession Prefix (NPGS)]]&amp;" "&amp;Master[[#This Row],[Accession Number -Assigned]]&amp;" DONATED "&amp;TEXT(Master[[#This Row],[Received Date -received by site]], "MM/DD/YYYY")</f>
        <v xml:space="preserve">  DONATED 01/00/1900</v>
      </c>
      <c r="C169" s="17" t="str">
        <f>IF(Master[[#This Row],[Cooperator (Donor) 2 -full record]]="","",Master[[#This Row],[Cooperator (Donor) 2 -full record]])</f>
        <v/>
      </c>
    </row>
    <row r="170" spans="2:3" x14ac:dyDescent="0.25">
      <c r="B170" s="7" t="str">
        <f>Master[[#This Row],[Accession Prefix (NPGS)]]&amp;" "&amp;Master[[#This Row],[Accession Number -Assigned]]&amp;" DONATED "&amp;TEXT(Master[[#This Row],[Received Date -received by site]], "MM/DD/YYYY")</f>
        <v xml:space="preserve">  DONATED 01/00/1900</v>
      </c>
      <c r="C170" s="17" t="str">
        <f>IF(Master[[#This Row],[Cooperator (Donor) 2 -full record]]="","",Master[[#This Row],[Cooperator (Donor) 2 -full record]])</f>
        <v/>
      </c>
    </row>
    <row r="171" spans="2:3" x14ac:dyDescent="0.25">
      <c r="B171" s="7" t="str">
        <f>Master[[#This Row],[Accession Prefix (NPGS)]]&amp;" "&amp;Master[[#This Row],[Accession Number -Assigned]]&amp;" DONATED "&amp;TEXT(Master[[#This Row],[Received Date -received by site]], "MM/DD/YYYY")</f>
        <v xml:space="preserve">  DONATED 01/00/1900</v>
      </c>
      <c r="C171" s="17" t="str">
        <f>IF(Master[[#This Row],[Cooperator (Donor) 2 -full record]]="","",Master[[#This Row],[Cooperator (Donor) 2 -full record]])</f>
        <v/>
      </c>
    </row>
    <row r="172" spans="2:3" x14ac:dyDescent="0.25">
      <c r="B172" s="7" t="str">
        <f>Master[[#This Row],[Accession Prefix (NPGS)]]&amp;" "&amp;Master[[#This Row],[Accession Number -Assigned]]&amp;" DONATED "&amp;TEXT(Master[[#This Row],[Received Date -received by site]], "MM/DD/YYYY")</f>
        <v xml:space="preserve">  DONATED 01/00/1900</v>
      </c>
      <c r="C172" s="17" t="str">
        <f>IF(Master[[#This Row],[Cooperator (Donor) 2 -full record]]="","",Master[[#This Row],[Cooperator (Donor) 2 -full record]])</f>
        <v/>
      </c>
    </row>
    <row r="173" spans="2:3" x14ac:dyDescent="0.25">
      <c r="B173" s="7" t="str">
        <f>Master[[#This Row],[Accession Prefix (NPGS)]]&amp;" "&amp;Master[[#This Row],[Accession Number -Assigned]]&amp;" DONATED "&amp;TEXT(Master[[#This Row],[Received Date -received by site]], "MM/DD/YYYY")</f>
        <v xml:space="preserve">  DONATED 01/00/1900</v>
      </c>
      <c r="C173" s="17" t="str">
        <f>IF(Master[[#This Row],[Cooperator (Donor) 2 -full record]]="","",Master[[#This Row],[Cooperator (Donor) 2 -full record]])</f>
        <v/>
      </c>
    </row>
    <row r="174" spans="2:3" x14ac:dyDescent="0.25">
      <c r="B174" s="7" t="str">
        <f>Master[[#This Row],[Accession Prefix (NPGS)]]&amp;" "&amp;Master[[#This Row],[Accession Number -Assigned]]&amp;" DONATED "&amp;TEXT(Master[[#This Row],[Received Date -received by site]], "MM/DD/YYYY")</f>
        <v xml:space="preserve">  DONATED 01/00/1900</v>
      </c>
      <c r="C174" s="17" t="str">
        <f>IF(Master[[#This Row],[Cooperator (Donor) 2 -full record]]="","",Master[[#This Row],[Cooperator (Donor) 2 -full record]])</f>
        <v/>
      </c>
    </row>
    <row r="175" spans="2:3" x14ac:dyDescent="0.25">
      <c r="B175" s="7" t="str">
        <f>Master[[#This Row],[Accession Prefix (NPGS)]]&amp;" "&amp;Master[[#This Row],[Accession Number -Assigned]]&amp;" DONATED "&amp;TEXT(Master[[#This Row],[Received Date -received by site]], "MM/DD/YYYY")</f>
        <v xml:space="preserve">  DONATED 01/00/1900</v>
      </c>
      <c r="C175" s="17" t="str">
        <f>IF(Master[[#This Row],[Cooperator (Donor) 2 -full record]]="","",Master[[#This Row],[Cooperator (Donor) 2 -full record]])</f>
        <v/>
      </c>
    </row>
    <row r="176" spans="2:3" x14ac:dyDescent="0.25">
      <c r="B176" s="7" t="str">
        <f>Master[[#This Row],[Accession Prefix (NPGS)]]&amp;" "&amp;Master[[#This Row],[Accession Number -Assigned]]&amp;" DONATED "&amp;TEXT(Master[[#This Row],[Received Date -received by site]], "MM/DD/YYYY")</f>
        <v xml:space="preserve">  DONATED 01/00/1900</v>
      </c>
      <c r="C176" s="17" t="str">
        <f>IF(Master[[#This Row],[Cooperator (Donor) 2 -full record]]="","",Master[[#This Row],[Cooperator (Donor) 2 -full record]])</f>
        <v/>
      </c>
    </row>
    <row r="177" spans="2:3" x14ac:dyDescent="0.25">
      <c r="B177" s="7" t="str">
        <f>Master[[#This Row],[Accession Prefix (NPGS)]]&amp;" "&amp;Master[[#This Row],[Accession Number -Assigned]]&amp;" DONATED "&amp;TEXT(Master[[#This Row],[Received Date -received by site]], "MM/DD/YYYY")</f>
        <v xml:space="preserve">  DONATED 01/00/1900</v>
      </c>
      <c r="C177" s="17" t="str">
        <f>IF(Master[[#This Row],[Cooperator (Donor) 2 -full record]]="","",Master[[#This Row],[Cooperator (Donor) 2 -full record]])</f>
        <v/>
      </c>
    </row>
    <row r="178" spans="2:3" x14ac:dyDescent="0.25">
      <c r="B178" s="7" t="str">
        <f>Master[[#This Row],[Accession Prefix (NPGS)]]&amp;" "&amp;Master[[#This Row],[Accession Number -Assigned]]&amp;" DONATED "&amp;TEXT(Master[[#This Row],[Received Date -received by site]], "MM/DD/YYYY")</f>
        <v xml:space="preserve">  DONATED 01/00/1900</v>
      </c>
      <c r="C178" s="17" t="str">
        <f>IF(Master[[#This Row],[Cooperator (Donor) 2 -full record]]="","",Master[[#This Row],[Cooperator (Donor) 2 -full record]])</f>
        <v/>
      </c>
    </row>
    <row r="179" spans="2:3" x14ac:dyDescent="0.25">
      <c r="B179" s="7" t="str">
        <f>Master[[#This Row],[Accession Prefix (NPGS)]]&amp;" "&amp;Master[[#This Row],[Accession Number -Assigned]]&amp;" DONATED "&amp;TEXT(Master[[#This Row],[Received Date -received by site]], "MM/DD/YYYY")</f>
        <v xml:space="preserve">  DONATED 01/00/1900</v>
      </c>
      <c r="C179" s="17" t="str">
        <f>IF(Master[[#This Row],[Cooperator (Donor) 2 -full record]]="","",Master[[#This Row],[Cooperator (Donor) 2 -full record]])</f>
        <v/>
      </c>
    </row>
    <row r="180" spans="2:3" x14ac:dyDescent="0.25">
      <c r="B180" s="7" t="str">
        <f>Master[[#This Row],[Accession Prefix (NPGS)]]&amp;" "&amp;Master[[#This Row],[Accession Number -Assigned]]&amp;" DONATED "&amp;TEXT(Master[[#This Row],[Received Date -received by site]], "MM/DD/YYYY")</f>
        <v xml:space="preserve">  DONATED 01/00/1900</v>
      </c>
      <c r="C180" s="17" t="str">
        <f>IF(Master[[#This Row],[Cooperator (Donor) 2 -full record]]="","",Master[[#This Row],[Cooperator (Donor) 2 -full record]])</f>
        <v/>
      </c>
    </row>
    <row r="181" spans="2:3" x14ac:dyDescent="0.25">
      <c r="B181" s="7" t="str">
        <f>Master[[#This Row],[Accession Prefix (NPGS)]]&amp;" "&amp;Master[[#This Row],[Accession Number -Assigned]]&amp;" DONATED "&amp;TEXT(Master[[#This Row],[Received Date -received by site]], "MM/DD/YYYY")</f>
        <v xml:space="preserve">  DONATED 01/00/1900</v>
      </c>
      <c r="C181" s="17" t="str">
        <f>IF(Master[[#This Row],[Cooperator (Donor) 2 -full record]]="","",Master[[#This Row],[Cooperator (Donor) 2 -full record]])</f>
        <v/>
      </c>
    </row>
    <row r="182" spans="2:3" x14ac:dyDescent="0.25">
      <c r="B182" s="7" t="str">
        <f>Master[[#This Row],[Accession Prefix (NPGS)]]&amp;" "&amp;Master[[#This Row],[Accession Number -Assigned]]&amp;" DONATED "&amp;TEXT(Master[[#This Row],[Received Date -received by site]], "MM/DD/YYYY")</f>
        <v xml:space="preserve">  DONATED 01/00/1900</v>
      </c>
      <c r="C182" s="17" t="str">
        <f>IF(Master[[#This Row],[Cooperator (Donor) 2 -full record]]="","",Master[[#This Row],[Cooperator (Donor) 2 -full record]])</f>
        <v/>
      </c>
    </row>
    <row r="183" spans="2:3" x14ac:dyDescent="0.25">
      <c r="B183" s="7" t="str">
        <f>Master[[#This Row],[Accession Prefix (NPGS)]]&amp;" "&amp;Master[[#This Row],[Accession Number -Assigned]]&amp;" DONATED "&amp;TEXT(Master[[#This Row],[Received Date -received by site]], "MM/DD/YYYY")</f>
        <v xml:space="preserve">  DONATED 01/00/1900</v>
      </c>
      <c r="C183" s="17" t="str">
        <f>IF(Master[[#This Row],[Cooperator (Donor) 2 -full record]]="","",Master[[#This Row],[Cooperator (Donor) 2 -full record]])</f>
        <v/>
      </c>
    </row>
    <row r="184" spans="2:3" x14ac:dyDescent="0.25">
      <c r="B184" s="7" t="str">
        <f>Master[[#This Row],[Accession Prefix (NPGS)]]&amp;" "&amp;Master[[#This Row],[Accession Number -Assigned]]&amp;" DONATED "&amp;TEXT(Master[[#This Row],[Received Date -received by site]], "MM/DD/YYYY")</f>
        <v xml:space="preserve">  DONATED 01/00/1900</v>
      </c>
      <c r="C184" s="17" t="str">
        <f>IF(Master[[#This Row],[Cooperator (Donor) 2 -full record]]="","",Master[[#This Row],[Cooperator (Donor) 2 -full record]])</f>
        <v/>
      </c>
    </row>
    <row r="185" spans="2:3" x14ac:dyDescent="0.25">
      <c r="B185" s="7" t="str">
        <f>Master[[#This Row],[Accession Prefix (NPGS)]]&amp;" "&amp;Master[[#This Row],[Accession Number -Assigned]]&amp;" DONATED "&amp;TEXT(Master[[#This Row],[Received Date -received by site]], "MM/DD/YYYY")</f>
        <v xml:space="preserve">  DONATED 01/00/1900</v>
      </c>
      <c r="C185" s="17" t="str">
        <f>IF(Master[[#This Row],[Cooperator (Donor) 2 -full record]]="","",Master[[#This Row],[Cooperator (Donor) 2 -full record]])</f>
        <v/>
      </c>
    </row>
    <row r="186" spans="2:3" x14ac:dyDescent="0.25">
      <c r="B186" s="7" t="str">
        <f>Master[[#This Row],[Accession Prefix (NPGS)]]&amp;" "&amp;Master[[#This Row],[Accession Number -Assigned]]&amp;" DONATED "&amp;TEXT(Master[[#This Row],[Received Date -received by site]], "MM/DD/YYYY")</f>
        <v xml:space="preserve">  DONATED 01/00/1900</v>
      </c>
      <c r="C186" s="17" t="str">
        <f>IF(Master[[#This Row],[Cooperator (Donor) 2 -full record]]="","",Master[[#This Row],[Cooperator (Donor) 2 -full record]])</f>
        <v/>
      </c>
    </row>
    <row r="187" spans="2:3" x14ac:dyDescent="0.25">
      <c r="B187" s="7" t="str">
        <f>Master[[#This Row],[Accession Prefix (NPGS)]]&amp;" "&amp;Master[[#This Row],[Accession Number -Assigned]]&amp;" DONATED "&amp;TEXT(Master[[#This Row],[Received Date -received by site]], "MM/DD/YYYY")</f>
        <v xml:space="preserve">  DONATED 01/00/1900</v>
      </c>
      <c r="C187" s="17" t="str">
        <f>IF(Master[[#This Row],[Cooperator (Donor) 2 -full record]]="","",Master[[#This Row],[Cooperator (Donor) 2 -full record]])</f>
        <v/>
      </c>
    </row>
    <row r="188" spans="2:3" x14ac:dyDescent="0.25">
      <c r="B188" s="7" t="str">
        <f>Master[[#This Row],[Accession Prefix (NPGS)]]&amp;" "&amp;Master[[#This Row],[Accession Number -Assigned]]&amp;" DONATED "&amp;TEXT(Master[[#This Row],[Received Date -received by site]], "MM/DD/YYYY")</f>
        <v xml:space="preserve">  DONATED 01/00/1900</v>
      </c>
      <c r="C188" s="17" t="str">
        <f>IF(Master[[#This Row],[Cooperator (Donor) 2 -full record]]="","",Master[[#This Row],[Cooperator (Donor) 2 -full record]])</f>
        <v/>
      </c>
    </row>
    <row r="189" spans="2:3" x14ac:dyDescent="0.25">
      <c r="B189" s="7" t="str">
        <f>Master[[#This Row],[Accession Prefix (NPGS)]]&amp;" "&amp;Master[[#This Row],[Accession Number -Assigned]]&amp;" DONATED "&amp;TEXT(Master[[#This Row],[Received Date -received by site]], "MM/DD/YYYY")</f>
        <v xml:space="preserve">  DONATED 01/00/1900</v>
      </c>
      <c r="C189" s="17" t="str">
        <f>IF(Master[[#This Row],[Cooperator (Donor) 2 -full record]]="","",Master[[#This Row],[Cooperator (Donor) 2 -full record]])</f>
        <v/>
      </c>
    </row>
    <row r="190" spans="2:3" x14ac:dyDescent="0.25">
      <c r="B190" s="7" t="str">
        <f>Master[[#This Row],[Accession Prefix (NPGS)]]&amp;" "&amp;Master[[#This Row],[Accession Number -Assigned]]&amp;" DONATED "&amp;TEXT(Master[[#This Row],[Received Date -received by site]], "MM/DD/YYYY")</f>
        <v xml:space="preserve">  DONATED 01/00/1900</v>
      </c>
      <c r="C190" s="17" t="str">
        <f>IF(Master[[#This Row],[Cooperator (Donor) 2 -full record]]="","",Master[[#This Row],[Cooperator (Donor) 2 -full record]])</f>
        <v/>
      </c>
    </row>
    <row r="191" spans="2:3" x14ac:dyDescent="0.25">
      <c r="B191" s="7" t="str">
        <f>Master[[#This Row],[Accession Prefix (NPGS)]]&amp;" "&amp;Master[[#This Row],[Accession Number -Assigned]]&amp;" DONATED "&amp;TEXT(Master[[#This Row],[Received Date -received by site]], "MM/DD/YYYY")</f>
        <v xml:space="preserve">  DONATED 01/00/1900</v>
      </c>
      <c r="C191" s="17" t="str">
        <f>IF(Master[[#This Row],[Cooperator (Donor) 2 -full record]]="","",Master[[#This Row],[Cooperator (Donor) 2 -full record]])</f>
        <v/>
      </c>
    </row>
    <row r="192" spans="2:3" x14ac:dyDescent="0.25">
      <c r="B192" s="7" t="str">
        <f>Master[[#This Row],[Accession Prefix (NPGS)]]&amp;" "&amp;Master[[#This Row],[Accession Number -Assigned]]&amp;" DONATED "&amp;TEXT(Master[[#This Row],[Received Date -received by site]], "MM/DD/YYYY")</f>
        <v xml:space="preserve">  DONATED 01/00/1900</v>
      </c>
      <c r="C192" s="17" t="str">
        <f>IF(Master[[#This Row],[Cooperator (Donor) 2 -full record]]="","",Master[[#This Row],[Cooperator (Donor) 2 -full record]])</f>
        <v/>
      </c>
    </row>
    <row r="193" spans="2:3" x14ac:dyDescent="0.25">
      <c r="B193" s="7" t="str">
        <f>Master[[#This Row],[Accession Prefix (NPGS)]]&amp;" "&amp;Master[[#This Row],[Accession Number -Assigned]]&amp;" DONATED "&amp;TEXT(Master[[#This Row],[Received Date -received by site]], "MM/DD/YYYY")</f>
        <v xml:space="preserve">  DONATED 01/00/1900</v>
      </c>
      <c r="C193" s="17" t="str">
        <f>IF(Master[[#This Row],[Cooperator (Donor) 2 -full record]]="","",Master[[#This Row],[Cooperator (Donor) 2 -full record]])</f>
        <v/>
      </c>
    </row>
    <row r="194" spans="2:3" x14ac:dyDescent="0.25">
      <c r="B194" s="7" t="str">
        <f>Master[[#This Row],[Accession Prefix (NPGS)]]&amp;" "&amp;Master[[#This Row],[Accession Number -Assigned]]&amp;" DONATED "&amp;TEXT(Master[[#This Row],[Received Date -received by site]], "MM/DD/YYYY")</f>
        <v xml:space="preserve">  DONATED 01/00/1900</v>
      </c>
      <c r="C194" s="17" t="str">
        <f>IF(Master[[#This Row],[Cooperator (Donor) 2 -full record]]="","",Master[[#This Row],[Cooperator (Donor) 2 -full record]])</f>
        <v/>
      </c>
    </row>
    <row r="195" spans="2:3" x14ac:dyDescent="0.25">
      <c r="B195" s="7" t="str">
        <f>Master[[#This Row],[Accession Prefix (NPGS)]]&amp;" "&amp;Master[[#This Row],[Accession Number -Assigned]]&amp;" DONATED "&amp;TEXT(Master[[#This Row],[Received Date -received by site]], "MM/DD/YYYY")</f>
        <v xml:space="preserve">  DONATED 01/00/1900</v>
      </c>
      <c r="C195" s="17" t="str">
        <f>IF(Master[[#This Row],[Cooperator (Donor) 2 -full record]]="","",Master[[#This Row],[Cooperator (Donor) 2 -full record]])</f>
        <v/>
      </c>
    </row>
    <row r="196" spans="2:3" x14ac:dyDescent="0.25">
      <c r="B196" s="7" t="str">
        <f>Master[[#This Row],[Accession Prefix (NPGS)]]&amp;" "&amp;Master[[#This Row],[Accession Number -Assigned]]&amp;" DONATED "&amp;TEXT(Master[[#This Row],[Received Date -received by site]], "MM/DD/YYYY")</f>
        <v xml:space="preserve">  DONATED 01/00/1900</v>
      </c>
      <c r="C196" s="17" t="str">
        <f>IF(Master[[#This Row],[Cooperator (Donor) 2 -full record]]="","",Master[[#This Row],[Cooperator (Donor) 2 -full record]])</f>
        <v/>
      </c>
    </row>
    <row r="197" spans="2:3" x14ac:dyDescent="0.25">
      <c r="B197" s="7" t="str">
        <f>Master[[#This Row],[Accession Prefix (NPGS)]]&amp;" "&amp;Master[[#This Row],[Accession Number -Assigned]]&amp;" DONATED "&amp;TEXT(Master[[#This Row],[Received Date -received by site]], "MM/DD/YYYY")</f>
        <v xml:space="preserve">  DONATED 01/00/1900</v>
      </c>
      <c r="C197" s="17" t="str">
        <f>IF(Master[[#This Row],[Cooperator (Donor) 2 -full record]]="","",Master[[#This Row],[Cooperator (Donor) 2 -full record]])</f>
        <v/>
      </c>
    </row>
    <row r="198" spans="2:3" x14ac:dyDescent="0.25">
      <c r="B198" s="7" t="str">
        <f>Master[[#This Row],[Accession Prefix (NPGS)]]&amp;" "&amp;Master[[#This Row],[Accession Number -Assigned]]&amp;" DONATED "&amp;TEXT(Master[[#This Row],[Received Date -received by site]], "MM/DD/YYYY")</f>
        <v xml:space="preserve">  DONATED 01/00/1900</v>
      </c>
      <c r="C198" s="17" t="str">
        <f>IF(Master[[#This Row],[Cooperator (Donor) 2 -full record]]="","",Master[[#This Row],[Cooperator (Donor) 2 -full record]])</f>
        <v/>
      </c>
    </row>
    <row r="199" spans="2:3" x14ac:dyDescent="0.25">
      <c r="B199" s="7" t="str">
        <f>Master[[#This Row],[Accession Prefix (NPGS)]]&amp;" "&amp;Master[[#This Row],[Accession Number -Assigned]]&amp;" DONATED "&amp;TEXT(Master[[#This Row],[Received Date -received by site]], "MM/DD/YYYY")</f>
        <v xml:space="preserve">  DONATED 01/00/1900</v>
      </c>
      <c r="C199" s="17" t="str">
        <f>IF(Master[[#This Row],[Cooperator (Donor) 2 -full record]]="","",Master[[#This Row],[Cooperator (Donor) 2 -full record]])</f>
        <v/>
      </c>
    </row>
    <row r="200" spans="2:3" x14ac:dyDescent="0.25">
      <c r="B200" s="7" t="str">
        <f>Master[[#This Row],[Accession Prefix (NPGS)]]&amp;" "&amp;Master[[#This Row],[Accession Number -Assigned]]&amp;" DONATED "&amp;TEXT(Master[[#This Row],[Received Date -received by site]], "MM/DD/YYYY")</f>
        <v xml:space="preserve">  DONATED 01/00/1900</v>
      </c>
      <c r="C200" s="17" t="str">
        <f>IF(Master[[#This Row],[Cooperator (Donor) 2 -full record]]="","",Master[[#This Row],[Cooperator (Donor) 2 -full record]])</f>
        <v/>
      </c>
    </row>
    <row r="201" spans="2:3" x14ac:dyDescent="0.25">
      <c r="B201" s="7" t="str">
        <f>Master[[#This Row],[Accession Prefix (NPGS)]]&amp;" "&amp;Master[[#This Row],[Accession Number -Assigned]]&amp;" DONATED "&amp;TEXT(Master[[#This Row],[Received Date -received by site]], "MM/DD/YYYY")</f>
        <v xml:space="preserve">  DONATED 01/00/1900</v>
      </c>
      <c r="C201" s="17" t="str">
        <f>IF(Master[[#This Row],[Cooperator (Donor) 2 -full record]]="","",Master[[#This Row],[Cooperator (Donor) 2 -full record]])</f>
        <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0">
    <tabColor rgb="FFFF0000"/>
  </sheetPr>
  <dimension ref="A1:M201"/>
  <sheetViews>
    <sheetView workbookViewId="0">
      <selection activeCell="A2" sqref="A2"/>
    </sheetView>
  </sheetViews>
  <sheetFormatPr defaultRowHeight="15" x14ac:dyDescent="0.25"/>
  <cols>
    <col min="1" max="1" width="11.85546875" style="7" customWidth="1"/>
    <col min="2" max="2" width="12.85546875" style="7" bestFit="1" customWidth="1"/>
    <col min="3" max="3" width="23.140625" style="7" bestFit="1" customWidth="1"/>
    <col min="4" max="4" width="18.140625" style="7" bestFit="1" customWidth="1"/>
    <col min="5" max="5" width="20.140625" style="7" bestFit="1" customWidth="1"/>
    <col min="6" max="6" width="23.5703125" style="7" bestFit="1" customWidth="1"/>
    <col min="7" max="7" width="8.140625" style="7" customWidth="1"/>
    <col min="8" max="8" width="7.5703125" style="7" customWidth="1"/>
    <col min="9" max="9" width="14.85546875" bestFit="1" customWidth="1"/>
    <col min="10" max="10" width="31.140625" bestFit="1" customWidth="1"/>
    <col min="11" max="11" width="13.85546875" bestFit="1" customWidth="1"/>
    <col min="12" max="12" width="11.7109375" bestFit="1" customWidth="1"/>
    <col min="13" max="13" width="14.85546875" bestFit="1" customWidth="1"/>
    <col min="14" max="14" width="23.5703125" bestFit="1" customWidth="1"/>
  </cols>
  <sheetData>
    <row r="1" spans="1:13" ht="45" x14ac:dyDescent="0.25">
      <c r="A1" s="116" t="s">
        <v>67</v>
      </c>
      <c r="B1" s="116" t="s">
        <v>10</v>
      </c>
      <c r="C1" s="118" t="s">
        <v>31</v>
      </c>
      <c r="D1" s="118" t="s">
        <v>68</v>
      </c>
      <c r="E1" s="118" t="s">
        <v>69</v>
      </c>
      <c r="F1" s="116" t="s">
        <v>55</v>
      </c>
      <c r="G1" s="118" t="s">
        <v>54</v>
      </c>
      <c r="H1" s="116" t="s">
        <v>9</v>
      </c>
    </row>
    <row r="2" spans="1:13" ht="15.75" x14ac:dyDescent="0.25">
      <c r="A2" s="1"/>
      <c r="B2" s="7" t="str">
        <f>Master[[#This Row],[Accession Prefix (NPGS)]]&amp;" "&amp;Master[[#This Row],[Accession Number -Assigned]]</f>
        <v>W6 57036</v>
      </c>
      <c r="C2" s="7" t="str">
        <f>Master[[#This Row],[Accession Prefix (NPGS)]]&amp;" "&amp;Master[[#This Row],[Accession Number -Assigned]]&amp;" **"</f>
        <v>W6 57036 **</v>
      </c>
      <c r="D2" s="17" t="str">
        <f>IF(Master[[#This Row],[Accession Name Category (Identifier 1) -Lookup Picker]]="","",Master[[#This Row],[Accession Name Category (Identifier 1) -Lookup Picker]])</f>
        <v>Site identifier</v>
      </c>
      <c r="E2" s="17" t="str">
        <f>IF(Master[[#This Row],[Accession Name (Identifier 1)]]="","",Master[[#This Row],[Accession Name (Identifier 1)]])</f>
        <v>W6 57036</v>
      </c>
      <c r="F2" s="7" t="str">
        <f>IF(Master[[#This Row],[Accession Name Cooperator (Identifier 1) -name, organization]]="","",Master[[#This Row],[Accession Name Cooperator (Identifier 1) -name, organization]])</f>
        <v>, , USDA-ARS, Western Regional Plant Introduction Station</v>
      </c>
      <c r="G2" s="7" t="str">
        <f>"Y"</f>
        <v>Y</v>
      </c>
      <c r="I2" s="3"/>
      <c r="M2" s="3"/>
    </row>
    <row r="3" spans="1:13" x14ac:dyDescent="0.25">
      <c r="B3" s="7" t="str">
        <f>Master[[#This Row],[Accession Prefix (NPGS)]]&amp;" "&amp;Master[[#This Row],[Accession Number -Assigned]]</f>
        <v xml:space="preserve">W6 </v>
      </c>
      <c r="C3" s="7" t="str">
        <f>Master[[#This Row],[Accession Prefix (NPGS)]]&amp;" "&amp;Master[[#This Row],[Accession Number -Assigned]]&amp;" **"</f>
        <v>W6  **</v>
      </c>
      <c r="D3" s="17" t="str">
        <f>IF(Master[[#This Row],[Accession Name Category (Identifier 1) -Lookup Picker]]="","",Master[[#This Row],[Accession Name Category (Identifier 1) -Lookup Picker]])</f>
        <v/>
      </c>
      <c r="E3" s="17" t="str">
        <f>IF(Master[[#This Row],[Accession Name (Identifier 1)]]="","",Master[[#This Row],[Accession Name (Identifier 1)]])</f>
        <v/>
      </c>
      <c r="F3" s="7" t="str">
        <f>IF(Master[[#This Row],[Accession Name Cooperator (Identifier 1) -name, organization]]="","",Master[[#This Row],[Accession Name Cooperator (Identifier 1) -name, organization]])</f>
        <v/>
      </c>
      <c r="G3" s="7" t="str">
        <f t="shared" ref="G3:G21" si="0">"Y"</f>
        <v>Y</v>
      </c>
      <c r="I3" s="3"/>
      <c r="M3" s="3"/>
    </row>
    <row r="4" spans="1:13" x14ac:dyDescent="0.25">
      <c r="B4" s="7" t="str">
        <f>Master[[#This Row],[Accession Prefix (NPGS)]]&amp;" "&amp;Master[[#This Row],[Accession Number -Assigned]]</f>
        <v>W6 59590</v>
      </c>
      <c r="C4" s="7" t="str">
        <f>Master[[#This Row],[Accession Prefix (NPGS)]]&amp;" "&amp;Master[[#This Row],[Accession Number -Assigned]]&amp;" **"</f>
        <v>W6 59590 **</v>
      </c>
      <c r="D4" s="17" t="str">
        <f>IF(Master[[#This Row],[Accession Name Category (Identifier 1) -Lookup Picker]]="","",Master[[#This Row],[Accession Name Category (Identifier 1) -Lookup Picker]])</f>
        <v/>
      </c>
      <c r="E4" s="17" t="str">
        <f>IF(Master[[#This Row],[Accession Name (Identifier 1)]]="","",Master[[#This Row],[Accession Name (Identifier 1)]])</f>
        <v/>
      </c>
      <c r="F4" s="7" t="str">
        <f>IF(Master[[#This Row],[Accession Name Cooperator (Identifier 1) -name, organization]]="","",Master[[#This Row],[Accession Name Cooperator (Identifier 1) -name, organization]])</f>
        <v/>
      </c>
      <c r="G4" s="7" t="str">
        <f t="shared" si="0"/>
        <v>Y</v>
      </c>
      <c r="I4" s="3"/>
      <c r="M4" s="3"/>
    </row>
    <row r="5" spans="1:13" x14ac:dyDescent="0.25">
      <c r="B5" s="7" t="str">
        <f>Master[[#This Row],[Accession Prefix (NPGS)]]&amp;" "&amp;Master[[#This Row],[Accession Number -Assigned]]</f>
        <v>W6 59591</v>
      </c>
      <c r="C5" s="7" t="str">
        <f>Master[[#This Row],[Accession Prefix (NPGS)]]&amp;" "&amp;Master[[#This Row],[Accession Number -Assigned]]&amp;" **"</f>
        <v>W6 59591 **</v>
      </c>
      <c r="D5" s="17" t="str">
        <f>IF(Master[[#This Row],[Accession Name Category (Identifier 1) -Lookup Picker]]="","",Master[[#This Row],[Accession Name Category (Identifier 1) -Lookup Picker]])</f>
        <v/>
      </c>
      <c r="E5" s="17" t="str">
        <f>IF(Master[[#This Row],[Accession Name (Identifier 1)]]="","",Master[[#This Row],[Accession Name (Identifier 1)]])</f>
        <v/>
      </c>
      <c r="F5" s="7" t="str">
        <f>IF(Master[[#This Row],[Accession Name Cooperator (Identifier 1) -name, organization]]="","",Master[[#This Row],[Accession Name Cooperator (Identifier 1) -name, organization]])</f>
        <v/>
      </c>
      <c r="G5" s="7" t="str">
        <f t="shared" si="0"/>
        <v>Y</v>
      </c>
      <c r="I5" s="3"/>
      <c r="M5" s="3"/>
    </row>
    <row r="6" spans="1:13" x14ac:dyDescent="0.25">
      <c r="B6" s="7" t="str">
        <f>Master[[#This Row],[Accession Prefix (NPGS)]]&amp;" "&amp;Master[[#This Row],[Accession Number -Assigned]]</f>
        <v>W6 59592</v>
      </c>
      <c r="C6" s="7" t="str">
        <f>Master[[#This Row],[Accession Prefix (NPGS)]]&amp;" "&amp;Master[[#This Row],[Accession Number -Assigned]]&amp;" **"</f>
        <v>W6 59592 **</v>
      </c>
      <c r="D6" s="17" t="str">
        <f>IF(Master[[#This Row],[Accession Name Category (Identifier 1) -Lookup Picker]]="","",Master[[#This Row],[Accession Name Category (Identifier 1) -Lookup Picker]])</f>
        <v/>
      </c>
      <c r="E6" s="17" t="str">
        <f>IF(Master[[#This Row],[Accession Name (Identifier 1)]]="","",Master[[#This Row],[Accession Name (Identifier 1)]])</f>
        <v/>
      </c>
      <c r="F6" s="7" t="str">
        <f>IF(Master[[#This Row],[Accession Name Cooperator (Identifier 1) -name, organization]]="","",Master[[#This Row],[Accession Name Cooperator (Identifier 1) -name, organization]])</f>
        <v/>
      </c>
      <c r="G6" s="7" t="str">
        <f t="shared" si="0"/>
        <v>Y</v>
      </c>
      <c r="I6" s="3"/>
      <c r="M6" s="3"/>
    </row>
    <row r="7" spans="1:13" x14ac:dyDescent="0.25">
      <c r="B7" s="7" t="str">
        <f>Master[[#This Row],[Accession Prefix (NPGS)]]&amp;" "&amp;Master[[#This Row],[Accession Number -Assigned]]</f>
        <v>W6 59593</v>
      </c>
      <c r="C7" s="7" t="str">
        <f>Master[[#This Row],[Accession Prefix (NPGS)]]&amp;" "&amp;Master[[#This Row],[Accession Number -Assigned]]&amp;" **"</f>
        <v>W6 59593 **</v>
      </c>
      <c r="D7" s="17" t="str">
        <f>IF(Master[[#This Row],[Accession Name Category (Identifier 1) -Lookup Picker]]="","",Master[[#This Row],[Accession Name Category (Identifier 1) -Lookup Picker]])</f>
        <v/>
      </c>
      <c r="E7" s="17" t="str">
        <f>IF(Master[[#This Row],[Accession Name (Identifier 1)]]="","",Master[[#This Row],[Accession Name (Identifier 1)]])</f>
        <v/>
      </c>
      <c r="F7" s="7" t="str">
        <f>IF(Master[[#This Row],[Accession Name Cooperator (Identifier 1) -name, organization]]="","",Master[[#This Row],[Accession Name Cooperator (Identifier 1) -name, organization]])</f>
        <v/>
      </c>
      <c r="G7" s="7" t="str">
        <f t="shared" si="0"/>
        <v>Y</v>
      </c>
      <c r="I7" s="3"/>
      <c r="M7" s="3"/>
    </row>
    <row r="8" spans="1:13" x14ac:dyDescent="0.25">
      <c r="B8" s="7" t="str">
        <f>Master[[#This Row],[Accession Prefix (NPGS)]]&amp;" "&amp;Master[[#This Row],[Accession Number -Assigned]]</f>
        <v>W6 59594</v>
      </c>
      <c r="C8" s="7" t="str">
        <f>Master[[#This Row],[Accession Prefix (NPGS)]]&amp;" "&amp;Master[[#This Row],[Accession Number -Assigned]]&amp;" **"</f>
        <v>W6 59594 **</v>
      </c>
      <c r="D8" s="17" t="str">
        <f>IF(Master[[#This Row],[Accession Name Category (Identifier 1) -Lookup Picker]]="","",Master[[#This Row],[Accession Name Category (Identifier 1) -Lookup Picker]])</f>
        <v/>
      </c>
      <c r="E8" s="17" t="str">
        <f>IF(Master[[#This Row],[Accession Name (Identifier 1)]]="","",Master[[#This Row],[Accession Name (Identifier 1)]])</f>
        <v/>
      </c>
      <c r="F8" s="7" t="str">
        <f>IF(Master[[#This Row],[Accession Name Cooperator (Identifier 1) -name, organization]]="","",Master[[#This Row],[Accession Name Cooperator (Identifier 1) -name, organization]])</f>
        <v/>
      </c>
      <c r="G8" s="7" t="str">
        <f t="shared" si="0"/>
        <v>Y</v>
      </c>
      <c r="I8" s="3"/>
      <c r="M8" s="3"/>
    </row>
    <row r="9" spans="1:13" x14ac:dyDescent="0.25">
      <c r="B9" s="7" t="str">
        <f>Master[[#This Row],[Accession Prefix (NPGS)]]&amp;" "&amp;Master[[#This Row],[Accession Number -Assigned]]</f>
        <v>W6 59595</v>
      </c>
      <c r="C9" s="7" t="str">
        <f>Master[[#This Row],[Accession Prefix (NPGS)]]&amp;" "&amp;Master[[#This Row],[Accession Number -Assigned]]&amp;" **"</f>
        <v>W6 59595 **</v>
      </c>
      <c r="D9" s="17" t="str">
        <f>IF(Master[[#This Row],[Accession Name Category (Identifier 1) -Lookup Picker]]="","",Master[[#This Row],[Accession Name Category (Identifier 1) -Lookup Picker]])</f>
        <v/>
      </c>
      <c r="E9" s="17" t="str">
        <f>IF(Master[[#This Row],[Accession Name (Identifier 1)]]="","",Master[[#This Row],[Accession Name (Identifier 1)]])</f>
        <v/>
      </c>
      <c r="F9" s="7" t="str">
        <f>IF(Master[[#This Row],[Accession Name Cooperator (Identifier 1) -name, organization]]="","",Master[[#This Row],[Accession Name Cooperator (Identifier 1) -name, organization]])</f>
        <v/>
      </c>
      <c r="G9" s="7" t="str">
        <f t="shared" si="0"/>
        <v>Y</v>
      </c>
      <c r="I9" s="3"/>
      <c r="M9" s="3"/>
    </row>
    <row r="10" spans="1:13" x14ac:dyDescent="0.25">
      <c r="B10" s="7" t="str">
        <f>Master[[#This Row],[Accession Prefix (NPGS)]]&amp;" "&amp;Master[[#This Row],[Accession Number -Assigned]]</f>
        <v>W6 59596</v>
      </c>
      <c r="C10" s="7" t="str">
        <f>Master[[#This Row],[Accession Prefix (NPGS)]]&amp;" "&amp;Master[[#This Row],[Accession Number -Assigned]]&amp;" **"</f>
        <v>W6 59596 **</v>
      </c>
      <c r="D10" s="17" t="str">
        <f>IF(Master[[#This Row],[Accession Name Category (Identifier 1) -Lookup Picker]]="","",Master[[#This Row],[Accession Name Category (Identifier 1) -Lookup Picker]])</f>
        <v/>
      </c>
      <c r="E10" s="17" t="str">
        <f>IF(Master[[#This Row],[Accession Name (Identifier 1)]]="","",Master[[#This Row],[Accession Name (Identifier 1)]])</f>
        <v/>
      </c>
      <c r="F10" s="7" t="str">
        <f>IF(Master[[#This Row],[Accession Name Cooperator (Identifier 1) -name, organization]]="","",Master[[#This Row],[Accession Name Cooperator (Identifier 1) -name, organization]])</f>
        <v/>
      </c>
      <c r="G10" s="7" t="str">
        <f t="shared" si="0"/>
        <v>Y</v>
      </c>
      <c r="I10" s="3"/>
      <c r="M10" s="3"/>
    </row>
    <row r="11" spans="1:13" x14ac:dyDescent="0.25">
      <c r="B11" s="7" t="str">
        <f>Master[[#This Row],[Accession Prefix (NPGS)]]&amp;" "&amp;Master[[#This Row],[Accession Number -Assigned]]</f>
        <v>W6 59597</v>
      </c>
      <c r="C11" s="7" t="str">
        <f>Master[[#This Row],[Accession Prefix (NPGS)]]&amp;" "&amp;Master[[#This Row],[Accession Number -Assigned]]&amp;" **"</f>
        <v>W6 59597 **</v>
      </c>
      <c r="D11" s="17" t="str">
        <f>IF(Master[[#This Row],[Accession Name Category (Identifier 1) -Lookup Picker]]="","",Master[[#This Row],[Accession Name Category (Identifier 1) -Lookup Picker]])</f>
        <v/>
      </c>
      <c r="E11" s="17" t="str">
        <f>IF(Master[[#This Row],[Accession Name (Identifier 1)]]="","",Master[[#This Row],[Accession Name (Identifier 1)]])</f>
        <v/>
      </c>
      <c r="F11" s="7" t="str">
        <f>IF(Master[[#This Row],[Accession Name Cooperator (Identifier 1) -name, organization]]="","",Master[[#This Row],[Accession Name Cooperator (Identifier 1) -name, organization]])</f>
        <v/>
      </c>
      <c r="G11" s="7" t="str">
        <f t="shared" si="0"/>
        <v>Y</v>
      </c>
      <c r="I11" s="3"/>
      <c r="M11" s="3"/>
    </row>
    <row r="12" spans="1:13" x14ac:dyDescent="0.25">
      <c r="B12" s="7" t="str">
        <f>Master[[#This Row],[Accession Prefix (NPGS)]]&amp;" "&amp;Master[[#This Row],[Accession Number -Assigned]]</f>
        <v>W6 59598</v>
      </c>
      <c r="C12" s="7" t="str">
        <f>Master[[#This Row],[Accession Prefix (NPGS)]]&amp;" "&amp;Master[[#This Row],[Accession Number -Assigned]]&amp;" **"</f>
        <v>W6 59598 **</v>
      </c>
      <c r="D12" s="17" t="str">
        <f>IF(Master[[#This Row],[Accession Name Category (Identifier 1) -Lookup Picker]]="","",Master[[#This Row],[Accession Name Category (Identifier 1) -Lookup Picker]])</f>
        <v/>
      </c>
      <c r="E12" s="17" t="str">
        <f>IF(Master[[#This Row],[Accession Name (Identifier 1)]]="","",Master[[#This Row],[Accession Name (Identifier 1)]])</f>
        <v/>
      </c>
      <c r="F12" s="7" t="str">
        <f>IF(Master[[#This Row],[Accession Name Cooperator (Identifier 1) -name, organization]]="","",Master[[#This Row],[Accession Name Cooperator (Identifier 1) -name, organization]])</f>
        <v/>
      </c>
      <c r="G12" s="7" t="str">
        <f t="shared" si="0"/>
        <v>Y</v>
      </c>
      <c r="I12" s="3"/>
      <c r="M12" s="3"/>
    </row>
    <row r="13" spans="1:13" x14ac:dyDescent="0.25">
      <c r="B13" s="7" t="str">
        <f>Master[[#This Row],[Accession Prefix (NPGS)]]&amp;" "&amp;Master[[#This Row],[Accession Number -Assigned]]</f>
        <v>W6 59599</v>
      </c>
      <c r="C13" s="7" t="str">
        <f>Master[[#This Row],[Accession Prefix (NPGS)]]&amp;" "&amp;Master[[#This Row],[Accession Number -Assigned]]&amp;" **"</f>
        <v>W6 59599 **</v>
      </c>
      <c r="D13" s="17" t="str">
        <f>IF(Master[[#This Row],[Accession Name Category (Identifier 1) -Lookup Picker]]="","",Master[[#This Row],[Accession Name Category (Identifier 1) -Lookup Picker]])</f>
        <v/>
      </c>
      <c r="E13" s="17" t="str">
        <f>IF(Master[[#This Row],[Accession Name (Identifier 1)]]="","",Master[[#This Row],[Accession Name (Identifier 1)]])</f>
        <v/>
      </c>
      <c r="F13" s="7" t="str">
        <f>IF(Master[[#This Row],[Accession Name Cooperator (Identifier 1) -name, organization]]="","",Master[[#This Row],[Accession Name Cooperator (Identifier 1) -name, organization]])</f>
        <v/>
      </c>
      <c r="G13" s="7" t="str">
        <f t="shared" si="0"/>
        <v>Y</v>
      </c>
      <c r="I13" s="3"/>
      <c r="M13" s="3"/>
    </row>
    <row r="14" spans="1:13" x14ac:dyDescent="0.25">
      <c r="B14" s="7" t="str">
        <f>Master[[#This Row],[Accession Prefix (NPGS)]]&amp;" "&amp;Master[[#This Row],[Accession Number -Assigned]]</f>
        <v>W6 59600</v>
      </c>
      <c r="C14" s="7" t="str">
        <f>Master[[#This Row],[Accession Prefix (NPGS)]]&amp;" "&amp;Master[[#This Row],[Accession Number -Assigned]]&amp;" **"</f>
        <v>W6 59600 **</v>
      </c>
      <c r="D14" s="17" t="str">
        <f>IF(Master[[#This Row],[Accession Name Category (Identifier 1) -Lookup Picker]]="","",Master[[#This Row],[Accession Name Category (Identifier 1) -Lookup Picker]])</f>
        <v/>
      </c>
      <c r="E14" s="17" t="str">
        <f>IF(Master[[#This Row],[Accession Name (Identifier 1)]]="","",Master[[#This Row],[Accession Name (Identifier 1)]])</f>
        <v/>
      </c>
      <c r="F14" s="7" t="str">
        <f>IF(Master[[#This Row],[Accession Name Cooperator (Identifier 1) -name, organization]]="","",Master[[#This Row],[Accession Name Cooperator (Identifier 1) -name, organization]])</f>
        <v/>
      </c>
      <c r="G14" s="7" t="str">
        <f t="shared" si="0"/>
        <v>Y</v>
      </c>
      <c r="I14" s="3"/>
      <c r="M14" s="3"/>
    </row>
    <row r="15" spans="1:13" x14ac:dyDescent="0.25">
      <c r="B15" s="7" t="str">
        <f>Master[[#This Row],[Accession Prefix (NPGS)]]&amp;" "&amp;Master[[#This Row],[Accession Number -Assigned]]</f>
        <v>W6 59601</v>
      </c>
      <c r="C15" s="7" t="str">
        <f>Master[[#This Row],[Accession Prefix (NPGS)]]&amp;" "&amp;Master[[#This Row],[Accession Number -Assigned]]&amp;" **"</f>
        <v>W6 59601 **</v>
      </c>
      <c r="D15" s="17" t="str">
        <f>IF(Master[[#This Row],[Accession Name Category (Identifier 1) -Lookup Picker]]="","",Master[[#This Row],[Accession Name Category (Identifier 1) -Lookup Picker]])</f>
        <v/>
      </c>
      <c r="E15" s="17" t="str">
        <f>IF(Master[[#This Row],[Accession Name (Identifier 1)]]="","",Master[[#This Row],[Accession Name (Identifier 1)]])</f>
        <v/>
      </c>
      <c r="F15" s="7" t="str">
        <f>IF(Master[[#This Row],[Accession Name Cooperator (Identifier 1) -name, organization]]="","",Master[[#This Row],[Accession Name Cooperator (Identifier 1) -name, organization]])</f>
        <v/>
      </c>
      <c r="G15" s="7" t="str">
        <f t="shared" si="0"/>
        <v>Y</v>
      </c>
      <c r="I15" s="3"/>
      <c r="M15" s="3"/>
    </row>
    <row r="16" spans="1:13" x14ac:dyDescent="0.25">
      <c r="B16" s="7" t="str">
        <f>Master[[#This Row],[Accession Prefix (NPGS)]]&amp;" "&amp;Master[[#This Row],[Accession Number -Assigned]]</f>
        <v>W6 59602</v>
      </c>
      <c r="C16" s="7" t="str">
        <f>Master[[#This Row],[Accession Prefix (NPGS)]]&amp;" "&amp;Master[[#This Row],[Accession Number -Assigned]]&amp;" **"</f>
        <v>W6 59602 **</v>
      </c>
      <c r="D16" s="17" t="str">
        <f>IF(Master[[#This Row],[Accession Name Category (Identifier 1) -Lookup Picker]]="","",Master[[#This Row],[Accession Name Category (Identifier 1) -Lookup Picker]])</f>
        <v/>
      </c>
      <c r="E16" s="17" t="str">
        <f>IF(Master[[#This Row],[Accession Name (Identifier 1)]]="","",Master[[#This Row],[Accession Name (Identifier 1)]])</f>
        <v/>
      </c>
      <c r="F16" s="7" t="str">
        <f>IF(Master[[#This Row],[Accession Name Cooperator (Identifier 1) -name, organization]]="","",Master[[#This Row],[Accession Name Cooperator (Identifier 1) -name, organization]])</f>
        <v/>
      </c>
      <c r="G16" s="7" t="str">
        <f t="shared" si="0"/>
        <v>Y</v>
      </c>
      <c r="I16" s="3"/>
      <c r="M16" s="3"/>
    </row>
    <row r="17" spans="2:13" x14ac:dyDescent="0.25">
      <c r="B17" s="7" t="str">
        <f>Master[[#This Row],[Accession Prefix (NPGS)]]&amp;" "&amp;Master[[#This Row],[Accession Number -Assigned]]</f>
        <v>W6 59603</v>
      </c>
      <c r="C17" s="7" t="str">
        <f>Master[[#This Row],[Accession Prefix (NPGS)]]&amp;" "&amp;Master[[#This Row],[Accession Number -Assigned]]&amp;" **"</f>
        <v>W6 59603 **</v>
      </c>
      <c r="D17" s="17" t="str">
        <f>IF(Master[[#This Row],[Accession Name Category (Identifier 1) -Lookup Picker]]="","",Master[[#This Row],[Accession Name Category (Identifier 1) -Lookup Picker]])</f>
        <v/>
      </c>
      <c r="E17" s="17" t="str">
        <f>IF(Master[[#This Row],[Accession Name (Identifier 1)]]="","",Master[[#This Row],[Accession Name (Identifier 1)]])</f>
        <v/>
      </c>
      <c r="F17" s="7" t="str">
        <f>IF(Master[[#This Row],[Accession Name Cooperator (Identifier 1) -name, organization]]="","",Master[[#This Row],[Accession Name Cooperator (Identifier 1) -name, organization]])</f>
        <v/>
      </c>
      <c r="G17" s="7" t="str">
        <f t="shared" si="0"/>
        <v>Y</v>
      </c>
      <c r="I17" s="3"/>
      <c r="M17" s="3"/>
    </row>
    <row r="18" spans="2:13" x14ac:dyDescent="0.25">
      <c r="B18" s="7" t="str">
        <f>Master[[#This Row],[Accession Prefix (NPGS)]]&amp;" "&amp;Master[[#This Row],[Accession Number -Assigned]]</f>
        <v>W6 59604</v>
      </c>
      <c r="C18" s="7" t="str">
        <f>Master[[#This Row],[Accession Prefix (NPGS)]]&amp;" "&amp;Master[[#This Row],[Accession Number -Assigned]]&amp;" **"</f>
        <v>W6 59604 **</v>
      </c>
      <c r="D18" s="17" t="str">
        <f>IF(Master[[#This Row],[Accession Name Category (Identifier 1) -Lookup Picker]]="","",Master[[#This Row],[Accession Name Category (Identifier 1) -Lookup Picker]])</f>
        <v/>
      </c>
      <c r="E18" s="17" t="str">
        <f>IF(Master[[#This Row],[Accession Name (Identifier 1)]]="","",Master[[#This Row],[Accession Name (Identifier 1)]])</f>
        <v/>
      </c>
      <c r="F18" s="7" t="str">
        <f>IF(Master[[#This Row],[Accession Name Cooperator (Identifier 1) -name, organization]]="","",Master[[#This Row],[Accession Name Cooperator (Identifier 1) -name, organization]])</f>
        <v/>
      </c>
      <c r="G18" s="7" t="str">
        <f t="shared" si="0"/>
        <v>Y</v>
      </c>
      <c r="I18" s="3"/>
      <c r="M18" s="3"/>
    </row>
    <row r="19" spans="2:13" x14ac:dyDescent="0.25">
      <c r="B19" s="7" t="str">
        <f>Master[[#This Row],[Accession Prefix (NPGS)]]&amp;" "&amp;Master[[#This Row],[Accession Number -Assigned]]</f>
        <v>W6 59605</v>
      </c>
      <c r="C19" s="7" t="str">
        <f>Master[[#This Row],[Accession Prefix (NPGS)]]&amp;" "&amp;Master[[#This Row],[Accession Number -Assigned]]&amp;" **"</f>
        <v>W6 59605 **</v>
      </c>
      <c r="D19" s="17" t="str">
        <f>IF(Master[[#This Row],[Accession Name Category (Identifier 1) -Lookup Picker]]="","",Master[[#This Row],[Accession Name Category (Identifier 1) -Lookup Picker]])</f>
        <v/>
      </c>
      <c r="E19" s="17" t="str">
        <f>IF(Master[[#This Row],[Accession Name (Identifier 1)]]="","",Master[[#This Row],[Accession Name (Identifier 1)]])</f>
        <v/>
      </c>
      <c r="F19" s="7" t="str">
        <f>IF(Master[[#This Row],[Accession Name Cooperator (Identifier 1) -name, organization]]="","",Master[[#This Row],[Accession Name Cooperator (Identifier 1) -name, organization]])</f>
        <v/>
      </c>
      <c r="G19" s="7" t="str">
        <f t="shared" si="0"/>
        <v>Y</v>
      </c>
      <c r="I19" s="3"/>
      <c r="M19" s="3"/>
    </row>
    <row r="20" spans="2:13" x14ac:dyDescent="0.25">
      <c r="B20" s="7" t="str">
        <f>Master[[#This Row],[Accession Prefix (NPGS)]]&amp;" "&amp;Master[[#This Row],[Accession Number -Assigned]]</f>
        <v>W6 59606</v>
      </c>
      <c r="C20" s="7" t="str">
        <f>Master[[#This Row],[Accession Prefix (NPGS)]]&amp;" "&amp;Master[[#This Row],[Accession Number -Assigned]]&amp;" **"</f>
        <v>W6 59606 **</v>
      </c>
      <c r="D20" s="17" t="str">
        <f>IF(Master[[#This Row],[Accession Name Category (Identifier 1) -Lookup Picker]]="","",Master[[#This Row],[Accession Name Category (Identifier 1) -Lookup Picker]])</f>
        <v/>
      </c>
      <c r="E20" s="17" t="str">
        <f>IF(Master[[#This Row],[Accession Name (Identifier 1)]]="","",Master[[#This Row],[Accession Name (Identifier 1)]])</f>
        <v/>
      </c>
      <c r="F20" s="7" t="str">
        <f>IF(Master[[#This Row],[Accession Name Cooperator (Identifier 1) -name, organization]]="","",Master[[#This Row],[Accession Name Cooperator (Identifier 1) -name, organization]])</f>
        <v/>
      </c>
      <c r="G20" s="7" t="str">
        <f t="shared" si="0"/>
        <v>Y</v>
      </c>
      <c r="I20" s="3"/>
      <c r="M20" s="3"/>
    </row>
    <row r="21" spans="2:13" x14ac:dyDescent="0.25">
      <c r="B21" s="7" t="str">
        <f>Master[[#This Row],[Accession Prefix (NPGS)]]&amp;" "&amp;Master[[#This Row],[Accession Number -Assigned]]</f>
        <v>W6 59607</v>
      </c>
      <c r="C21" s="7" t="str">
        <f>Master[[#This Row],[Accession Prefix (NPGS)]]&amp;" "&amp;Master[[#This Row],[Accession Number -Assigned]]&amp;" **"</f>
        <v>W6 59607 **</v>
      </c>
      <c r="D21" s="17" t="str">
        <f>IF(Master[[#This Row],[Accession Name Category (Identifier 1) -Lookup Picker]]="","",Master[[#This Row],[Accession Name Category (Identifier 1) -Lookup Picker]])</f>
        <v/>
      </c>
      <c r="E21" s="17" t="str">
        <f>IF(Master[[#This Row],[Accession Name (Identifier 1)]]="","",Master[[#This Row],[Accession Name (Identifier 1)]])</f>
        <v/>
      </c>
      <c r="F21" s="7" t="str">
        <f>IF(Master[[#This Row],[Accession Name Cooperator (Identifier 1) -name, organization]]="","",Master[[#This Row],[Accession Name Cooperator (Identifier 1) -name, organization]])</f>
        <v/>
      </c>
      <c r="G21" s="7" t="str">
        <f t="shared" si="0"/>
        <v>Y</v>
      </c>
      <c r="I21" s="3"/>
      <c r="M21" s="3"/>
    </row>
    <row r="22" spans="2:13" x14ac:dyDescent="0.25">
      <c r="B22" s="7" t="str">
        <f>Master[[#This Row],[Accession Prefix (NPGS)]]&amp;" "&amp;Master[[#This Row],[Accession Number -Assigned]]</f>
        <v>W6 59608</v>
      </c>
      <c r="C22" s="7" t="str">
        <f>Master[[#This Row],[Accession Prefix (NPGS)]]&amp;" "&amp;Master[[#This Row],[Accession Number -Assigned]]&amp;" **"</f>
        <v>W6 59608 **</v>
      </c>
      <c r="D22" s="76" t="str">
        <f>IF(Master[[#This Row],[Accession Name Category (Identifier 1) -Lookup Picker]]="","",Master[[#This Row],[Accession Name Category (Identifier 1) -Lookup Picker]])</f>
        <v/>
      </c>
      <c r="E22" s="76" t="str">
        <f>IF(Master[[#This Row],[Accession Name (Identifier 1)]]="","",Master[[#This Row],[Accession Name (Identifier 1)]])</f>
        <v/>
      </c>
      <c r="F22" s="45" t="str">
        <f>IF(Master[[#This Row],[Accession Name Cooperator (Identifier 1) -name, organization]]="","",Master[[#This Row],[Accession Name Cooperator (Identifier 1) -name, organization]])</f>
        <v/>
      </c>
      <c r="G22" s="7" t="str">
        <f t="shared" ref="G22:G53" si="1">"Y"</f>
        <v>Y</v>
      </c>
      <c r="I22" s="3"/>
      <c r="M22" s="3"/>
    </row>
    <row r="23" spans="2:13" x14ac:dyDescent="0.25">
      <c r="B23" s="7" t="str">
        <f>Master[[#This Row],[Accession Prefix (NPGS)]]&amp;" "&amp;Master[[#This Row],[Accession Number -Assigned]]</f>
        <v>W6 59609</v>
      </c>
      <c r="C23" s="7" t="str">
        <f>Master[[#This Row],[Accession Prefix (NPGS)]]&amp;" "&amp;Master[[#This Row],[Accession Number -Assigned]]&amp;" **"</f>
        <v>W6 59609 **</v>
      </c>
      <c r="D23" s="76" t="str">
        <f>IF(Master[[#This Row],[Accession Name Category (Identifier 1) -Lookup Picker]]="","",Master[[#This Row],[Accession Name Category (Identifier 1) -Lookup Picker]])</f>
        <v/>
      </c>
      <c r="E23" s="76" t="str">
        <f>IF(Master[[#This Row],[Accession Name (Identifier 1)]]="","",Master[[#This Row],[Accession Name (Identifier 1)]])</f>
        <v/>
      </c>
      <c r="F23" s="45" t="str">
        <f>IF(Master[[#This Row],[Accession Name Cooperator (Identifier 1) -name, organization]]="","",Master[[#This Row],[Accession Name Cooperator (Identifier 1) -name, organization]])</f>
        <v/>
      </c>
      <c r="G23" s="7" t="str">
        <f t="shared" si="1"/>
        <v>Y</v>
      </c>
      <c r="I23" s="3"/>
      <c r="M23" s="3"/>
    </row>
    <row r="24" spans="2:13" x14ac:dyDescent="0.25">
      <c r="B24" s="7" t="str">
        <f>Master[[#This Row],[Accession Prefix (NPGS)]]&amp;" "&amp;Master[[#This Row],[Accession Number -Assigned]]</f>
        <v>W6 59610</v>
      </c>
      <c r="C24" s="7" t="str">
        <f>Master[[#This Row],[Accession Prefix (NPGS)]]&amp;" "&amp;Master[[#This Row],[Accession Number -Assigned]]&amp;" **"</f>
        <v>W6 59610 **</v>
      </c>
      <c r="D24" s="76" t="str">
        <f>IF(Master[[#This Row],[Accession Name Category (Identifier 1) -Lookup Picker]]="","",Master[[#This Row],[Accession Name Category (Identifier 1) -Lookup Picker]])</f>
        <v/>
      </c>
      <c r="E24" s="76" t="str">
        <f>IF(Master[[#This Row],[Accession Name (Identifier 1)]]="","",Master[[#This Row],[Accession Name (Identifier 1)]])</f>
        <v/>
      </c>
      <c r="F24" s="45" t="str">
        <f>IF(Master[[#This Row],[Accession Name Cooperator (Identifier 1) -name, organization]]="","",Master[[#This Row],[Accession Name Cooperator (Identifier 1) -name, organization]])</f>
        <v/>
      </c>
      <c r="G24" s="7" t="str">
        <f t="shared" si="1"/>
        <v>Y</v>
      </c>
      <c r="I24" s="3"/>
      <c r="M24" s="3"/>
    </row>
    <row r="25" spans="2:13" x14ac:dyDescent="0.25">
      <c r="B25" s="7" t="str">
        <f>Master[[#This Row],[Accession Prefix (NPGS)]]&amp;" "&amp;Master[[#This Row],[Accession Number -Assigned]]</f>
        <v>W6 59611</v>
      </c>
      <c r="C25" s="7" t="str">
        <f>Master[[#This Row],[Accession Prefix (NPGS)]]&amp;" "&amp;Master[[#This Row],[Accession Number -Assigned]]&amp;" **"</f>
        <v>W6 59611 **</v>
      </c>
      <c r="D25" s="76" t="str">
        <f>IF(Master[[#This Row],[Accession Name Category (Identifier 1) -Lookup Picker]]="","",Master[[#This Row],[Accession Name Category (Identifier 1) -Lookup Picker]])</f>
        <v/>
      </c>
      <c r="E25" s="76" t="str">
        <f>IF(Master[[#This Row],[Accession Name (Identifier 1)]]="","",Master[[#This Row],[Accession Name (Identifier 1)]])</f>
        <v/>
      </c>
      <c r="F25" s="45" t="str">
        <f>IF(Master[[#This Row],[Accession Name Cooperator (Identifier 1) -name, organization]]="","",Master[[#This Row],[Accession Name Cooperator (Identifier 1) -name, organization]])</f>
        <v/>
      </c>
      <c r="G25" s="7" t="str">
        <f t="shared" si="1"/>
        <v>Y</v>
      </c>
      <c r="I25" s="3"/>
      <c r="M25" s="3"/>
    </row>
    <row r="26" spans="2:13" x14ac:dyDescent="0.25">
      <c r="B26" s="7" t="str">
        <f>Master[[#This Row],[Accession Prefix (NPGS)]]&amp;" "&amp;Master[[#This Row],[Accession Number -Assigned]]</f>
        <v>W6 59612</v>
      </c>
      <c r="C26" s="7" t="str">
        <f>Master[[#This Row],[Accession Prefix (NPGS)]]&amp;" "&amp;Master[[#This Row],[Accession Number -Assigned]]&amp;" **"</f>
        <v>W6 59612 **</v>
      </c>
      <c r="D26" s="76" t="str">
        <f>IF(Master[[#This Row],[Accession Name Category (Identifier 1) -Lookup Picker]]="","",Master[[#This Row],[Accession Name Category (Identifier 1) -Lookup Picker]])</f>
        <v/>
      </c>
      <c r="E26" s="76" t="str">
        <f>IF(Master[[#This Row],[Accession Name (Identifier 1)]]="","",Master[[#This Row],[Accession Name (Identifier 1)]])</f>
        <v/>
      </c>
      <c r="F26" s="45" t="str">
        <f>IF(Master[[#This Row],[Accession Name Cooperator (Identifier 1) -name, organization]]="","",Master[[#This Row],[Accession Name Cooperator (Identifier 1) -name, organization]])</f>
        <v/>
      </c>
      <c r="G26" s="7" t="str">
        <f t="shared" si="1"/>
        <v>Y</v>
      </c>
      <c r="I26" s="3"/>
      <c r="M26" s="3"/>
    </row>
    <row r="27" spans="2:13" x14ac:dyDescent="0.25">
      <c r="B27" s="7" t="str">
        <f>Master[[#This Row],[Accession Prefix (NPGS)]]&amp;" "&amp;Master[[#This Row],[Accession Number -Assigned]]</f>
        <v>W6 59613</v>
      </c>
      <c r="C27" s="7" t="str">
        <f>Master[[#This Row],[Accession Prefix (NPGS)]]&amp;" "&amp;Master[[#This Row],[Accession Number -Assigned]]&amp;" **"</f>
        <v>W6 59613 **</v>
      </c>
      <c r="D27" s="76" t="str">
        <f>IF(Master[[#This Row],[Accession Name Category (Identifier 1) -Lookup Picker]]="","",Master[[#This Row],[Accession Name Category (Identifier 1) -Lookup Picker]])</f>
        <v/>
      </c>
      <c r="E27" s="76" t="str">
        <f>IF(Master[[#This Row],[Accession Name (Identifier 1)]]="","",Master[[#This Row],[Accession Name (Identifier 1)]])</f>
        <v/>
      </c>
      <c r="F27" s="45" t="str">
        <f>IF(Master[[#This Row],[Accession Name Cooperator (Identifier 1) -name, organization]]="","",Master[[#This Row],[Accession Name Cooperator (Identifier 1) -name, organization]])</f>
        <v/>
      </c>
      <c r="G27" s="7" t="str">
        <f t="shared" si="1"/>
        <v>Y</v>
      </c>
      <c r="I27" s="3"/>
      <c r="M27" s="3"/>
    </row>
    <row r="28" spans="2:13" x14ac:dyDescent="0.25">
      <c r="B28" s="7" t="str">
        <f>Master[[#This Row],[Accession Prefix (NPGS)]]&amp;" "&amp;Master[[#This Row],[Accession Number -Assigned]]</f>
        <v>W6 59614</v>
      </c>
      <c r="C28" s="7" t="str">
        <f>Master[[#This Row],[Accession Prefix (NPGS)]]&amp;" "&amp;Master[[#This Row],[Accession Number -Assigned]]&amp;" **"</f>
        <v>W6 59614 **</v>
      </c>
      <c r="D28" s="76" t="str">
        <f>IF(Master[[#This Row],[Accession Name Category (Identifier 1) -Lookup Picker]]="","",Master[[#This Row],[Accession Name Category (Identifier 1) -Lookup Picker]])</f>
        <v/>
      </c>
      <c r="E28" s="76" t="str">
        <f>IF(Master[[#This Row],[Accession Name (Identifier 1)]]="","",Master[[#This Row],[Accession Name (Identifier 1)]])</f>
        <v/>
      </c>
      <c r="F28" s="45" t="str">
        <f>IF(Master[[#This Row],[Accession Name Cooperator (Identifier 1) -name, organization]]="","",Master[[#This Row],[Accession Name Cooperator (Identifier 1) -name, organization]])</f>
        <v/>
      </c>
      <c r="G28" s="7" t="str">
        <f t="shared" si="1"/>
        <v>Y</v>
      </c>
      <c r="I28" s="3"/>
      <c r="M28" s="3"/>
    </row>
    <row r="29" spans="2:13" x14ac:dyDescent="0.25">
      <c r="B29" s="7" t="str">
        <f>Master[[#This Row],[Accession Prefix (NPGS)]]&amp;" "&amp;Master[[#This Row],[Accession Number -Assigned]]</f>
        <v>W6 59615</v>
      </c>
      <c r="C29" s="7" t="str">
        <f>Master[[#This Row],[Accession Prefix (NPGS)]]&amp;" "&amp;Master[[#This Row],[Accession Number -Assigned]]&amp;" **"</f>
        <v>W6 59615 **</v>
      </c>
      <c r="D29" s="76" t="str">
        <f>IF(Master[[#This Row],[Accession Name Category (Identifier 1) -Lookup Picker]]="","",Master[[#This Row],[Accession Name Category (Identifier 1) -Lookup Picker]])</f>
        <v/>
      </c>
      <c r="E29" s="76" t="str">
        <f>IF(Master[[#This Row],[Accession Name (Identifier 1)]]="","",Master[[#This Row],[Accession Name (Identifier 1)]])</f>
        <v/>
      </c>
      <c r="F29" s="45" t="str">
        <f>IF(Master[[#This Row],[Accession Name Cooperator (Identifier 1) -name, organization]]="","",Master[[#This Row],[Accession Name Cooperator (Identifier 1) -name, organization]])</f>
        <v/>
      </c>
      <c r="G29" s="7" t="str">
        <f t="shared" si="1"/>
        <v>Y</v>
      </c>
      <c r="I29" s="3"/>
      <c r="M29" s="3"/>
    </row>
    <row r="30" spans="2:13" x14ac:dyDescent="0.25">
      <c r="B30" s="7" t="str">
        <f>Master[[#This Row],[Accession Prefix (NPGS)]]&amp;" "&amp;Master[[#This Row],[Accession Number -Assigned]]</f>
        <v>W6 59616</v>
      </c>
      <c r="C30" s="7" t="str">
        <f>Master[[#This Row],[Accession Prefix (NPGS)]]&amp;" "&amp;Master[[#This Row],[Accession Number -Assigned]]&amp;" **"</f>
        <v>W6 59616 **</v>
      </c>
      <c r="D30" s="76" t="str">
        <f>IF(Master[[#This Row],[Accession Name Category (Identifier 1) -Lookup Picker]]="","",Master[[#This Row],[Accession Name Category (Identifier 1) -Lookup Picker]])</f>
        <v/>
      </c>
      <c r="E30" s="76" t="str">
        <f>IF(Master[[#This Row],[Accession Name (Identifier 1)]]="","",Master[[#This Row],[Accession Name (Identifier 1)]])</f>
        <v/>
      </c>
      <c r="F30" s="45" t="str">
        <f>IF(Master[[#This Row],[Accession Name Cooperator (Identifier 1) -name, organization]]="","",Master[[#This Row],[Accession Name Cooperator (Identifier 1) -name, organization]])</f>
        <v/>
      </c>
      <c r="G30" s="7" t="str">
        <f t="shared" si="1"/>
        <v>Y</v>
      </c>
      <c r="I30" s="3"/>
      <c r="M30" s="3"/>
    </row>
    <row r="31" spans="2:13" x14ac:dyDescent="0.25">
      <c r="B31" s="7" t="str">
        <f>Master[[#This Row],[Accession Prefix (NPGS)]]&amp;" "&amp;Master[[#This Row],[Accession Number -Assigned]]</f>
        <v>W6 59617</v>
      </c>
      <c r="C31" s="7" t="str">
        <f>Master[[#This Row],[Accession Prefix (NPGS)]]&amp;" "&amp;Master[[#This Row],[Accession Number -Assigned]]&amp;" **"</f>
        <v>W6 59617 **</v>
      </c>
      <c r="D31" s="76" t="str">
        <f>IF(Master[[#This Row],[Accession Name Category (Identifier 1) -Lookup Picker]]="","",Master[[#This Row],[Accession Name Category (Identifier 1) -Lookup Picker]])</f>
        <v/>
      </c>
      <c r="E31" s="76" t="str">
        <f>IF(Master[[#This Row],[Accession Name (Identifier 1)]]="","",Master[[#This Row],[Accession Name (Identifier 1)]])</f>
        <v/>
      </c>
      <c r="F31" s="45" t="str">
        <f>IF(Master[[#This Row],[Accession Name Cooperator (Identifier 1) -name, organization]]="","",Master[[#This Row],[Accession Name Cooperator (Identifier 1) -name, organization]])</f>
        <v/>
      </c>
      <c r="G31" s="7" t="str">
        <f t="shared" si="1"/>
        <v>Y</v>
      </c>
      <c r="I31" s="3"/>
      <c r="M31" s="3"/>
    </row>
    <row r="32" spans="2:13" x14ac:dyDescent="0.25">
      <c r="B32" s="7" t="str">
        <f>Master[[#This Row],[Accession Prefix (NPGS)]]&amp;" "&amp;Master[[#This Row],[Accession Number -Assigned]]</f>
        <v>W6 59618</v>
      </c>
      <c r="C32" s="7" t="str">
        <f>Master[[#This Row],[Accession Prefix (NPGS)]]&amp;" "&amp;Master[[#This Row],[Accession Number -Assigned]]&amp;" **"</f>
        <v>W6 59618 **</v>
      </c>
      <c r="D32" s="76" t="str">
        <f>IF(Master[[#This Row],[Accession Name Category (Identifier 1) -Lookup Picker]]="","",Master[[#This Row],[Accession Name Category (Identifier 1) -Lookup Picker]])</f>
        <v/>
      </c>
      <c r="E32" s="76" t="str">
        <f>IF(Master[[#This Row],[Accession Name (Identifier 1)]]="","",Master[[#This Row],[Accession Name (Identifier 1)]])</f>
        <v/>
      </c>
      <c r="F32" s="45" t="str">
        <f>IF(Master[[#This Row],[Accession Name Cooperator (Identifier 1) -name, organization]]="","",Master[[#This Row],[Accession Name Cooperator (Identifier 1) -name, organization]])</f>
        <v/>
      </c>
      <c r="G32" s="7" t="str">
        <f t="shared" si="1"/>
        <v>Y</v>
      </c>
      <c r="I32" s="3"/>
      <c r="M32" s="3"/>
    </row>
    <row r="33" spans="2:13" x14ac:dyDescent="0.25">
      <c r="B33" s="7" t="str">
        <f>Master[[#This Row],[Accession Prefix (NPGS)]]&amp;" "&amp;Master[[#This Row],[Accession Number -Assigned]]</f>
        <v>W6 59619</v>
      </c>
      <c r="C33" s="7" t="str">
        <f>Master[[#This Row],[Accession Prefix (NPGS)]]&amp;" "&amp;Master[[#This Row],[Accession Number -Assigned]]&amp;" **"</f>
        <v>W6 59619 **</v>
      </c>
      <c r="D33" s="76" t="str">
        <f>IF(Master[[#This Row],[Accession Name Category (Identifier 1) -Lookup Picker]]="","",Master[[#This Row],[Accession Name Category (Identifier 1) -Lookup Picker]])</f>
        <v/>
      </c>
      <c r="E33" s="76" t="str">
        <f>IF(Master[[#This Row],[Accession Name (Identifier 1)]]="","",Master[[#This Row],[Accession Name (Identifier 1)]])</f>
        <v/>
      </c>
      <c r="F33" s="45" t="str">
        <f>IF(Master[[#This Row],[Accession Name Cooperator (Identifier 1) -name, organization]]="","",Master[[#This Row],[Accession Name Cooperator (Identifier 1) -name, organization]])</f>
        <v/>
      </c>
      <c r="G33" s="7" t="str">
        <f t="shared" si="1"/>
        <v>Y</v>
      </c>
      <c r="I33" s="3"/>
      <c r="M33" s="3"/>
    </row>
    <row r="34" spans="2:13" x14ac:dyDescent="0.25">
      <c r="B34" s="7" t="str">
        <f>Master[[#This Row],[Accession Prefix (NPGS)]]&amp;" "&amp;Master[[#This Row],[Accession Number -Assigned]]</f>
        <v>W6 59620</v>
      </c>
      <c r="C34" s="7" t="str">
        <f>Master[[#This Row],[Accession Prefix (NPGS)]]&amp;" "&amp;Master[[#This Row],[Accession Number -Assigned]]&amp;" **"</f>
        <v>W6 59620 **</v>
      </c>
      <c r="D34" s="76" t="str">
        <f>IF(Master[[#This Row],[Accession Name Category (Identifier 1) -Lookup Picker]]="","",Master[[#This Row],[Accession Name Category (Identifier 1) -Lookup Picker]])</f>
        <v/>
      </c>
      <c r="E34" s="76" t="str">
        <f>IF(Master[[#This Row],[Accession Name (Identifier 1)]]="","",Master[[#This Row],[Accession Name (Identifier 1)]])</f>
        <v/>
      </c>
      <c r="F34" s="45" t="str">
        <f>IF(Master[[#This Row],[Accession Name Cooperator (Identifier 1) -name, organization]]="","",Master[[#This Row],[Accession Name Cooperator (Identifier 1) -name, organization]])</f>
        <v/>
      </c>
      <c r="G34" s="7" t="str">
        <f t="shared" si="1"/>
        <v>Y</v>
      </c>
      <c r="I34" s="3"/>
      <c r="M34" s="3"/>
    </row>
    <row r="35" spans="2:13" x14ac:dyDescent="0.25">
      <c r="B35" s="7" t="str">
        <f>Master[[#This Row],[Accession Prefix (NPGS)]]&amp;" "&amp;Master[[#This Row],[Accession Number -Assigned]]</f>
        <v>W6 59621</v>
      </c>
      <c r="C35" s="7" t="str">
        <f>Master[[#This Row],[Accession Prefix (NPGS)]]&amp;" "&amp;Master[[#This Row],[Accession Number -Assigned]]&amp;" **"</f>
        <v>W6 59621 **</v>
      </c>
      <c r="D35" s="76" t="str">
        <f>IF(Master[[#This Row],[Accession Name Category (Identifier 1) -Lookup Picker]]="","",Master[[#This Row],[Accession Name Category (Identifier 1) -Lookup Picker]])</f>
        <v/>
      </c>
      <c r="E35" s="76" t="str">
        <f>IF(Master[[#This Row],[Accession Name (Identifier 1)]]="","",Master[[#This Row],[Accession Name (Identifier 1)]])</f>
        <v/>
      </c>
      <c r="F35" s="45" t="str">
        <f>IF(Master[[#This Row],[Accession Name Cooperator (Identifier 1) -name, organization]]="","",Master[[#This Row],[Accession Name Cooperator (Identifier 1) -name, organization]])</f>
        <v/>
      </c>
      <c r="G35" s="7" t="str">
        <f t="shared" si="1"/>
        <v>Y</v>
      </c>
      <c r="I35" s="3"/>
      <c r="M35" s="3"/>
    </row>
    <row r="36" spans="2:13" x14ac:dyDescent="0.25">
      <c r="B36" s="7" t="str">
        <f>Master[[#This Row],[Accession Prefix (NPGS)]]&amp;" "&amp;Master[[#This Row],[Accession Number -Assigned]]</f>
        <v>W6 59622</v>
      </c>
      <c r="C36" s="7" t="str">
        <f>Master[[#This Row],[Accession Prefix (NPGS)]]&amp;" "&amp;Master[[#This Row],[Accession Number -Assigned]]&amp;" **"</f>
        <v>W6 59622 **</v>
      </c>
      <c r="D36" s="76" t="str">
        <f>IF(Master[[#This Row],[Accession Name Category (Identifier 1) -Lookup Picker]]="","",Master[[#This Row],[Accession Name Category (Identifier 1) -Lookup Picker]])</f>
        <v/>
      </c>
      <c r="E36" s="76" t="str">
        <f>IF(Master[[#This Row],[Accession Name (Identifier 1)]]="","",Master[[#This Row],[Accession Name (Identifier 1)]])</f>
        <v/>
      </c>
      <c r="F36" s="45" t="str">
        <f>IF(Master[[#This Row],[Accession Name Cooperator (Identifier 1) -name, organization]]="","",Master[[#This Row],[Accession Name Cooperator (Identifier 1) -name, organization]])</f>
        <v/>
      </c>
      <c r="G36" s="7" t="str">
        <f t="shared" si="1"/>
        <v>Y</v>
      </c>
      <c r="I36" s="3"/>
      <c r="M36" s="3"/>
    </row>
    <row r="37" spans="2:13" x14ac:dyDescent="0.25">
      <c r="B37" s="7" t="str">
        <f>Master[[#This Row],[Accession Prefix (NPGS)]]&amp;" "&amp;Master[[#This Row],[Accession Number -Assigned]]</f>
        <v>W6 59623</v>
      </c>
      <c r="C37" s="7" t="str">
        <f>Master[[#This Row],[Accession Prefix (NPGS)]]&amp;" "&amp;Master[[#This Row],[Accession Number -Assigned]]&amp;" **"</f>
        <v>W6 59623 **</v>
      </c>
      <c r="D37" s="76" t="str">
        <f>IF(Master[[#This Row],[Accession Name Category (Identifier 1) -Lookup Picker]]="","",Master[[#This Row],[Accession Name Category (Identifier 1) -Lookup Picker]])</f>
        <v/>
      </c>
      <c r="E37" s="76" t="str">
        <f>IF(Master[[#This Row],[Accession Name (Identifier 1)]]="","",Master[[#This Row],[Accession Name (Identifier 1)]])</f>
        <v/>
      </c>
      <c r="F37" s="45" t="str">
        <f>IF(Master[[#This Row],[Accession Name Cooperator (Identifier 1) -name, organization]]="","",Master[[#This Row],[Accession Name Cooperator (Identifier 1) -name, organization]])</f>
        <v/>
      </c>
      <c r="G37" s="7" t="str">
        <f t="shared" si="1"/>
        <v>Y</v>
      </c>
      <c r="I37" s="3"/>
      <c r="M37" s="3"/>
    </row>
    <row r="38" spans="2:13" x14ac:dyDescent="0.25">
      <c r="B38" s="7" t="str">
        <f>Master[[#This Row],[Accession Prefix (NPGS)]]&amp;" "&amp;Master[[#This Row],[Accession Number -Assigned]]</f>
        <v>W6 59624</v>
      </c>
      <c r="C38" s="7" t="str">
        <f>Master[[#This Row],[Accession Prefix (NPGS)]]&amp;" "&amp;Master[[#This Row],[Accession Number -Assigned]]&amp;" **"</f>
        <v>W6 59624 **</v>
      </c>
      <c r="D38" s="76" t="str">
        <f>IF(Master[[#This Row],[Accession Name Category (Identifier 1) -Lookup Picker]]="","",Master[[#This Row],[Accession Name Category (Identifier 1) -Lookup Picker]])</f>
        <v/>
      </c>
      <c r="E38" s="76" t="str">
        <f>IF(Master[[#This Row],[Accession Name (Identifier 1)]]="","",Master[[#This Row],[Accession Name (Identifier 1)]])</f>
        <v/>
      </c>
      <c r="F38" s="45" t="str">
        <f>IF(Master[[#This Row],[Accession Name Cooperator (Identifier 1) -name, organization]]="","",Master[[#This Row],[Accession Name Cooperator (Identifier 1) -name, organization]])</f>
        <v/>
      </c>
      <c r="G38" s="7" t="str">
        <f t="shared" si="1"/>
        <v>Y</v>
      </c>
      <c r="I38" s="3"/>
      <c r="M38" s="3"/>
    </row>
    <row r="39" spans="2:13" x14ac:dyDescent="0.25">
      <c r="B39" s="7" t="str">
        <f>Master[[#This Row],[Accession Prefix (NPGS)]]&amp;" "&amp;Master[[#This Row],[Accession Number -Assigned]]</f>
        <v>W6 59625</v>
      </c>
      <c r="C39" s="7" t="str">
        <f>Master[[#This Row],[Accession Prefix (NPGS)]]&amp;" "&amp;Master[[#This Row],[Accession Number -Assigned]]&amp;" **"</f>
        <v>W6 59625 **</v>
      </c>
      <c r="D39" s="76" t="str">
        <f>IF(Master[[#This Row],[Accession Name Category (Identifier 1) -Lookup Picker]]="","",Master[[#This Row],[Accession Name Category (Identifier 1) -Lookup Picker]])</f>
        <v/>
      </c>
      <c r="E39" s="76" t="str">
        <f>IF(Master[[#This Row],[Accession Name (Identifier 1)]]="","",Master[[#This Row],[Accession Name (Identifier 1)]])</f>
        <v/>
      </c>
      <c r="F39" s="45" t="str">
        <f>IF(Master[[#This Row],[Accession Name Cooperator (Identifier 1) -name, organization]]="","",Master[[#This Row],[Accession Name Cooperator (Identifier 1) -name, organization]])</f>
        <v/>
      </c>
      <c r="G39" s="7" t="str">
        <f t="shared" si="1"/>
        <v>Y</v>
      </c>
      <c r="I39" s="3"/>
      <c r="M39" s="3"/>
    </row>
    <row r="40" spans="2:13" x14ac:dyDescent="0.25">
      <c r="B40" s="7" t="str">
        <f>Master[[#This Row],[Accession Prefix (NPGS)]]&amp;" "&amp;Master[[#This Row],[Accession Number -Assigned]]</f>
        <v>W6 59626</v>
      </c>
      <c r="C40" s="7" t="str">
        <f>Master[[#This Row],[Accession Prefix (NPGS)]]&amp;" "&amp;Master[[#This Row],[Accession Number -Assigned]]&amp;" **"</f>
        <v>W6 59626 **</v>
      </c>
      <c r="D40" s="76" t="str">
        <f>IF(Master[[#This Row],[Accession Name Category (Identifier 1) -Lookup Picker]]="","",Master[[#This Row],[Accession Name Category (Identifier 1) -Lookup Picker]])</f>
        <v/>
      </c>
      <c r="E40" s="76" t="str">
        <f>IF(Master[[#This Row],[Accession Name (Identifier 1)]]="","",Master[[#This Row],[Accession Name (Identifier 1)]])</f>
        <v/>
      </c>
      <c r="F40" s="45" t="str">
        <f>IF(Master[[#This Row],[Accession Name Cooperator (Identifier 1) -name, organization]]="","",Master[[#This Row],[Accession Name Cooperator (Identifier 1) -name, organization]])</f>
        <v/>
      </c>
      <c r="G40" s="7" t="str">
        <f t="shared" si="1"/>
        <v>Y</v>
      </c>
      <c r="I40" s="3"/>
      <c r="M40" s="3"/>
    </row>
    <row r="41" spans="2:13" x14ac:dyDescent="0.25">
      <c r="B41" s="7" t="str">
        <f>Master[[#This Row],[Accession Prefix (NPGS)]]&amp;" "&amp;Master[[#This Row],[Accession Number -Assigned]]</f>
        <v>W6 59627</v>
      </c>
      <c r="C41" s="7" t="str">
        <f>Master[[#This Row],[Accession Prefix (NPGS)]]&amp;" "&amp;Master[[#This Row],[Accession Number -Assigned]]&amp;" **"</f>
        <v>W6 59627 **</v>
      </c>
      <c r="D41" s="76" t="str">
        <f>IF(Master[[#This Row],[Accession Name Category (Identifier 1) -Lookup Picker]]="","",Master[[#This Row],[Accession Name Category (Identifier 1) -Lookup Picker]])</f>
        <v/>
      </c>
      <c r="E41" s="76" t="str">
        <f>IF(Master[[#This Row],[Accession Name (Identifier 1)]]="","",Master[[#This Row],[Accession Name (Identifier 1)]])</f>
        <v/>
      </c>
      <c r="F41" s="45" t="str">
        <f>IF(Master[[#This Row],[Accession Name Cooperator (Identifier 1) -name, organization]]="","",Master[[#This Row],[Accession Name Cooperator (Identifier 1) -name, organization]])</f>
        <v/>
      </c>
      <c r="G41" s="7" t="str">
        <f t="shared" si="1"/>
        <v>Y</v>
      </c>
      <c r="I41" s="3"/>
      <c r="M41" s="3"/>
    </row>
    <row r="42" spans="2:13" x14ac:dyDescent="0.25">
      <c r="B42" s="7" t="str">
        <f>Master[[#This Row],[Accession Prefix (NPGS)]]&amp;" "&amp;Master[[#This Row],[Accession Number -Assigned]]</f>
        <v>W6 59628</v>
      </c>
      <c r="C42" s="7" t="str">
        <f>Master[[#This Row],[Accession Prefix (NPGS)]]&amp;" "&amp;Master[[#This Row],[Accession Number -Assigned]]&amp;" **"</f>
        <v>W6 59628 **</v>
      </c>
      <c r="D42" s="76" t="str">
        <f>IF(Master[[#This Row],[Accession Name Category (Identifier 1) -Lookup Picker]]="","",Master[[#This Row],[Accession Name Category (Identifier 1) -Lookup Picker]])</f>
        <v/>
      </c>
      <c r="E42" s="76" t="str">
        <f>IF(Master[[#This Row],[Accession Name (Identifier 1)]]="","",Master[[#This Row],[Accession Name (Identifier 1)]])</f>
        <v/>
      </c>
      <c r="F42" s="45" t="str">
        <f>IF(Master[[#This Row],[Accession Name Cooperator (Identifier 1) -name, organization]]="","",Master[[#This Row],[Accession Name Cooperator (Identifier 1) -name, organization]])</f>
        <v/>
      </c>
      <c r="G42" s="7" t="str">
        <f t="shared" si="1"/>
        <v>Y</v>
      </c>
      <c r="I42" s="3"/>
      <c r="M42" s="3"/>
    </row>
    <row r="43" spans="2:13" x14ac:dyDescent="0.25">
      <c r="B43" s="7" t="str">
        <f>Master[[#This Row],[Accession Prefix (NPGS)]]&amp;" "&amp;Master[[#This Row],[Accession Number -Assigned]]</f>
        <v>W6 59629</v>
      </c>
      <c r="C43" s="7" t="str">
        <f>Master[[#This Row],[Accession Prefix (NPGS)]]&amp;" "&amp;Master[[#This Row],[Accession Number -Assigned]]&amp;" **"</f>
        <v>W6 59629 **</v>
      </c>
      <c r="D43" s="76" t="str">
        <f>IF(Master[[#This Row],[Accession Name Category (Identifier 1) -Lookup Picker]]="","",Master[[#This Row],[Accession Name Category (Identifier 1) -Lookup Picker]])</f>
        <v/>
      </c>
      <c r="E43" s="76" t="str">
        <f>IF(Master[[#This Row],[Accession Name (Identifier 1)]]="","",Master[[#This Row],[Accession Name (Identifier 1)]])</f>
        <v/>
      </c>
      <c r="F43" s="45" t="str">
        <f>IF(Master[[#This Row],[Accession Name Cooperator (Identifier 1) -name, organization]]="","",Master[[#This Row],[Accession Name Cooperator (Identifier 1) -name, organization]])</f>
        <v/>
      </c>
      <c r="G43" s="7" t="str">
        <f t="shared" si="1"/>
        <v>Y</v>
      </c>
      <c r="I43" s="3"/>
      <c r="M43" s="3"/>
    </row>
    <row r="44" spans="2:13" x14ac:dyDescent="0.25">
      <c r="B44" s="7" t="str">
        <f>Master[[#This Row],[Accession Prefix (NPGS)]]&amp;" "&amp;Master[[#This Row],[Accession Number -Assigned]]</f>
        <v>W6 59630</v>
      </c>
      <c r="C44" s="7" t="str">
        <f>Master[[#This Row],[Accession Prefix (NPGS)]]&amp;" "&amp;Master[[#This Row],[Accession Number -Assigned]]&amp;" **"</f>
        <v>W6 59630 **</v>
      </c>
      <c r="D44" s="76" t="str">
        <f>IF(Master[[#This Row],[Accession Name Category (Identifier 1) -Lookup Picker]]="","",Master[[#This Row],[Accession Name Category (Identifier 1) -Lookup Picker]])</f>
        <v/>
      </c>
      <c r="E44" s="76" t="str">
        <f>IF(Master[[#This Row],[Accession Name (Identifier 1)]]="","",Master[[#This Row],[Accession Name (Identifier 1)]])</f>
        <v/>
      </c>
      <c r="F44" s="45" t="str">
        <f>IF(Master[[#This Row],[Accession Name Cooperator (Identifier 1) -name, organization]]="","",Master[[#This Row],[Accession Name Cooperator (Identifier 1) -name, organization]])</f>
        <v/>
      </c>
      <c r="G44" s="7" t="str">
        <f t="shared" si="1"/>
        <v>Y</v>
      </c>
      <c r="I44" s="3"/>
      <c r="M44" s="3"/>
    </row>
    <row r="45" spans="2:13" x14ac:dyDescent="0.25">
      <c r="B45" s="7" t="str">
        <f>Master[[#This Row],[Accession Prefix (NPGS)]]&amp;" "&amp;Master[[#This Row],[Accession Number -Assigned]]</f>
        <v>W6 59631</v>
      </c>
      <c r="C45" s="7" t="str">
        <f>Master[[#This Row],[Accession Prefix (NPGS)]]&amp;" "&amp;Master[[#This Row],[Accession Number -Assigned]]&amp;" **"</f>
        <v>W6 59631 **</v>
      </c>
      <c r="D45" s="76" t="str">
        <f>IF(Master[[#This Row],[Accession Name Category (Identifier 1) -Lookup Picker]]="","",Master[[#This Row],[Accession Name Category (Identifier 1) -Lookup Picker]])</f>
        <v/>
      </c>
      <c r="E45" s="76" t="str">
        <f>IF(Master[[#This Row],[Accession Name (Identifier 1)]]="","",Master[[#This Row],[Accession Name (Identifier 1)]])</f>
        <v/>
      </c>
      <c r="F45" s="45" t="str">
        <f>IF(Master[[#This Row],[Accession Name Cooperator (Identifier 1) -name, organization]]="","",Master[[#This Row],[Accession Name Cooperator (Identifier 1) -name, organization]])</f>
        <v/>
      </c>
      <c r="G45" s="7" t="str">
        <f t="shared" si="1"/>
        <v>Y</v>
      </c>
      <c r="I45" s="3"/>
      <c r="M45" s="3"/>
    </row>
    <row r="46" spans="2:13" x14ac:dyDescent="0.25">
      <c r="B46" s="7" t="str">
        <f>Master[[#This Row],[Accession Prefix (NPGS)]]&amp;" "&amp;Master[[#This Row],[Accession Number -Assigned]]</f>
        <v>W6 59632</v>
      </c>
      <c r="C46" s="7" t="str">
        <f>Master[[#This Row],[Accession Prefix (NPGS)]]&amp;" "&amp;Master[[#This Row],[Accession Number -Assigned]]&amp;" **"</f>
        <v>W6 59632 **</v>
      </c>
      <c r="D46" s="76" t="str">
        <f>IF(Master[[#This Row],[Accession Name Category (Identifier 1) -Lookup Picker]]="","",Master[[#This Row],[Accession Name Category (Identifier 1) -Lookup Picker]])</f>
        <v/>
      </c>
      <c r="E46" s="76" t="str">
        <f>IF(Master[[#This Row],[Accession Name (Identifier 1)]]="","",Master[[#This Row],[Accession Name (Identifier 1)]])</f>
        <v/>
      </c>
      <c r="F46" s="45" t="str">
        <f>IF(Master[[#This Row],[Accession Name Cooperator (Identifier 1) -name, organization]]="","",Master[[#This Row],[Accession Name Cooperator (Identifier 1) -name, organization]])</f>
        <v/>
      </c>
      <c r="G46" s="7" t="str">
        <f t="shared" si="1"/>
        <v>Y</v>
      </c>
      <c r="I46" s="3"/>
      <c r="M46" s="3"/>
    </row>
    <row r="47" spans="2:13" x14ac:dyDescent="0.25">
      <c r="B47" s="7" t="str">
        <f>Master[[#This Row],[Accession Prefix (NPGS)]]&amp;" "&amp;Master[[#This Row],[Accession Number -Assigned]]</f>
        <v>W6 59633</v>
      </c>
      <c r="C47" s="7" t="str">
        <f>Master[[#This Row],[Accession Prefix (NPGS)]]&amp;" "&amp;Master[[#This Row],[Accession Number -Assigned]]&amp;" **"</f>
        <v>W6 59633 **</v>
      </c>
      <c r="D47" s="76" t="str">
        <f>IF(Master[[#This Row],[Accession Name Category (Identifier 1) -Lookup Picker]]="","",Master[[#This Row],[Accession Name Category (Identifier 1) -Lookup Picker]])</f>
        <v/>
      </c>
      <c r="E47" s="76" t="str">
        <f>IF(Master[[#This Row],[Accession Name (Identifier 1)]]="","",Master[[#This Row],[Accession Name (Identifier 1)]])</f>
        <v/>
      </c>
      <c r="F47" s="45" t="str">
        <f>IF(Master[[#This Row],[Accession Name Cooperator (Identifier 1) -name, organization]]="","",Master[[#This Row],[Accession Name Cooperator (Identifier 1) -name, organization]])</f>
        <v/>
      </c>
      <c r="G47" s="7" t="str">
        <f t="shared" si="1"/>
        <v>Y</v>
      </c>
      <c r="I47" s="3"/>
      <c r="M47" s="3"/>
    </row>
    <row r="48" spans="2:13" x14ac:dyDescent="0.25">
      <c r="B48" s="7" t="str">
        <f>Master[[#This Row],[Accession Prefix (NPGS)]]&amp;" "&amp;Master[[#This Row],[Accession Number -Assigned]]</f>
        <v>W6 59634</v>
      </c>
      <c r="C48" s="7" t="str">
        <f>Master[[#This Row],[Accession Prefix (NPGS)]]&amp;" "&amp;Master[[#This Row],[Accession Number -Assigned]]&amp;" **"</f>
        <v>W6 59634 **</v>
      </c>
      <c r="D48" s="76" t="str">
        <f>IF(Master[[#This Row],[Accession Name Category (Identifier 1) -Lookup Picker]]="","",Master[[#This Row],[Accession Name Category (Identifier 1) -Lookup Picker]])</f>
        <v/>
      </c>
      <c r="E48" s="76" t="str">
        <f>IF(Master[[#This Row],[Accession Name (Identifier 1)]]="","",Master[[#This Row],[Accession Name (Identifier 1)]])</f>
        <v/>
      </c>
      <c r="F48" s="45" t="str">
        <f>IF(Master[[#This Row],[Accession Name Cooperator (Identifier 1) -name, organization]]="","",Master[[#This Row],[Accession Name Cooperator (Identifier 1) -name, organization]])</f>
        <v/>
      </c>
      <c r="G48" s="7" t="str">
        <f t="shared" si="1"/>
        <v>Y</v>
      </c>
      <c r="I48" s="3"/>
      <c r="M48" s="3"/>
    </row>
    <row r="49" spans="2:13" x14ac:dyDescent="0.25">
      <c r="B49" s="7" t="str">
        <f>Master[[#This Row],[Accession Prefix (NPGS)]]&amp;" "&amp;Master[[#This Row],[Accession Number -Assigned]]</f>
        <v>W6 59635</v>
      </c>
      <c r="C49" s="7" t="str">
        <f>Master[[#This Row],[Accession Prefix (NPGS)]]&amp;" "&amp;Master[[#This Row],[Accession Number -Assigned]]&amp;" **"</f>
        <v>W6 59635 **</v>
      </c>
      <c r="D49" s="76" t="str">
        <f>IF(Master[[#This Row],[Accession Name Category (Identifier 1) -Lookup Picker]]="","",Master[[#This Row],[Accession Name Category (Identifier 1) -Lookup Picker]])</f>
        <v/>
      </c>
      <c r="E49" s="76" t="str">
        <f>IF(Master[[#This Row],[Accession Name (Identifier 1)]]="","",Master[[#This Row],[Accession Name (Identifier 1)]])</f>
        <v/>
      </c>
      <c r="F49" s="45" t="str">
        <f>IF(Master[[#This Row],[Accession Name Cooperator (Identifier 1) -name, organization]]="","",Master[[#This Row],[Accession Name Cooperator (Identifier 1) -name, organization]])</f>
        <v/>
      </c>
      <c r="G49" s="7" t="str">
        <f t="shared" si="1"/>
        <v>Y</v>
      </c>
      <c r="I49" s="3"/>
      <c r="M49" s="3"/>
    </row>
    <row r="50" spans="2:13" x14ac:dyDescent="0.25">
      <c r="B50" s="7" t="str">
        <f>Master[[#This Row],[Accession Prefix (NPGS)]]&amp;" "&amp;Master[[#This Row],[Accession Number -Assigned]]</f>
        <v>W6 59636</v>
      </c>
      <c r="C50" s="7" t="str">
        <f>Master[[#This Row],[Accession Prefix (NPGS)]]&amp;" "&amp;Master[[#This Row],[Accession Number -Assigned]]&amp;" **"</f>
        <v>W6 59636 **</v>
      </c>
      <c r="D50" s="76" t="str">
        <f>IF(Master[[#This Row],[Accession Name Category (Identifier 1) -Lookup Picker]]="","",Master[[#This Row],[Accession Name Category (Identifier 1) -Lookup Picker]])</f>
        <v/>
      </c>
      <c r="E50" s="76" t="str">
        <f>IF(Master[[#This Row],[Accession Name (Identifier 1)]]="","",Master[[#This Row],[Accession Name (Identifier 1)]])</f>
        <v/>
      </c>
      <c r="F50" s="45" t="str">
        <f>IF(Master[[#This Row],[Accession Name Cooperator (Identifier 1) -name, organization]]="","",Master[[#This Row],[Accession Name Cooperator (Identifier 1) -name, organization]])</f>
        <v/>
      </c>
      <c r="G50" s="7" t="str">
        <f t="shared" si="1"/>
        <v>Y</v>
      </c>
      <c r="I50" s="3"/>
      <c r="M50" s="3"/>
    </row>
    <row r="51" spans="2:13" x14ac:dyDescent="0.25">
      <c r="B51" s="7" t="str">
        <f>Master[[#This Row],[Accession Prefix (NPGS)]]&amp;" "&amp;Master[[#This Row],[Accession Number -Assigned]]</f>
        <v>W6 59637</v>
      </c>
      <c r="C51" s="7" t="str">
        <f>Master[[#This Row],[Accession Prefix (NPGS)]]&amp;" "&amp;Master[[#This Row],[Accession Number -Assigned]]&amp;" **"</f>
        <v>W6 59637 **</v>
      </c>
      <c r="D51" s="76" t="str">
        <f>IF(Master[[#This Row],[Accession Name Category (Identifier 1) -Lookup Picker]]="","",Master[[#This Row],[Accession Name Category (Identifier 1) -Lookup Picker]])</f>
        <v/>
      </c>
      <c r="E51" s="76" t="str">
        <f>IF(Master[[#This Row],[Accession Name (Identifier 1)]]="","",Master[[#This Row],[Accession Name (Identifier 1)]])</f>
        <v/>
      </c>
      <c r="F51" s="45" t="str">
        <f>IF(Master[[#This Row],[Accession Name Cooperator (Identifier 1) -name, organization]]="","",Master[[#This Row],[Accession Name Cooperator (Identifier 1) -name, organization]])</f>
        <v/>
      </c>
      <c r="G51" s="7" t="str">
        <f t="shared" si="1"/>
        <v>Y</v>
      </c>
      <c r="I51" s="3"/>
      <c r="M51" s="3"/>
    </row>
    <row r="52" spans="2:13" x14ac:dyDescent="0.25">
      <c r="B52" s="7" t="str">
        <f>Master[[#This Row],[Accession Prefix (NPGS)]]&amp;" "&amp;Master[[#This Row],[Accession Number -Assigned]]</f>
        <v>W6 59638</v>
      </c>
      <c r="C52" s="7" t="str">
        <f>Master[[#This Row],[Accession Prefix (NPGS)]]&amp;" "&amp;Master[[#This Row],[Accession Number -Assigned]]&amp;" **"</f>
        <v>W6 59638 **</v>
      </c>
      <c r="D52" s="76" t="str">
        <f>IF(Master[[#This Row],[Accession Name Category (Identifier 1) -Lookup Picker]]="","",Master[[#This Row],[Accession Name Category (Identifier 1) -Lookup Picker]])</f>
        <v/>
      </c>
      <c r="E52" s="76" t="str">
        <f>IF(Master[[#This Row],[Accession Name (Identifier 1)]]="","",Master[[#This Row],[Accession Name (Identifier 1)]])</f>
        <v/>
      </c>
      <c r="F52" s="45" t="str">
        <f>IF(Master[[#This Row],[Accession Name Cooperator (Identifier 1) -name, organization]]="","",Master[[#This Row],[Accession Name Cooperator (Identifier 1) -name, organization]])</f>
        <v/>
      </c>
      <c r="G52" s="7" t="str">
        <f t="shared" si="1"/>
        <v>Y</v>
      </c>
      <c r="I52" s="3"/>
      <c r="M52" s="3"/>
    </row>
    <row r="53" spans="2:13" x14ac:dyDescent="0.25">
      <c r="B53" s="7" t="str">
        <f>Master[[#This Row],[Accession Prefix (NPGS)]]&amp;" "&amp;Master[[#This Row],[Accession Number -Assigned]]</f>
        <v>W6 59639</v>
      </c>
      <c r="C53" s="7" t="str">
        <f>Master[[#This Row],[Accession Prefix (NPGS)]]&amp;" "&amp;Master[[#This Row],[Accession Number -Assigned]]&amp;" **"</f>
        <v>W6 59639 **</v>
      </c>
      <c r="D53" s="76" t="str">
        <f>IF(Master[[#This Row],[Accession Name Category (Identifier 1) -Lookup Picker]]="","",Master[[#This Row],[Accession Name Category (Identifier 1) -Lookup Picker]])</f>
        <v/>
      </c>
      <c r="E53" s="76" t="str">
        <f>IF(Master[[#This Row],[Accession Name (Identifier 1)]]="","",Master[[#This Row],[Accession Name (Identifier 1)]])</f>
        <v/>
      </c>
      <c r="F53" s="45" t="str">
        <f>IF(Master[[#This Row],[Accession Name Cooperator (Identifier 1) -name, organization]]="","",Master[[#This Row],[Accession Name Cooperator (Identifier 1) -name, organization]])</f>
        <v/>
      </c>
      <c r="G53" s="7" t="str">
        <f t="shared" si="1"/>
        <v>Y</v>
      </c>
      <c r="I53" s="3"/>
      <c r="M53" s="3"/>
    </row>
    <row r="54" spans="2:13" x14ac:dyDescent="0.25">
      <c r="B54" s="7" t="str">
        <f>Master[[#This Row],[Accession Prefix (NPGS)]]&amp;" "&amp;Master[[#This Row],[Accession Number -Assigned]]</f>
        <v>W6 59640</v>
      </c>
      <c r="C54" s="7" t="str">
        <f>Master[[#This Row],[Accession Prefix (NPGS)]]&amp;" "&amp;Master[[#This Row],[Accession Number -Assigned]]&amp;" **"</f>
        <v>W6 59640 **</v>
      </c>
      <c r="D54" s="76" t="str">
        <f>IF(Master[[#This Row],[Accession Name Category (Identifier 1) -Lookup Picker]]="","",Master[[#This Row],[Accession Name Category (Identifier 1) -Lookup Picker]])</f>
        <v/>
      </c>
      <c r="E54" s="76" t="str">
        <f>IF(Master[[#This Row],[Accession Name (Identifier 1)]]="","",Master[[#This Row],[Accession Name (Identifier 1)]])</f>
        <v/>
      </c>
      <c r="F54" s="45" t="str">
        <f>IF(Master[[#This Row],[Accession Name Cooperator (Identifier 1) -name, organization]]="","",Master[[#This Row],[Accession Name Cooperator (Identifier 1) -name, organization]])</f>
        <v/>
      </c>
      <c r="G54" s="7" t="str">
        <f t="shared" ref="G54:G85" si="2">"Y"</f>
        <v>Y</v>
      </c>
      <c r="I54" s="3"/>
      <c r="M54" s="3"/>
    </row>
    <row r="55" spans="2:13" x14ac:dyDescent="0.25">
      <c r="B55" s="7" t="str">
        <f>Master[[#This Row],[Accession Prefix (NPGS)]]&amp;" "&amp;Master[[#This Row],[Accession Number -Assigned]]</f>
        <v>W6 59641</v>
      </c>
      <c r="C55" s="7" t="str">
        <f>Master[[#This Row],[Accession Prefix (NPGS)]]&amp;" "&amp;Master[[#This Row],[Accession Number -Assigned]]&amp;" **"</f>
        <v>W6 59641 **</v>
      </c>
      <c r="D55" s="76" t="str">
        <f>IF(Master[[#This Row],[Accession Name Category (Identifier 1) -Lookup Picker]]="","",Master[[#This Row],[Accession Name Category (Identifier 1) -Lookup Picker]])</f>
        <v/>
      </c>
      <c r="E55" s="76" t="str">
        <f>IF(Master[[#This Row],[Accession Name (Identifier 1)]]="","",Master[[#This Row],[Accession Name (Identifier 1)]])</f>
        <v/>
      </c>
      <c r="F55" s="45" t="str">
        <f>IF(Master[[#This Row],[Accession Name Cooperator (Identifier 1) -name, organization]]="","",Master[[#This Row],[Accession Name Cooperator (Identifier 1) -name, organization]])</f>
        <v/>
      </c>
      <c r="G55" s="7" t="str">
        <f t="shared" si="2"/>
        <v>Y</v>
      </c>
      <c r="I55" s="3"/>
      <c r="M55" s="3"/>
    </row>
    <row r="56" spans="2:13" x14ac:dyDescent="0.25">
      <c r="B56" s="7" t="str">
        <f>Master[[#This Row],[Accession Prefix (NPGS)]]&amp;" "&amp;Master[[#This Row],[Accession Number -Assigned]]</f>
        <v>W6 59642</v>
      </c>
      <c r="C56" s="7" t="str">
        <f>Master[[#This Row],[Accession Prefix (NPGS)]]&amp;" "&amp;Master[[#This Row],[Accession Number -Assigned]]&amp;" **"</f>
        <v>W6 59642 **</v>
      </c>
      <c r="D56" s="76" t="str">
        <f>IF(Master[[#This Row],[Accession Name Category (Identifier 1) -Lookup Picker]]="","",Master[[#This Row],[Accession Name Category (Identifier 1) -Lookup Picker]])</f>
        <v/>
      </c>
      <c r="E56" s="76" t="str">
        <f>IF(Master[[#This Row],[Accession Name (Identifier 1)]]="","",Master[[#This Row],[Accession Name (Identifier 1)]])</f>
        <v/>
      </c>
      <c r="F56" s="45" t="str">
        <f>IF(Master[[#This Row],[Accession Name Cooperator (Identifier 1) -name, organization]]="","",Master[[#This Row],[Accession Name Cooperator (Identifier 1) -name, organization]])</f>
        <v/>
      </c>
      <c r="G56" s="7" t="str">
        <f t="shared" si="2"/>
        <v>Y</v>
      </c>
      <c r="I56" s="3"/>
      <c r="M56" s="3"/>
    </row>
    <row r="57" spans="2:13" x14ac:dyDescent="0.25">
      <c r="B57" s="7" t="str">
        <f>Master[[#This Row],[Accession Prefix (NPGS)]]&amp;" "&amp;Master[[#This Row],[Accession Number -Assigned]]</f>
        <v>W6 59643</v>
      </c>
      <c r="C57" s="7" t="str">
        <f>Master[[#This Row],[Accession Prefix (NPGS)]]&amp;" "&amp;Master[[#This Row],[Accession Number -Assigned]]&amp;" **"</f>
        <v>W6 59643 **</v>
      </c>
      <c r="D57" s="76" t="str">
        <f>IF(Master[[#This Row],[Accession Name Category (Identifier 1) -Lookup Picker]]="","",Master[[#This Row],[Accession Name Category (Identifier 1) -Lookup Picker]])</f>
        <v/>
      </c>
      <c r="E57" s="76" t="str">
        <f>IF(Master[[#This Row],[Accession Name (Identifier 1)]]="","",Master[[#This Row],[Accession Name (Identifier 1)]])</f>
        <v/>
      </c>
      <c r="F57" s="45" t="str">
        <f>IF(Master[[#This Row],[Accession Name Cooperator (Identifier 1) -name, organization]]="","",Master[[#This Row],[Accession Name Cooperator (Identifier 1) -name, organization]])</f>
        <v/>
      </c>
      <c r="G57" s="7" t="str">
        <f t="shared" si="2"/>
        <v>Y</v>
      </c>
      <c r="I57" s="3"/>
      <c r="M57" s="3"/>
    </row>
    <row r="58" spans="2:13" x14ac:dyDescent="0.25">
      <c r="B58" s="7" t="str">
        <f>Master[[#This Row],[Accession Prefix (NPGS)]]&amp;" "&amp;Master[[#This Row],[Accession Number -Assigned]]</f>
        <v>W6 59644</v>
      </c>
      <c r="C58" s="7" t="str">
        <f>Master[[#This Row],[Accession Prefix (NPGS)]]&amp;" "&amp;Master[[#This Row],[Accession Number -Assigned]]&amp;" **"</f>
        <v>W6 59644 **</v>
      </c>
      <c r="D58" s="76" t="str">
        <f>IF(Master[[#This Row],[Accession Name Category (Identifier 1) -Lookup Picker]]="","",Master[[#This Row],[Accession Name Category (Identifier 1) -Lookup Picker]])</f>
        <v/>
      </c>
      <c r="E58" s="76" t="str">
        <f>IF(Master[[#This Row],[Accession Name (Identifier 1)]]="","",Master[[#This Row],[Accession Name (Identifier 1)]])</f>
        <v/>
      </c>
      <c r="F58" s="45" t="str">
        <f>IF(Master[[#This Row],[Accession Name Cooperator (Identifier 1) -name, organization]]="","",Master[[#This Row],[Accession Name Cooperator (Identifier 1) -name, organization]])</f>
        <v/>
      </c>
      <c r="G58" s="7" t="str">
        <f t="shared" si="2"/>
        <v>Y</v>
      </c>
      <c r="I58" s="3"/>
      <c r="M58" s="3"/>
    </row>
    <row r="59" spans="2:13" x14ac:dyDescent="0.25">
      <c r="B59" s="7" t="str">
        <f>Master[[#This Row],[Accession Prefix (NPGS)]]&amp;" "&amp;Master[[#This Row],[Accession Number -Assigned]]</f>
        <v>W6 59645</v>
      </c>
      <c r="C59" s="7" t="str">
        <f>Master[[#This Row],[Accession Prefix (NPGS)]]&amp;" "&amp;Master[[#This Row],[Accession Number -Assigned]]&amp;" **"</f>
        <v>W6 59645 **</v>
      </c>
      <c r="D59" s="76" t="str">
        <f>IF(Master[[#This Row],[Accession Name Category (Identifier 1) -Lookup Picker]]="","",Master[[#This Row],[Accession Name Category (Identifier 1) -Lookup Picker]])</f>
        <v/>
      </c>
      <c r="E59" s="76" t="str">
        <f>IF(Master[[#This Row],[Accession Name (Identifier 1)]]="","",Master[[#This Row],[Accession Name (Identifier 1)]])</f>
        <v/>
      </c>
      <c r="F59" s="45" t="str">
        <f>IF(Master[[#This Row],[Accession Name Cooperator (Identifier 1) -name, organization]]="","",Master[[#This Row],[Accession Name Cooperator (Identifier 1) -name, organization]])</f>
        <v/>
      </c>
      <c r="G59" s="7" t="str">
        <f t="shared" si="2"/>
        <v>Y</v>
      </c>
      <c r="I59" s="3"/>
      <c r="M59" s="3"/>
    </row>
    <row r="60" spans="2:13" x14ac:dyDescent="0.25">
      <c r="B60" s="7" t="str">
        <f>Master[[#This Row],[Accession Prefix (NPGS)]]&amp;" "&amp;Master[[#This Row],[Accession Number -Assigned]]</f>
        <v>W6 59646</v>
      </c>
      <c r="C60" s="7" t="str">
        <f>Master[[#This Row],[Accession Prefix (NPGS)]]&amp;" "&amp;Master[[#This Row],[Accession Number -Assigned]]&amp;" **"</f>
        <v>W6 59646 **</v>
      </c>
      <c r="D60" s="76" t="str">
        <f>IF(Master[[#This Row],[Accession Name Category (Identifier 1) -Lookup Picker]]="","",Master[[#This Row],[Accession Name Category (Identifier 1) -Lookup Picker]])</f>
        <v/>
      </c>
      <c r="E60" s="76" t="str">
        <f>IF(Master[[#This Row],[Accession Name (Identifier 1)]]="","",Master[[#This Row],[Accession Name (Identifier 1)]])</f>
        <v/>
      </c>
      <c r="F60" s="45" t="str">
        <f>IF(Master[[#This Row],[Accession Name Cooperator (Identifier 1) -name, organization]]="","",Master[[#This Row],[Accession Name Cooperator (Identifier 1) -name, organization]])</f>
        <v/>
      </c>
      <c r="G60" s="7" t="str">
        <f t="shared" si="2"/>
        <v>Y</v>
      </c>
      <c r="I60" s="3"/>
      <c r="M60" s="3"/>
    </row>
    <row r="61" spans="2:13" x14ac:dyDescent="0.25">
      <c r="B61" s="7" t="str">
        <f>Master[[#This Row],[Accession Prefix (NPGS)]]&amp;" "&amp;Master[[#This Row],[Accession Number -Assigned]]</f>
        <v>W6 59647</v>
      </c>
      <c r="C61" s="7" t="str">
        <f>Master[[#This Row],[Accession Prefix (NPGS)]]&amp;" "&amp;Master[[#This Row],[Accession Number -Assigned]]&amp;" **"</f>
        <v>W6 59647 **</v>
      </c>
      <c r="D61" s="76" t="str">
        <f>IF(Master[[#This Row],[Accession Name Category (Identifier 1) -Lookup Picker]]="","",Master[[#This Row],[Accession Name Category (Identifier 1) -Lookup Picker]])</f>
        <v/>
      </c>
      <c r="E61" s="76" t="str">
        <f>IF(Master[[#This Row],[Accession Name (Identifier 1)]]="","",Master[[#This Row],[Accession Name (Identifier 1)]])</f>
        <v/>
      </c>
      <c r="F61" s="45" t="str">
        <f>IF(Master[[#This Row],[Accession Name Cooperator (Identifier 1) -name, organization]]="","",Master[[#This Row],[Accession Name Cooperator (Identifier 1) -name, organization]])</f>
        <v/>
      </c>
      <c r="G61" s="7" t="str">
        <f t="shared" si="2"/>
        <v>Y</v>
      </c>
      <c r="I61" s="3"/>
      <c r="M61" s="3"/>
    </row>
    <row r="62" spans="2:13" x14ac:dyDescent="0.25">
      <c r="B62" s="7" t="str">
        <f>Master[[#This Row],[Accession Prefix (NPGS)]]&amp;" "&amp;Master[[#This Row],[Accession Number -Assigned]]</f>
        <v>W6 59648</v>
      </c>
      <c r="C62" s="7" t="str">
        <f>Master[[#This Row],[Accession Prefix (NPGS)]]&amp;" "&amp;Master[[#This Row],[Accession Number -Assigned]]&amp;" **"</f>
        <v>W6 59648 **</v>
      </c>
      <c r="D62" s="76" t="str">
        <f>IF(Master[[#This Row],[Accession Name Category (Identifier 1) -Lookup Picker]]="","",Master[[#This Row],[Accession Name Category (Identifier 1) -Lookup Picker]])</f>
        <v/>
      </c>
      <c r="E62" s="76" t="str">
        <f>IF(Master[[#This Row],[Accession Name (Identifier 1)]]="","",Master[[#This Row],[Accession Name (Identifier 1)]])</f>
        <v/>
      </c>
      <c r="F62" s="45" t="str">
        <f>IF(Master[[#This Row],[Accession Name Cooperator (Identifier 1) -name, organization]]="","",Master[[#This Row],[Accession Name Cooperator (Identifier 1) -name, organization]])</f>
        <v/>
      </c>
      <c r="G62" s="7" t="str">
        <f t="shared" si="2"/>
        <v>Y</v>
      </c>
      <c r="I62" s="3"/>
      <c r="M62" s="3"/>
    </row>
    <row r="63" spans="2:13" x14ac:dyDescent="0.25">
      <c r="B63" s="7" t="str">
        <f>Master[[#This Row],[Accession Prefix (NPGS)]]&amp;" "&amp;Master[[#This Row],[Accession Number -Assigned]]</f>
        <v>W6 59649</v>
      </c>
      <c r="C63" s="7" t="str">
        <f>Master[[#This Row],[Accession Prefix (NPGS)]]&amp;" "&amp;Master[[#This Row],[Accession Number -Assigned]]&amp;" **"</f>
        <v>W6 59649 **</v>
      </c>
      <c r="D63" s="76" t="str">
        <f>IF(Master[[#This Row],[Accession Name Category (Identifier 1) -Lookup Picker]]="","",Master[[#This Row],[Accession Name Category (Identifier 1) -Lookup Picker]])</f>
        <v/>
      </c>
      <c r="E63" s="76" t="str">
        <f>IF(Master[[#This Row],[Accession Name (Identifier 1)]]="","",Master[[#This Row],[Accession Name (Identifier 1)]])</f>
        <v/>
      </c>
      <c r="F63" s="45" t="str">
        <f>IF(Master[[#This Row],[Accession Name Cooperator (Identifier 1) -name, organization]]="","",Master[[#This Row],[Accession Name Cooperator (Identifier 1) -name, organization]])</f>
        <v/>
      </c>
      <c r="G63" s="7" t="str">
        <f t="shared" si="2"/>
        <v>Y</v>
      </c>
      <c r="I63" s="3"/>
      <c r="M63" s="3"/>
    </row>
    <row r="64" spans="2:13" x14ac:dyDescent="0.25">
      <c r="B64" s="7" t="str">
        <f>Master[[#This Row],[Accession Prefix (NPGS)]]&amp;" "&amp;Master[[#This Row],[Accession Number -Assigned]]</f>
        <v>W6 59650</v>
      </c>
      <c r="C64" s="7" t="str">
        <f>Master[[#This Row],[Accession Prefix (NPGS)]]&amp;" "&amp;Master[[#This Row],[Accession Number -Assigned]]&amp;" **"</f>
        <v>W6 59650 **</v>
      </c>
      <c r="D64" s="76" t="str">
        <f>IF(Master[[#This Row],[Accession Name Category (Identifier 1) -Lookup Picker]]="","",Master[[#This Row],[Accession Name Category (Identifier 1) -Lookup Picker]])</f>
        <v/>
      </c>
      <c r="E64" s="76" t="str">
        <f>IF(Master[[#This Row],[Accession Name (Identifier 1)]]="","",Master[[#This Row],[Accession Name (Identifier 1)]])</f>
        <v/>
      </c>
      <c r="F64" s="45" t="str">
        <f>IF(Master[[#This Row],[Accession Name Cooperator (Identifier 1) -name, organization]]="","",Master[[#This Row],[Accession Name Cooperator (Identifier 1) -name, organization]])</f>
        <v/>
      </c>
      <c r="G64" s="7" t="str">
        <f t="shared" si="2"/>
        <v>Y</v>
      </c>
      <c r="I64" s="3"/>
      <c r="M64" s="3"/>
    </row>
    <row r="65" spans="2:13" x14ac:dyDescent="0.25">
      <c r="B65" s="7" t="str">
        <f>Master[[#This Row],[Accession Prefix (NPGS)]]&amp;" "&amp;Master[[#This Row],[Accession Number -Assigned]]</f>
        <v>W6 59651</v>
      </c>
      <c r="C65" s="7" t="str">
        <f>Master[[#This Row],[Accession Prefix (NPGS)]]&amp;" "&amp;Master[[#This Row],[Accession Number -Assigned]]&amp;" **"</f>
        <v>W6 59651 **</v>
      </c>
      <c r="D65" s="76" t="str">
        <f>IF(Master[[#This Row],[Accession Name Category (Identifier 1) -Lookup Picker]]="","",Master[[#This Row],[Accession Name Category (Identifier 1) -Lookup Picker]])</f>
        <v/>
      </c>
      <c r="E65" s="76" t="str">
        <f>IF(Master[[#This Row],[Accession Name (Identifier 1)]]="","",Master[[#This Row],[Accession Name (Identifier 1)]])</f>
        <v/>
      </c>
      <c r="F65" s="45" t="str">
        <f>IF(Master[[#This Row],[Accession Name Cooperator (Identifier 1) -name, organization]]="","",Master[[#This Row],[Accession Name Cooperator (Identifier 1) -name, organization]])</f>
        <v/>
      </c>
      <c r="G65" s="7" t="str">
        <f t="shared" si="2"/>
        <v>Y</v>
      </c>
      <c r="I65" s="3"/>
      <c r="M65" s="3"/>
    </row>
    <row r="66" spans="2:13" x14ac:dyDescent="0.25">
      <c r="B66" s="7" t="str">
        <f>Master[[#This Row],[Accession Prefix (NPGS)]]&amp;" "&amp;Master[[#This Row],[Accession Number -Assigned]]</f>
        <v>W6 59652</v>
      </c>
      <c r="C66" s="7" t="str">
        <f>Master[[#This Row],[Accession Prefix (NPGS)]]&amp;" "&amp;Master[[#This Row],[Accession Number -Assigned]]&amp;" **"</f>
        <v>W6 59652 **</v>
      </c>
      <c r="D66" s="76" t="str">
        <f>IF(Master[[#This Row],[Accession Name Category (Identifier 1) -Lookup Picker]]="","",Master[[#This Row],[Accession Name Category (Identifier 1) -Lookup Picker]])</f>
        <v/>
      </c>
      <c r="E66" s="76" t="str">
        <f>IF(Master[[#This Row],[Accession Name (Identifier 1)]]="","",Master[[#This Row],[Accession Name (Identifier 1)]])</f>
        <v/>
      </c>
      <c r="F66" s="45" t="str">
        <f>IF(Master[[#This Row],[Accession Name Cooperator (Identifier 1) -name, organization]]="","",Master[[#This Row],[Accession Name Cooperator (Identifier 1) -name, organization]])</f>
        <v/>
      </c>
      <c r="G66" s="7" t="str">
        <f t="shared" si="2"/>
        <v>Y</v>
      </c>
      <c r="I66" s="3"/>
      <c r="M66" s="3"/>
    </row>
    <row r="67" spans="2:13" x14ac:dyDescent="0.25">
      <c r="B67" s="7" t="str">
        <f>Master[[#This Row],[Accession Prefix (NPGS)]]&amp;" "&amp;Master[[#This Row],[Accession Number -Assigned]]</f>
        <v>W6 59653</v>
      </c>
      <c r="C67" s="7" t="str">
        <f>Master[[#This Row],[Accession Prefix (NPGS)]]&amp;" "&amp;Master[[#This Row],[Accession Number -Assigned]]&amp;" **"</f>
        <v>W6 59653 **</v>
      </c>
      <c r="D67" s="76" t="str">
        <f>IF(Master[[#This Row],[Accession Name Category (Identifier 1) -Lookup Picker]]="","",Master[[#This Row],[Accession Name Category (Identifier 1) -Lookup Picker]])</f>
        <v/>
      </c>
      <c r="E67" s="76" t="str">
        <f>IF(Master[[#This Row],[Accession Name (Identifier 1)]]="","",Master[[#This Row],[Accession Name (Identifier 1)]])</f>
        <v/>
      </c>
      <c r="F67" s="45" t="str">
        <f>IF(Master[[#This Row],[Accession Name Cooperator (Identifier 1) -name, organization]]="","",Master[[#This Row],[Accession Name Cooperator (Identifier 1) -name, organization]])</f>
        <v/>
      </c>
      <c r="G67" s="7" t="str">
        <f t="shared" si="2"/>
        <v>Y</v>
      </c>
      <c r="I67" s="3"/>
      <c r="M67" s="3"/>
    </row>
    <row r="68" spans="2:13" x14ac:dyDescent="0.25">
      <c r="B68" s="7" t="str">
        <f>Master[[#This Row],[Accession Prefix (NPGS)]]&amp;" "&amp;Master[[#This Row],[Accession Number -Assigned]]</f>
        <v>W6 59654</v>
      </c>
      <c r="C68" s="7" t="str">
        <f>Master[[#This Row],[Accession Prefix (NPGS)]]&amp;" "&amp;Master[[#This Row],[Accession Number -Assigned]]&amp;" **"</f>
        <v>W6 59654 **</v>
      </c>
      <c r="D68" s="76" t="str">
        <f>IF(Master[[#This Row],[Accession Name Category (Identifier 1) -Lookup Picker]]="","",Master[[#This Row],[Accession Name Category (Identifier 1) -Lookup Picker]])</f>
        <v/>
      </c>
      <c r="E68" s="76" t="str">
        <f>IF(Master[[#This Row],[Accession Name (Identifier 1)]]="","",Master[[#This Row],[Accession Name (Identifier 1)]])</f>
        <v/>
      </c>
      <c r="F68" s="45" t="str">
        <f>IF(Master[[#This Row],[Accession Name Cooperator (Identifier 1) -name, organization]]="","",Master[[#This Row],[Accession Name Cooperator (Identifier 1) -name, organization]])</f>
        <v/>
      </c>
      <c r="G68" s="7" t="str">
        <f t="shared" si="2"/>
        <v>Y</v>
      </c>
      <c r="I68" s="3"/>
      <c r="M68" s="3"/>
    </row>
    <row r="69" spans="2:13" x14ac:dyDescent="0.25">
      <c r="B69" s="7" t="str">
        <f>Master[[#This Row],[Accession Prefix (NPGS)]]&amp;" "&amp;Master[[#This Row],[Accession Number -Assigned]]</f>
        <v>W6 59655</v>
      </c>
      <c r="C69" s="7" t="str">
        <f>Master[[#This Row],[Accession Prefix (NPGS)]]&amp;" "&amp;Master[[#This Row],[Accession Number -Assigned]]&amp;" **"</f>
        <v>W6 59655 **</v>
      </c>
      <c r="D69" s="76" t="str">
        <f>IF(Master[[#This Row],[Accession Name Category (Identifier 1) -Lookup Picker]]="","",Master[[#This Row],[Accession Name Category (Identifier 1) -Lookup Picker]])</f>
        <v/>
      </c>
      <c r="E69" s="76" t="str">
        <f>IF(Master[[#This Row],[Accession Name (Identifier 1)]]="","",Master[[#This Row],[Accession Name (Identifier 1)]])</f>
        <v/>
      </c>
      <c r="F69" s="45" t="str">
        <f>IF(Master[[#This Row],[Accession Name Cooperator (Identifier 1) -name, organization]]="","",Master[[#This Row],[Accession Name Cooperator (Identifier 1) -name, organization]])</f>
        <v/>
      </c>
      <c r="G69" s="7" t="str">
        <f t="shared" si="2"/>
        <v>Y</v>
      </c>
      <c r="I69" s="3"/>
      <c r="M69" s="3"/>
    </row>
    <row r="70" spans="2:13" x14ac:dyDescent="0.25">
      <c r="B70" s="7" t="str">
        <f>Master[[#This Row],[Accession Prefix (NPGS)]]&amp;" "&amp;Master[[#This Row],[Accession Number -Assigned]]</f>
        <v>W6 59656</v>
      </c>
      <c r="C70" s="7" t="str">
        <f>Master[[#This Row],[Accession Prefix (NPGS)]]&amp;" "&amp;Master[[#This Row],[Accession Number -Assigned]]&amp;" **"</f>
        <v>W6 59656 **</v>
      </c>
      <c r="D70" s="76" t="str">
        <f>IF(Master[[#This Row],[Accession Name Category (Identifier 1) -Lookup Picker]]="","",Master[[#This Row],[Accession Name Category (Identifier 1) -Lookup Picker]])</f>
        <v/>
      </c>
      <c r="E70" s="76" t="str">
        <f>IF(Master[[#This Row],[Accession Name (Identifier 1)]]="","",Master[[#This Row],[Accession Name (Identifier 1)]])</f>
        <v/>
      </c>
      <c r="F70" s="45" t="str">
        <f>IF(Master[[#This Row],[Accession Name Cooperator (Identifier 1) -name, organization]]="","",Master[[#This Row],[Accession Name Cooperator (Identifier 1) -name, organization]])</f>
        <v/>
      </c>
      <c r="G70" s="7" t="str">
        <f t="shared" si="2"/>
        <v>Y</v>
      </c>
      <c r="I70" s="3"/>
      <c r="M70" s="3"/>
    </row>
    <row r="71" spans="2:13" x14ac:dyDescent="0.25">
      <c r="B71" s="7" t="str">
        <f>Master[[#This Row],[Accession Prefix (NPGS)]]&amp;" "&amp;Master[[#This Row],[Accession Number -Assigned]]</f>
        <v>W6 59657</v>
      </c>
      <c r="C71" s="7" t="str">
        <f>Master[[#This Row],[Accession Prefix (NPGS)]]&amp;" "&amp;Master[[#This Row],[Accession Number -Assigned]]&amp;" **"</f>
        <v>W6 59657 **</v>
      </c>
      <c r="D71" s="76" t="str">
        <f>IF(Master[[#This Row],[Accession Name Category (Identifier 1) -Lookup Picker]]="","",Master[[#This Row],[Accession Name Category (Identifier 1) -Lookup Picker]])</f>
        <v/>
      </c>
      <c r="E71" s="76" t="str">
        <f>IF(Master[[#This Row],[Accession Name (Identifier 1)]]="","",Master[[#This Row],[Accession Name (Identifier 1)]])</f>
        <v/>
      </c>
      <c r="F71" s="45" t="str">
        <f>IF(Master[[#This Row],[Accession Name Cooperator (Identifier 1) -name, organization]]="","",Master[[#This Row],[Accession Name Cooperator (Identifier 1) -name, organization]])</f>
        <v/>
      </c>
      <c r="G71" s="7" t="str">
        <f t="shared" si="2"/>
        <v>Y</v>
      </c>
      <c r="I71" s="3"/>
      <c r="M71" s="3"/>
    </row>
    <row r="72" spans="2:13" x14ac:dyDescent="0.25">
      <c r="B72" s="7" t="str">
        <f>Master[[#This Row],[Accession Prefix (NPGS)]]&amp;" "&amp;Master[[#This Row],[Accession Number -Assigned]]</f>
        <v>W6 59658</v>
      </c>
      <c r="C72" s="7" t="str">
        <f>Master[[#This Row],[Accession Prefix (NPGS)]]&amp;" "&amp;Master[[#This Row],[Accession Number -Assigned]]&amp;" **"</f>
        <v>W6 59658 **</v>
      </c>
      <c r="D72" s="76" t="str">
        <f>IF(Master[[#This Row],[Accession Name Category (Identifier 1) -Lookup Picker]]="","",Master[[#This Row],[Accession Name Category (Identifier 1) -Lookup Picker]])</f>
        <v/>
      </c>
      <c r="E72" s="76" t="str">
        <f>IF(Master[[#This Row],[Accession Name (Identifier 1)]]="","",Master[[#This Row],[Accession Name (Identifier 1)]])</f>
        <v/>
      </c>
      <c r="F72" s="45" t="str">
        <f>IF(Master[[#This Row],[Accession Name Cooperator (Identifier 1) -name, organization]]="","",Master[[#This Row],[Accession Name Cooperator (Identifier 1) -name, organization]])</f>
        <v/>
      </c>
      <c r="G72" s="7" t="str">
        <f t="shared" si="2"/>
        <v>Y</v>
      </c>
      <c r="I72" s="3"/>
      <c r="M72" s="3"/>
    </row>
    <row r="73" spans="2:13" x14ac:dyDescent="0.25">
      <c r="B73" s="7" t="str">
        <f>Master[[#This Row],[Accession Prefix (NPGS)]]&amp;" "&amp;Master[[#This Row],[Accession Number -Assigned]]</f>
        <v>W6 59659</v>
      </c>
      <c r="C73" s="7" t="str">
        <f>Master[[#This Row],[Accession Prefix (NPGS)]]&amp;" "&amp;Master[[#This Row],[Accession Number -Assigned]]&amp;" **"</f>
        <v>W6 59659 **</v>
      </c>
      <c r="D73" s="76" t="str">
        <f>IF(Master[[#This Row],[Accession Name Category (Identifier 1) -Lookup Picker]]="","",Master[[#This Row],[Accession Name Category (Identifier 1) -Lookup Picker]])</f>
        <v/>
      </c>
      <c r="E73" s="76" t="str">
        <f>IF(Master[[#This Row],[Accession Name (Identifier 1)]]="","",Master[[#This Row],[Accession Name (Identifier 1)]])</f>
        <v/>
      </c>
      <c r="F73" s="45" t="str">
        <f>IF(Master[[#This Row],[Accession Name Cooperator (Identifier 1) -name, organization]]="","",Master[[#This Row],[Accession Name Cooperator (Identifier 1) -name, organization]])</f>
        <v/>
      </c>
      <c r="G73" s="7" t="str">
        <f t="shared" si="2"/>
        <v>Y</v>
      </c>
      <c r="I73" s="3"/>
      <c r="M73" s="3"/>
    </row>
    <row r="74" spans="2:13" x14ac:dyDescent="0.25">
      <c r="B74" s="7" t="str">
        <f>Master[[#This Row],[Accession Prefix (NPGS)]]&amp;" "&amp;Master[[#This Row],[Accession Number -Assigned]]</f>
        <v>W6 59660</v>
      </c>
      <c r="C74" s="7" t="str">
        <f>Master[[#This Row],[Accession Prefix (NPGS)]]&amp;" "&amp;Master[[#This Row],[Accession Number -Assigned]]&amp;" **"</f>
        <v>W6 59660 **</v>
      </c>
      <c r="D74" s="76" t="str">
        <f>IF(Master[[#This Row],[Accession Name Category (Identifier 1) -Lookup Picker]]="","",Master[[#This Row],[Accession Name Category (Identifier 1) -Lookup Picker]])</f>
        <v/>
      </c>
      <c r="E74" s="76" t="str">
        <f>IF(Master[[#This Row],[Accession Name (Identifier 1)]]="","",Master[[#This Row],[Accession Name (Identifier 1)]])</f>
        <v/>
      </c>
      <c r="F74" s="45" t="str">
        <f>IF(Master[[#This Row],[Accession Name Cooperator (Identifier 1) -name, organization]]="","",Master[[#This Row],[Accession Name Cooperator (Identifier 1) -name, organization]])</f>
        <v/>
      </c>
      <c r="G74" s="7" t="str">
        <f t="shared" si="2"/>
        <v>Y</v>
      </c>
      <c r="I74" s="3"/>
      <c r="M74" s="3"/>
    </row>
    <row r="75" spans="2:13" x14ac:dyDescent="0.25">
      <c r="B75" s="7" t="str">
        <f>Master[[#This Row],[Accession Prefix (NPGS)]]&amp;" "&amp;Master[[#This Row],[Accession Number -Assigned]]</f>
        <v>W6 59661</v>
      </c>
      <c r="C75" s="7" t="str">
        <f>Master[[#This Row],[Accession Prefix (NPGS)]]&amp;" "&amp;Master[[#This Row],[Accession Number -Assigned]]&amp;" **"</f>
        <v>W6 59661 **</v>
      </c>
      <c r="D75" s="76" t="str">
        <f>IF(Master[[#This Row],[Accession Name Category (Identifier 1) -Lookup Picker]]="","",Master[[#This Row],[Accession Name Category (Identifier 1) -Lookup Picker]])</f>
        <v/>
      </c>
      <c r="E75" s="76" t="str">
        <f>IF(Master[[#This Row],[Accession Name (Identifier 1)]]="","",Master[[#This Row],[Accession Name (Identifier 1)]])</f>
        <v/>
      </c>
      <c r="F75" s="45" t="str">
        <f>IF(Master[[#This Row],[Accession Name Cooperator (Identifier 1) -name, organization]]="","",Master[[#This Row],[Accession Name Cooperator (Identifier 1) -name, organization]])</f>
        <v/>
      </c>
      <c r="G75" s="7" t="str">
        <f t="shared" si="2"/>
        <v>Y</v>
      </c>
      <c r="I75" s="3"/>
      <c r="M75" s="3"/>
    </row>
    <row r="76" spans="2:13" x14ac:dyDescent="0.25">
      <c r="B76" s="7" t="str">
        <f>Master[[#This Row],[Accession Prefix (NPGS)]]&amp;" "&amp;Master[[#This Row],[Accession Number -Assigned]]</f>
        <v>W6 59662</v>
      </c>
      <c r="C76" s="7" t="str">
        <f>Master[[#This Row],[Accession Prefix (NPGS)]]&amp;" "&amp;Master[[#This Row],[Accession Number -Assigned]]&amp;" **"</f>
        <v>W6 59662 **</v>
      </c>
      <c r="D76" s="76" t="str">
        <f>IF(Master[[#This Row],[Accession Name Category (Identifier 1) -Lookup Picker]]="","",Master[[#This Row],[Accession Name Category (Identifier 1) -Lookup Picker]])</f>
        <v/>
      </c>
      <c r="E76" s="76" t="str">
        <f>IF(Master[[#This Row],[Accession Name (Identifier 1)]]="","",Master[[#This Row],[Accession Name (Identifier 1)]])</f>
        <v/>
      </c>
      <c r="F76" s="45" t="str">
        <f>IF(Master[[#This Row],[Accession Name Cooperator (Identifier 1) -name, organization]]="","",Master[[#This Row],[Accession Name Cooperator (Identifier 1) -name, organization]])</f>
        <v/>
      </c>
      <c r="G76" s="7" t="str">
        <f t="shared" si="2"/>
        <v>Y</v>
      </c>
      <c r="I76" s="3"/>
      <c r="M76" s="3"/>
    </row>
    <row r="77" spans="2:13" x14ac:dyDescent="0.25">
      <c r="B77" s="7" t="str">
        <f>Master[[#This Row],[Accession Prefix (NPGS)]]&amp;" "&amp;Master[[#This Row],[Accession Number -Assigned]]</f>
        <v>W6 59663</v>
      </c>
      <c r="C77" s="7" t="str">
        <f>Master[[#This Row],[Accession Prefix (NPGS)]]&amp;" "&amp;Master[[#This Row],[Accession Number -Assigned]]&amp;" **"</f>
        <v>W6 59663 **</v>
      </c>
      <c r="D77" s="76" t="str">
        <f>IF(Master[[#This Row],[Accession Name Category (Identifier 1) -Lookup Picker]]="","",Master[[#This Row],[Accession Name Category (Identifier 1) -Lookup Picker]])</f>
        <v/>
      </c>
      <c r="E77" s="76" t="str">
        <f>IF(Master[[#This Row],[Accession Name (Identifier 1)]]="","",Master[[#This Row],[Accession Name (Identifier 1)]])</f>
        <v/>
      </c>
      <c r="F77" s="45" t="str">
        <f>IF(Master[[#This Row],[Accession Name Cooperator (Identifier 1) -name, organization]]="","",Master[[#This Row],[Accession Name Cooperator (Identifier 1) -name, organization]])</f>
        <v/>
      </c>
      <c r="G77" s="7" t="str">
        <f t="shared" si="2"/>
        <v>Y</v>
      </c>
      <c r="I77" s="3"/>
      <c r="M77" s="3"/>
    </row>
    <row r="78" spans="2:13" x14ac:dyDescent="0.25">
      <c r="B78" s="7" t="str">
        <f>Master[[#This Row],[Accession Prefix (NPGS)]]&amp;" "&amp;Master[[#This Row],[Accession Number -Assigned]]</f>
        <v>W6 59664</v>
      </c>
      <c r="C78" s="7" t="str">
        <f>Master[[#This Row],[Accession Prefix (NPGS)]]&amp;" "&amp;Master[[#This Row],[Accession Number -Assigned]]&amp;" **"</f>
        <v>W6 59664 **</v>
      </c>
      <c r="D78" s="76" t="str">
        <f>IF(Master[[#This Row],[Accession Name Category (Identifier 1) -Lookup Picker]]="","",Master[[#This Row],[Accession Name Category (Identifier 1) -Lookup Picker]])</f>
        <v/>
      </c>
      <c r="E78" s="76" t="str">
        <f>IF(Master[[#This Row],[Accession Name (Identifier 1)]]="","",Master[[#This Row],[Accession Name (Identifier 1)]])</f>
        <v/>
      </c>
      <c r="F78" s="45" t="str">
        <f>IF(Master[[#This Row],[Accession Name Cooperator (Identifier 1) -name, organization]]="","",Master[[#This Row],[Accession Name Cooperator (Identifier 1) -name, organization]])</f>
        <v/>
      </c>
      <c r="G78" s="7" t="str">
        <f t="shared" si="2"/>
        <v>Y</v>
      </c>
      <c r="I78" s="3"/>
      <c r="M78" s="3"/>
    </row>
    <row r="79" spans="2:13" x14ac:dyDescent="0.25">
      <c r="B79" s="7" t="str">
        <f>Master[[#This Row],[Accession Prefix (NPGS)]]&amp;" "&amp;Master[[#This Row],[Accession Number -Assigned]]</f>
        <v>W6 59665</v>
      </c>
      <c r="C79" s="7" t="str">
        <f>Master[[#This Row],[Accession Prefix (NPGS)]]&amp;" "&amp;Master[[#This Row],[Accession Number -Assigned]]&amp;" **"</f>
        <v>W6 59665 **</v>
      </c>
      <c r="D79" s="76" t="str">
        <f>IF(Master[[#This Row],[Accession Name Category (Identifier 1) -Lookup Picker]]="","",Master[[#This Row],[Accession Name Category (Identifier 1) -Lookup Picker]])</f>
        <v/>
      </c>
      <c r="E79" s="76" t="str">
        <f>IF(Master[[#This Row],[Accession Name (Identifier 1)]]="","",Master[[#This Row],[Accession Name (Identifier 1)]])</f>
        <v/>
      </c>
      <c r="F79" s="45" t="str">
        <f>IF(Master[[#This Row],[Accession Name Cooperator (Identifier 1) -name, organization]]="","",Master[[#This Row],[Accession Name Cooperator (Identifier 1) -name, organization]])</f>
        <v/>
      </c>
      <c r="G79" s="7" t="str">
        <f t="shared" si="2"/>
        <v>Y</v>
      </c>
      <c r="I79" s="3"/>
      <c r="M79" s="3"/>
    </row>
    <row r="80" spans="2:13" x14ac:dyDescent="0.25">
      <c r="B80" s="7" t="str">
        <f>Master[[#This Row],[Accession Prefix (NPGS)]]&amp;" "&amp;Master[[#This Row],[Accession Number -Assigned]]</f>
        <v>W6 59666</v>
      </c>
      <c r="C80" s="7" t="str">
        <f>Master[[#This Row],[Accession Prefix (NPGS)]]&amp;" "&amp;Master[[#This Row],[Accession Number -Assigned]]&amp;" **"</f>
        <v>W6 59666 **</v>
      </c>
      <c r="D80" s="76" t="str">
        <f>IF(Master[[#This Row],[Accession Name Category (Identifier 1) -Lookup Picker]]="","",Master[[#This Row],[Accession Name Category (Identifier 1) -Lookup Picker]])</f>
        <v/>
      </c>
      <c r="E80" s="76" t="str">
        <f>IF(Master[[#This Row],[Accession Name (Identifier 1)]]="","",Master[[#This Row],[Accession Name (Identifier 1)]])</f>
        <v/>
      </c>
      <c r="F80" s="45" t="str">
        <f>IF(Master[[#This Row],[Accession Name Cooperator (Identifier 1) -name, organization]]="","",Master[[#This Row],[Accession Name Cooperator (Identifier 1) -name, organization]])</f>
        <v/>
      </c>
      <c r="G80" s="7" t="str">
        <f t="shared" si="2"/>
        <v>Y</v>
      </c>
      <c r="I80" s="3"/>
      <c r="M80" s="3"/>
    </row>
    <row r="81" spans="2:13" x14ac:dyDescent="0.25">
      <c r="B81" s="7" t="str">
        <f>Master[[#This Row],[Accession Prefix (NPGS)]]&amp;" "&amp;Master[[#This Row],[Accession Number -Assigned]]</f>
        <v>W6 59667</v>
      </c>
      <c r="C81" s="7" t="str">
        <f>Master[[#This Row],[Accession Prefix (NPGS)]]&amp;" "&amp;Master[[#This Row],[Accession Number -Assigned]]&amp;" **"</f>
        <v>W6 59667 **</v>
      </c>
      <c r="D81" s="76" t="str">
        <f>IF(Master[[#This Row],[Accession Name Category (Identifier 1) -Lookup Picker]]="","",Master[[#This Row],[Accession Name Category (Identifier 1) -Lookup Picker]])</f>
        <v/>
      </c>
      <c r="E81" s="76" t="str">
        <f>IF(Master[[#This Row],[Accession Name (Identifier 1)]]="","",Master[[#This Row],[Accession Name (Identifier 1)]])</f>
        <v/>
      </c>
      <c r="F81" s="45" t="str">
        <f>IF(Master[[#This Row],[Accession Name Cooperator (Identifier 1) -name, organization]]="","",Master[[#This Row],[Accession Name Cooperator (Identifier 1) -name, organization]])</f>
        <v/>
      </c>
      <c r="G81" s="7" t="str">
        <f t="shared" si="2"/>
        <v>Y</v>
      </c>
      <c r="I81" s="3"/>
      <c r="M81" s="3"/>
    </row>
    <row r="82" spans="2:13" x14ac:dyDescent="0.25">
      <c r="B82" s="7" t="str">
        <f>Master[[#This Row],[Accession Prefix (NPGS)]]&amp;" "&amp;Master[[#This Row],[Accession Number -Assigned]]</f>
        <v>W6 59668</v>
      </c>
      <c r="C82" s="7" t="str">
        <f>Master[[#This Row],[Accession Prefix (NPGS)]]&amp;" "&amp;Master[[#This Row],[Accession Number -Assigned]]&amp;" **"</f>
        <v>W6 59668 **</v>
      </c>
      <c r="D82" s="76" t="str">
        <f>IF(Master[[#This Row],[Accession Name Category (Identifier 1) -Lookup Picker]]="","",Master[[#This Row],[Accession Name Category (Identifier 1) -Lookup Picker]])</f>
        <v/>
      </c>
      <c r="E82" s="76" t="str">
        <f>IF(Master[[#This Row],[Accession Name (Identifier 1)]]="","",Master[[#This Row],[Accession Name (Identifier 1)]])</f>
        <v/>
      </c>
      <c r="F82" s="45" t="str">
        <f>IF(Master[[#This Row],[Accession Name Cooperator (Identifier 1) -name, organization]]="","",Master[[#This Row],[Accession Name Cooperator (Identifier 1) -name, organization]])</f>
        <v/>
      </c>
      <c r="G82" s="7" t="str">
        <f t="shared" si="2"/>
        <v>Y</v>
      </c>
      <c r="I82" s="3"/>
      <c r="M82" s="3"/>
    </row>
    <row r="83" spans="2:13" x14ac:dyDescent="0.25">
      <c r="B83" s="7" t="str">
        <f>Master[[#This Row],[Accession Prefix (NPGS)]]&amp;" "&amp;Master[[#This Row],[Accession Number -Assigned]]</f>
        <v>W6 59669</v>
      </c>
      <c r="C83" s="7" t="str">
        <f>Master[[#This Row],[Accession Prefix (NPGS)]]&amp;" "&amp;Master[[#This Row],[Accession Number -Assigned]]&amp;" **"</f>
        <v>W6 59669 **</v>
      </c>
      <c r="D83" s="76" t="str">
        <f>IF(Master[[#This Row],[Accession Name Category (Identifier 1) -Lookup Picker]]="","",Master[[#This Row],[Accession Name Category (Identifier 1) -Lookup Picker]])</f>
        <v/>
      </c>
      <c r="E83" s="76" t="str">
        <f>IF(Master[[#This Row],[Accession Name (Identifier 1)]]="","",Master[[#This Row],[Accession Name (Identifier 1)]])</f>
        <v/>
      </c>
      <c r="F83" s="45" t="str">
        <f>IF(Master[[#This Row],[Accession Name Cooperator (Identifier 1) -name, organization]]="","",Master[[#This Row],[Accession Name Cooperator (Identifier 1) -name, organization]])</f>
        <v/>
      </c>
      <c r="G83" s="7" t="str">
        <f t="shared" si="2"/>
        <v>Y</v>
      </c>
      <c r="I83" s="3"/>
      <c r="M83" s="3"/>
    </row>
    <row r="84" spans="2:13" x14ac:dyDescent="0.25">
      <c r="B84" s="7" t="str">
        <f>Master[[#This Row],[Accession Prefix (NPGS)]]&amp;" "&amp;Master[[#This Row],[Accession Number -Assigned]]</f>
        <v>W6 59670</v>
      </c>
      <c r="C84" s="7" t="str">
        <f>Master[[#This Row],[Accession Prefix (NPGS)]]&amp;" "&amp;Master[[#This Row],[Accession Number -Assigned]]&amp;" **"</f>
        <v>W6 59670 **</v>
      </c>
      <c r="D84" s="76" t="str">
        <f>IF(Master[[#This Row],[Accession Name Category (Identifier 1) -Lookup Picker]]="","",Master[[#This Row],[Accession Name Category (Identifier 1) -Lookup Picker]])</f>
        <v/>
      </c>
      <c r="E84" s="76" t="str">
        <f>IF(Master[[#This Row],[Accession Name (Identifier 1)]]="","",Master[[#This Row],[Accession Name (Identifier 1)]])</f>
        <v/>
      </c>
      <c r="F84" s="45" t="str">
        <f>IF(Master[[#This Row],[Accession Name Cooperator (Identifier 1) -name, organization]]="","",Master[[#This Row],[Accession Name Cooperator (Identifier 1) -name, organization]])</f>
        <v/>
      </c>
      <c r="G84" s="7" t="str">
        <f t="shared" si="2"/>
        <v>Y</v>
      </c>
      <c r="I84" s="3"/>
      <c r="M84" s="3"/>
    </row>
    <row r="85" spans="2:13" x14ac:dyDescent="0.25">
      <c r="B85" s="7" t="str">
        <f>Master[[#This Row],[Accession Prefix (NPGS)]]&amp;" "&amp;Master[[#This Row],[Accession Number -Assigned]]</f>
        <v>W6 59671</v>
      </c>
      <c r="C85" s="7" t="str">
        <f>Master[[#This Row],[Accession Prefix (NPGS)]]&amp;" "&amp;Master[[#This Row],[Accession Number -Assigned]]&amp;" **"</f>
        <v>W6 59671 **</v>
      </c>
      <c r="D85" s="76" t="str">
        <f>IF(Master[[#This Row],[Accession Name Category (Identifier 1) -Lookup Picker]]="","",Master[[#This Row],[Accession Name Category (Identifier 1) -Lookup Picker]])</f>
        <v/>
      </c>
      <c r="E85" s="76" t="str">
        <f>IF(Master[[#This Row],[Accession Name (Identifier 1)]]="","",Master[[#This Row],[Accession Name (Identifier 1)]])</f>
        <v/>
      </c>
      <c r="F85" s="45" t="str">
        <f>IF(Master[[#This Row],[Accession Name Cooperator (Identifier 1) -name, organization]]="","",Master[[#This Row],[Accession Name Cooperator (Identifier 1) -name, organization]])</f>
        <v/>
      </c>
      <c r="G85" s="7" t="str">
        <f t="shared" si="2"/>
        <v>Y</v>
      </c>
      <c r="I85" s="3"/>
      <c r="M85" s="3"/>
    </row>
    <row r="86" spans="2:13" x14ac:dyDescent="0.25">
      <c r="B86" s="7" t="str">
        <f>Master[[#This Row],[Accession Prefix (NPGS)]]&amp;" "&amp;Master[[#This Row],[Accession Number -Assigned]]</f>
        <v>W6 59672</v>
      </c>
      <c r="C86" s="7" t="str">
        <f>Master[[#This Row],[Accession Prefix (NPGS)]]&amp;" "&amp;Master[[#This Row],[Accession Number -Assigned]]&amp;" **"</f>
        <v>W6 59672 **</v>
      </c>
      <c r="D86" s="76" t="str">
        <f>IF(Master[[#This Row],[Accession Name Category (Identifier 1) -Lookup Picker]]="","",Master[[#This Row],[Accession Name Category (Identifier 1) -Lookup Picker]])</f>
        <v/>
      </c>
      <c r="E86" s="76" t="str">
        <f>IF(Master[[#This Row],[Accession Name (Identifier 1)]]="","",Master[[#This Row],[Accession Name (Identifier 1)]])</f>
        <v/>
      </c>
      <c r="F86" s="45" t="str">
        <f>IF(Master[[#This Row],[Accession Name Cooperator (Identifier 1) -name, organization]]="","",Master[[#This Row],[Accession Name Cooperator (Identifier 1) -name, organization]])</f>
        <v/>
      </c>
      <c r="G86" s="7" t="str">
        <f t="shared" ref="G86:G117" si="3">"Y"</f>
        <v>Y</v>
      </c>
      <c r="I86" s="3"/>
      <c r="M86" s="3"/>
    </row>
    <row r="87" spans="2:13" x14ac:dyDescent="0.25">
      <c r="B87" s="7" t="str">
        <f>Master[[#This Row],[Accession Prefix (NPGS)]]&amp;" "&amp;Master[[#This Row],[Accession Number -Assigned]]</f>
        <v>W6 59673</v>
      </c>
      <c r="C87" s="7" t="str">
        <f>Master[[#This Row],[Accession Prefix (NPGS)]]&amp;" "&amp;Master[[#This Row],[Accession Number -Assigned]]&amp;" **"</f>
        <v>W6 59673 **</v>
      </c>
      <c r="D87" s="76" t="str">
        <f>IF(Master[[#This Row],[Accession Name Category (Identifier 1) -Lookup Picker]]="","",Master[[#This Row],[Accession Name Category (Identifier 1) -Lookup Picker]])</f>
        <v/>
      </c>
      <c r="E87" s="76" t="str">
        <f>IF(Master[[#This Row],[Accession Name (Identifier 1)]]="","",Master[[#This Row],[Accession Name (Identifier 1)]])</f>
        <v/>
      </c>
      <c r="F87" s="45" t="str">
        <f>IF(Master[[#This Row],[Accession Name Cooperator (Identifier 1) -name, organization]]="","",Master[[#This Row],[Accession Name Cooperator (Identifier 1) -name, organization]])</f>
        <v/>
      </c>
      <c r="G87" s="7" t="str">
        <f t="shared" si="3"/>
        <v>Y</v>
      </c>
      <c r="I87" s="3"/>
      <c r="M87" s="3"/>
    </row>
    <row r="88" spans="2:13" x14ac:dyDescent="0.25">
      <c r="B88" s="7" t="str">
        <f>Master[[#This Row],[Accession Prefix (NPGS)]]&amp;" "&amp;Master[[#This Row],[Accession Number -Assigned]]</f>
        <v>W6 59674</v>
      </c>
      <c r="C88" s="7" t="str">
        <f>Master[[#This Row],[Accession Prefix (NPGS)]]&amp;" "&amp;Master[[#This Row],[Accession Number -Assigned]]&amp;" **"</f>
        <v>W6 59674 **</v>
      </c>
      <c r="D88" s="76" t="str">
        <f>IF(Master[[#This Row],[Accession Name Category (Identifier 1) -Lookup Picker]]="","",Master[[#This Row],[Accession Name Category (Identifier 1) -Lookup Picker]])</f>
        <v/>
      </c>
      <c r="E88" s="76" t="str">
        <f>IF(Master[[#This Row],[Accession Name (Identifier 1)]]="","",Master[[#This Row],[Accession Name (Identifier 1)]])</f>
        <v/>
      </c>
      <c r="F88" s="45" t="str">
        <f>IF(Master[[#This Row],[Accession Name Cooperator (Identifier 1) -name, organization]]="","",Master[[#This Row],[Accession Name Cooperator (Identifier 1) -name, organization]])</f>
        <v/>
      </c>
      <c r="G88" s="7" t="str">
        <f t="shared" si="3"/>
        <v>Y</v>
      </c>
      <c r="I88" s="3"/>
      <c r="M88" s="3"/>
    </row>
    <row r="89" spans="2:13" x14ac:dyDescent="0.25">
      <c r="B89" s="7" t="str">
        <f>Master[[#This Row],[Accession Prefix (NPGS)]]&amp;" "&amp;Master[[#This Row],[Accession Number -Assigned]]</f>
        <v>W6 59675</v>
      </c>
      <c r="C89" s="7" t="str">
        <f>Master[[#This Row],[Accession Prefix (NPGS)]]&amp;" "&amp;Master[[#This Row],[Accession Number -Assigned]]&amp;" **"</f>
        <v>W6 59675 **</v>
      </c>
      <c r="D89" s="76" t="str">
        <f>IF(Master[[#This Row],[Accession Name Category (Identifier 1) -Lookup Picker]]="","",Master[[#This Row],[Accession Name Category (Identifier 1) -Lookup Picker]])</f>
        <v/>
      </c>
      <c r="E89" s="76" t="str">
        <f>IF(Master[[#This Row],[Accession Name (Identifier 1)]]="","",Master[[#This Row],[Accession Name (Identifier 1)]])</f>
        <v/>
      </c>
      <c r="F89" s="45" t="str">
        <f>IF(Master[[#This Row],[Accession Name Cooperator (Identifier 1) -name, organization]]="","",Master[[#This Row],[Accession Name Cooperator (Identifier 1) -name, organization]])</f>
        <v/>
      </c>
      <c r="G89" s="7" t="str">
        <f t="shared" si="3"/>
        <v>Y</v>
      </c>
      <c r="I89" s="3"/>
      <c r="M89" s="3"/>
    </row>
    <row r="90" spans="2:13" x14ac:dyDescent="0.25">
      <c r="B90" s="7" t="str">
        <f>Master[[#This Row],[Accession Prefix (NPGS)]]&amp;" "&amp;Master[[#This Row],[Accession Number -Assigned]]</f>
        <v>W6 59676</v>
      </c>
      <c r="C90" s="7" t="str">
        <f>Master[[#This Row],[Accession Prefix (NPGS)]]&amp;" "&amp;Master[[#This Row],[Accession Number -Assigned]]&amp;" **"</f>
        <v>W6 59676 **</v>
      </c>
      <c r="D90" s="76" t="str">
        <f>IF(Master[[#This Row],[Accession Name Category (Identifier 1) -Lookup Picker]]="","",Master[[#This Row],[Accession Name Category (Identifier 1) -Lookup Picker]])</f>
        <v/>
      </c>
      <c r="E90" s="76" t="str">
        <f>IF(Master[[#This Row],[Accession Name (Identifier 1)]]="","",Master[[#This Row],[Accession Name (Identifier 1)]])</f>
        <v/>
      </c>
      <c r="F90" s="45" t="str">
        <f>IF(Master[[#This Row],[Accession Name Cooperator (Identifier 1) -name, organization]]="","",Master[[#This Row],[Accession Name Cooperator (Identifier 1) -name, organization]])</f>
        <v/>
      </c>
      <c r="G90" s="7" t="str">
        <f t="shared" si="3"/>
        <v>Y</v>
      </c>
      <c r="I90" s="3"/>
      <c r="M90" s="3"/>
    </row>
    <row r="91" spans="2:13" x14ac:dyDescent="0.25">
      <c r="B91" s="7" t="str">
        <f>Master[[#This Row],[Accession Prefix (NPGS)]]&amp;" "&amp;Master[[#This Row],[Accession Number -Assigned]]</f>
        <v>W6 59677</v>
      </c>
      <c r="C91" s="7" t="str">
        <f>Master[[#This Row],[Accession Prefix (NPGS)]]&amp;" "&amp;Master[[#This Row],[Accession Number -Assigned]]&amp;" **"</f>
        <v>W6 59677 **</v>
      </c>
      <c r="D91" s="76" t="str">
        <f>IF(Master[[#This Row],[Accession Name Category (Identifier 1) -Lookup Picker]]="","",Master[[#This Row],[Accession Name Category (Identifier 1) -Lookup Picker]])</f>
        <v/>
      </c>
      <c r="E91" s="76" t="str">
        <f>IF(Master[[#This Row],[Accession Name (Identifier 1)]]="","",Master[[#This Row],[Accession Name (Identifier 1)]])</f>
        <v/>
      </c>
      <c r="F91" s="45" t="str">
        <f>IF(Master[[#This Row],[Accession Name Cooperator (Identifier 1) -name, organization]]="","",Master[[#This Row],[Accession Name Cooperator (Identifier 1) -name, organization]])</f>
        <v/>
      </c>
      <c r="G91" s="7" t="str">
        <f t="shared" si="3"/>
        <v>Y</v>
      </c>
      <c r="I91" s="3"/>
      <c r="M91" s="3"/>
    </row>
    <row r="92" spans="2:13" x14ac:dyDescent="0.25">
      <c r="B92" s="7" t="str">
        <f>Master[[#This Row],[Accession Prefix (NPGS)]]&amp;" "&amp;Master[[#This Row],[Accession Number -Assigned]]</f>
        <v>W6 59678</v>
      </c>
      <c r="C92" s="7" t="str">
        <f>Master[[#This Row],[Accession Prefix (NPGS)]]&amp;" "&amp;Master[[#This Row],[Accession Number -Assigned]]&amp;" **"</f>
        <v>W6 59678 **</v>
      </c>
      <c r="D92" s="76" t="str">
        <f>IF(Master[[#This Row],[Accession Name Category (Identifier 1) -Lookup Picker]]="","",Master[[#This Row],[Accession Name Category (Identifier 1) -Lookup Picker]])</f>
        <v/>
      </c>
      <c r="E92" s="76" t="str">
        <f>IF(Master[[#This Row],[Accession Name (Identifier 1)]]="","",Master[[#This Row],[Accession Name (Identifier 1)]])</f>
        <v/>
      </c>
      <c r="F92" s="45" t="str">
        <f>IF(Master[[#This Row],[Accession Name Cooperator (Identifier 1) -name, organization]]="","",Master[[#This Row],[Accession Name Cooperator (Identifier 1) -name, organization]])</f>
        <v/>
      </c>
      <c r="G92" s="7" t="str">
        <f t="shared" si="3"/>
        <v>Y</v>
      </c>
      <c r="I92" s="3"/>
      <c r="M92" s="3"/>
    </row>
    <row r="93" spans="2:13" x14ac:dyDescent="0.25">
      <c r="B93" s="7" t="str">
        <f>Master[[#This Row],[Accession Prefix (NPGS)]]&amp;" "&amp;Master[[#This Row],[Accession Number -Assigned]]</f>
        <v>W6 59679</v>
      </c>
      <c r="C93" s="7" t="str">
        <f>Master[[#This Row],[Accession Prefix (NPGS)]]&amp;" "&amp;Master[[#This Row],[Accession Number -Assigned]]&amp;" **"</f>
        <v>W6 59679 **</v>
      </c>
      <c r="D93" s="76" t="str">
        <f>IF(Master[[#This Row],[Accession Name Category (Identifier 1) -Lookup Picker]]="","",Master[[#This Row],[Accession Name Category (Identifier 1) -Lookup Picker]])</f>
        <v/>
      </c>
      <c r="E93" s="76" t="str">
        <f>IF(Master[[#This Row],[Accession Name (Identifier 1)]]="","",Master[[#This Row],[Accession Name (Identifier 1)]])</f>
        <v/>
      </c>
      <c r="F93" s="45" t="str">
        <f>IF(Master[[#This Row],[Accession Name Cooperator (Identifier 1) -name, organization]]="","",Master[[#This Row],[Accession Name Cooperator (Identifier 1) -name, organization]])</f>
        <v/>
      </c>
      <c r="G93" s="7" t="str">
        <f t="shared" si="3"/>
        <v>Y</v>
      </c>
      <c r="I93" s="3"/>
      <c r="M93" s="3"/>
    </row>
    <row r="94" spans="2:13" x14ac:dyDescent="0.25">
      <c r="B94" s="7" t="str">
        <f>Master[[#This Row],[Accession Prefix (NPGS)]]&amp;" "&amp;Master[[#This Row],[Accession Number -Assigned]]</f>
        <v>W6 59680</v>
      </c>
      <c r="C94" s="7" t="str">
        <f>Master[[#This Row],[Accession Prefix (NPGS)]]&amp;" "&amp;Master[[#This Row],[Accession Number -Assigned]]&amp;" **"</f>
        <v>W6 59680 **</v>
      </c>
      <c r="D94" s="76" t="str">
        <f>IF(Master[[#This Row],[Accession Name Category (Identifier 1) -Lookup Picker]]="","",Master[[#This Row],[Accession Name Category (Identifier 1) -Lookup Picker]])</f>
        <v/>
      </c>
      <c r="E94" s="76" t="str">
        <f>IF(Master[[#This Row],[Accession Name (Identifier 1)]]="","",Master[[#This Row],[Accession Name (Identifier 1)]])</f>
        <v/>
      </c>
      <c r="F94" s="45" t="str">
        <f>IF(Master[[#This Row],[Accession Name Cooperator (Identifier 1) -name, organization]]="","",Master[[#This Row],[Accession Name Cooperator (Identifier 1) -name, organization]])</f>
        <v/>
      </c>
      <c r="G94" s="7" t="str">
        <f t="shared" si="3"/>
        <v>Y</v>
      </c>
      <c r="I94" s="3"/>
      <c r="M94" s="3"/>
    </row>
    <row r="95" spans="2:13" x14ac:dyDescent="0.25">
      <c r="B95" s="7" t="str">
        <f>Master[[#This Row],[Accession Prefix (NPGS)]]&amp;" "&amp;Master[[#This Row],[Accession Number -Assigned]]</f>
        <v>W6 59681</v>
      </c>
      <c r="C95" s="7" t="str">
        <f>Master[[#This Row],[Accession Prefix (NPGS)]]&amp;" "&amp;Master[[#This Row],[Accession Number -Assigned]]&amp;" **"</f>
        <v>W6 59681 **</v>
      </c>
      <c r="D95" s="76" t="str">
        <f>IF(Master[[#This Row],[Accession Name Category (Identifier 1) -Lookup Picker]]="","",Master[[#This Row],[Accession Name Category (Identifier 1) -Lookup Picker]])</f>
        <v/>
      </c>
      <c r="E95" s="76" t="str">
        <f>IF(Master[[#This Row],[Accession Name (Identifier 1)]]="","",Master[[#This Row],[Accession Name (Identifier 1)]])</f>
        <v/>
      </c>
      <c r="F95" s="45" t="str">
        <f>IF(Master[[#This Row],[Accession Name Cooperator (Identifier 1) -name, organization]]="","",Master[[#This Row],[Accession Name Cooperator (Identifier 1) -name, organization]])</f>
        <v/>
      </c>
      <c r="G95" s="7" t="str">
        <f t="shared" si="3"/>
        <v>Y</v>
      </c>
      <c r="I95" s="3"/>
      <c r="M95" s="3"/>
    </row>
    <row r="96" spans="2:13" x14ac:dyDescent="0.25">
      <c r="B96" s="7" t="str">
        <f>Master[[#This Row],[Accession Prefix (NPGS)]]&amp;" "&amp;Master[[#This Row],[Accession Number -Assigned]]</f>
        <v>W6 59682</v>
      </c>
      <c r="C96" s="7" t="str">
        <f>Master[[#This Row],[Accession Prefix (NPGS)]]&amp;" "&amp;Master[[#This Row],[Accession Number -Assigned]]&amp;" **"</f>
        <v>W6 59682 **</v>
      </c>
      <c r="D96" s="76" t="str">
        <f>IF(Master[[#This Row],[Accession Name Category (Identifier 1) -Lookup Picker]]="","",Master[[#This Row],[Accession Name Category (Identifier 1) -Lookup Picker]])</f>
        <v/>
      </c>
      <c r="E96" s="76" t="str">
        <f>IF(Master[[#This Row],[Accession Name (Identifier 1)]]="","",Master[[#This Row],[Accession Name (Identifier 1)]])</f>
        <v/>
      </c>
      <c r="F96" s="45" t="str">
        <f>IF(Master[[#This Row],[Accession Name Cooperator (Identifier 1) -name, organization]]="","",Master[[#This Row],[Accession Name Cooperator (Identifier 1) -name, organization]])</f>
        <v/>
      </c>
      <c r="G96" s="7" t="str">
        <f t="shared" si="3"/>
        <v>Y</v>
      </c>
      <c r="I96" s="3"/>
      <c r="M96" s="3"/>
    </row>
    <row r="97" spans="2:13" x14ac:dyDescent="0.25">
      <c r="B97" s="7" t="str">
        <f>Master[[#This Row],[Accession Prefix (NPGS)]]&amp;" "&amp;Master[[#This Row],[Accession Number -Assigned]]</f>
        <v>W6 59683</v>
      </c>
      <c r="C97" s="7" t="str">
        <f>Master[[#This Row],[Accession Prefix (NPGS)]]&amp;" "&amp;Master[[#This Row],[Accession Number -Assigned]]&amp;" **"</f>
        <v>W6 59683 **</v>
      </c>
      <c r="D97" s="76" t="str">
        <f>IF(Master[[#This Row],[Accession Name Category (Identifier 1) -Lookup Picker]]="","",Master[[#This Row],[Accession Name Category (Identifier 1) -Lookup Picker]])</f>
        <v/>
      </c>
      <c r="E97" s="76" t="str">
        <f>IF(Master[[#This Row],[Accession Name (Identifier 1)]]="","",Master[[#This Row],[Accession Name (Identifier 1)]])</f>
        <v/>
      </c>
      <c r="F97" s="45" t="str">
        <f>IF(Master[[#This Row],[Accession Name Cooperator (Identifier 1) -name, organization]]="","",Master[[#This Row],[Accession Name Cooperator (Identifier 1) -name, organization]])</f>
        <v/>
      </c>
      <c r="G97" s="7" t="str">
        <f t="shared" si="3"/>
        <v>Y</v>
      </c>
      <c r="I97" s="3"/>
      <c r="M97" s="3"/>
    </row>
    <row r="98" spans="2:13" x14ac:dyDescent="0.25">
      <c r="B98" s="7" t="str">
        <f>Master[[#This Row],[Accession Prefix (NPGS)]]&amp;" "&amp;Master[[#This Row],[Accession Number -Assigned]]</f>
        <v>W6 59684</v>
      </c>
      <c r="C98" s="7" t="str">
        <f>Master[[#This Row],[Accession Prefix (NPGS)]]&amp;" "&amp;Master[[#This Row],[Accession Number -Assigned]]&amp;" **"</f>
        <v>W6 59684 **</v>
      </c>
      <c r="D98" s="76" t="str">
        <f>IF(Master[[#This Row],[Accession Name Category (Identifier 1) -Lookup Picker]]="","",Master[[#This Row],[Accession Name Category (Identifier 1) -Lookup Picker]])</f>
        <v/>
      </c>
      <c r="E98" s="76" t="str">
        <f>IF(Master[[#This Row],[Accession Name (Identifier 1)]]="","",Master[[#This Row],[Accession Name (Identifier 1)]])</f>
        <v/>
      </c>
      <c r="F98" s="45" t="str">
        <f>IF(Master[[#This Row],[Accession Name Cooperator (Identifier 1) -name, organization]]="","",Master[[#This Row],[Accession Name Cooperator (Identifier 1) -name, organization]])</f>
        <v/>
      </c>
      <c r="G98" s="7" t="str">
        <f t="shared" si="3"/>
        <v>Y</v>
      </c>
      <c r="I98" s="3"/>
      <c r="M98" s="3"/>
    </row>
    <row r="99" spans="2:13" x14ac:dyDescent="0.25">
      <c r="B99" s="7" t="str">
        <f>Master[[#This Row],[Accession Prefix (NPGS)]]&amp;" "&amp;Master[[#This Row],[Accession Number -Assigned]]</f>
        <v>W6 59685</v>
      </c>
      <c r="C99" s="7" t="str">
        <f>Master[[#This Row],[Accession Prefix (NPGS)]]&amp;" "&amp;Master[[#This Row],[Accession Number -Assigned]]&amp;" **"</f>
        <v>W6 59685 **</v>
      </c>
      <c r="D99" s="76" t="str">
        <f>IF(Master[[#This Row],[Accession Name Category (Identifier 1) -Lookup Picker]]="","",Master[[#This Row],[Accession Name Category (Identifier 1) -Lookup Picker]])</f>
        <v/>
      </c>
      <c r="E99" s="76" t="str">
        <f>IF(Master[[#This Row],[Accession Name (Identifier 1)]]="","",Master[[#This Row],[Accession Name (Identifier 1)]])</f>
        <v/>
      </c>
      <c r="F99" s="45" t="str">
        <f>IF(Master[[#This Row],[Accession Name Cooperator (Identifier 1) -name, organization]]="","",Master[[#This Row],[Accession Name Cooperator (Identifier 1) -name, organization]])</f>
        <v/>
      </c>
      <c r="G99" s="7" t="str">
        <f t="shared" si="3"/>
        <v>Y</v>
      </c>
      <c r="I99" s="3"/>
      <c r="M99" s="3"/>
    </row>
    <row r="100" spans="2:13" x14ac:dyDescent="0.25">
      <c r="B100" s="7" t="str">
        <f>Master[[#This Row],[Accession Prefix (NPGS)]]&amp;" "&amp;Master[[#This Row],[Accession Number -Assigned]]</f>
        <v>W6 59686</v>
      </c>
      <c r="C100" s="7" t="str">
        <f>Master[[#This Row],[Accession Prefix (NPGS)]]&amp;" "&amp;Master[[#This Row],[Accession Number -Assigned]]&amp;" **"</f>
        <v>W6 59686 **</v>
      </c>
      <c r="D100" s="76" t="str">
        <f>IF(Master[[#This Row],[Accession Name Category (Identifier 1) -Lookup Picker]]="","",Master[[#This Row],[Accession Name Category (Identifier 1) -Lookup Picker]])</f>
        <v/>
      </c>
      <c r="E100" s="76" t="str">
        <f>IF(Master[[#This Row],[Accession Name (Identifier 1)]]="","",Master[[#This Row],[Accession Name (Identifier 1)]])</f>
        <v/>
      </c>
      <c r="F100" s="45" t="str">
        <f>IF(Master[[#This Row],[Accession Name Cooperator (Identifier 1) -name, organization]]="","",Master[[#This Row],[Accession Name Cooperator (Identifier 1) -name, organization]])</f>
        <v/>
      </c>
      <c r="G100" s="7" t="str">
        <f t="shared" si="3"/>
        <v>Y</v>
      </c>
    </row>
    <row r="101" spans="2:13" x14ac:dyDescent="0.25">
      <c r="B101" s="7" t="str">
        <f>Master[[#This Row],[Accession Prefix (NPGS)]]&amp;" "&amp;Master[[#This Row],[Accession Number -Assigned]]</f>
        <v>W6 59687</v>
      </c>
      <c r="C101" s="7" t="str">
        <f>Master[[#This Row],[Accession Prefix (NPGS)]]&amp;" "&amp;Master[[#This Row],[Accession Number -Assigned]]&amp;" **"</f>
        <v>W6 59687 **</v>
      </c>
      <c r="D101" s="76" t="str">
        <f>IF(Master[[#This Row],[Accession Name Category (Identifier 1) -Lookup Picker]]="","",Master[[#This Row],[Accession Name Category (Identifier 1) -Lookup Picker]])</f>
        <v/>
      </c>
      <c r="E101" s="76" t="str">
        <f>IF(Master[[#This Row],[Accession Name (Identifier 1)]]="","",Master[[#This Row],[Accession Name (Identifier 1)]])</f>
        <v/>
      </c>
      <c r="F101" s="45" t="str">
        <f>IF(Master[[#This Row],[Accession Name Cooperator (Identifier 1) -name, organization]]="","",Master[[#This Row],[Accession Name Cooperator (Identifier 1) -name, organization]])</f>
        <v/>
      </c>
      <c r="G101" s="7" t="str">
        <f t="shared" si="3"/>
        <v>Y</v>
      </c>
    </row>
    <row r="102" spans="2:13" x14ac:dyDescent="0.25">
      <c r="B102" s="7" t="str">
        <f>Master[[#This Row],[Accession Prefix (NPGS)]]&amp;" "&amp;Master[[#This Row],[Accession Number -Assigned]]</f>
        <v>W6 59688</v>
      </c>
      <c r="C102" s="7" t="str">
        <f>Master[[#This Row],[Accession Prefix (NPGS)]]&amp;" "&amp;Master[[#This Row],[Accession Number -Assigned]]&amp;" **"</f>
        <v>W6 59688 **</v>
      </c>
      <c r="D102" s="76" t="str">
        <f>IF(Master[[#This Row],[Accession Name Category (Identifier 1) -Lookup Picker]]="","",Master[[#This Row],[Accession Name Category (Identifier 1) -Lookup Picker]])</f>
        <v/>
      </c>
      <c r="E102" s="76" t="str">
        <f>IF(Master[[#This Row],[Accession Name (Identifier 1)]]="","",Master[[#This Row],[Accession Name (Identifier 1)]])</f>
        <v/>
      </c>
      <c r="F102" s="45" t="str">
        <f>IF(Master[[#This Row],[Accession Name Cooperator (Identifier 1) -name, organization]]="","",Master[[#This Row],[Accession Name Cooperator (Identifier 1) -name, organization]])</f>
        <v/>
      </c>
      <c r="G102" s="7" t="str">
        <f t="shared" si="3"/>
        <v>Y</v>
      </c>
    </row>
    <row r="103" spans="2:13" x14ac:dyDescent="0.25">
      <c r="B103" s="7" t="str">
        <f>Master[[#This Row],[Accession Prefix (NPGS)]]&amp;" "&amp;Master[[#This Row],[Accession Number -Assigned]]</f>
        <v>W6 59689</v>
      </c>
      <c r="C103" s="7" t="str">
        <f>Master[[#This Row],[Accession Prefix (NPGS)]]&amp;" "&amp;Master[[#This Row],[Accession Number -Assigned]]&amp;" **"</f>
        <v>W6 59689 **</v>
      </c>
      <c r="D103" s="76" t="str">
        <f>IF(Master[[#This Row],[Accession Name Category (Identifier 1) -Lookup Picker]]="","",Master[[#This Row],[Accession Name Category (Identifier 1) -Lookup Picker]])</f>
        <v/>
      </c>
      <c r="E103" s="76" t="str">
        <f>IF(Master[[#This Row],[Accession Name (Identifier 1)]]="","",Master[[#This Row],[Accession Name (Identifier 1)]])</f>
        <v/>
      </c>
      <c r="F103" s="45" t="str">
        <f>IF(Master[[#This Row],[Accession Name Cooperator (Identifier 1) -name, organization]]="","",Master[[#This Row],[Accession Name Cooperator (Identifier 1) -name, organization]])</f>
        <v/>
      </c>
      <c r="G103" s="7" t="str">
        <f t="shared" si="3"/>
        <v>Y</v>
      </c>
    </row>
    <row r="104" spans="2:13" x14ac:dyDescent="0.25">
      <c r="B104" s="7" t="str">
        <f>Master[[#This Row],[Accession Prefix (NPGS)]]&amp;" "&amp;Master[[#This Row],[Accession Number -Assigned]]</f>
        <v>W6 59690</v>
      </c>
      <c r="C104" s="7" t="str">
        <f>Master[[#This Row],[Accession Prefix (NPGS)]]&amp;" "&amp;Master[[#This Row],[Accession Number -Assigned]]&amp;" **"</f>
        <v>W6 59690 **</v>
      </c>
      <c r="D104" s="76" t="str">
        <f>IF(Master[[#This Row],[Accession Name Category (Identifier 1) -Lookup Picker]]="","",Master[[#This Row],[Accession Name Category (Identifier 1) -Lookup Picker]])</f>
        <v/>
      </c>
      <c r="E104" s="76" t="str">
        <f>IF(Master[[#This Row],[Accession Name (Identifier 1)]]="","",Master[[#This Row],[Accession Name (Identifier 1)]])</f>
        <v/>
      </c>
      <c r="F104" s="45" t="str">
        <f>IF(Master[[#This Row],[Accession Name Cooperator (Identifier 1) -name, organization]]="","",Master[[#This Row],[Accession Name Cooperator (Identifier 1) -name, organization]])</f>
        <v/>
      </c>
      <c r="G104" s="7" t="str">
        <f t="shared" si="3"/>
        <v>Y</v>
      </c>
    </row>
    <row r="105" spans="2:13" x14ac:dyDescent="0.25">
      <c r="B105" s="7" t="str">
        <f>Master[[#This Row],[Accession Prefix (NPGS)]]&amp;" "&amp;Master[[#This Row],[Accession Number -Assigned]]</f>
        <v>W6 59691</v>
      </c>
      <c r="C105" s="7" t="str">
        <f>Master[[#This Row],[Accession Prefix (NPGS)]]&amp;" "&amp;Master[[#This Row],[Accession Number -Assigned]]&amp;" **"</f>
        <v>W6 59691 **</v>
      </c>
      <c r="D105" s="76" t="str">
        <f>IF(Master[[#This Row],[Accession Name Category (Identifier 1) -Lookup Picker]]="","",Master[[#This Row],[Accession Name Category (Identifier 1) -Lookup Picker]])</f>
        <v/>
      </c>
      <c r="E105" s="76" t="str">
        <f>IF(Master[[#This Row],[Accession Name (Identifier 1)]]="","",Master[[#This Row],[Accession Name (Identifier 1)]])</f>
        <v/>
      </c>
      <c r="F105" s="45" t="str">
        <f>IF(Master[[#This Row],[Accession Name Cooperator (Identifier 1) -name, organization]]="","",Master[[#This Row],[Accession Name Cooperator (Identifier 1) -name, organization]])</f>
        <v/>
      </c>
      <c r="G105" s="7" t="str">
        <f t="shared" si="3"/>
        <v>Y</v>
      </c>
    </row>
    <row r="106" spans="2:13" x14ac:dyDescent="0.25">
      <c r="B106" s="7" t="str">
        <f>Master[[#This Row],[Accession Prefix (NPGS)]]&amp;" "&amp;Master[[#This Row],[Accession Number -Assigned]]</f>
        <v>W6 59692</v>
      </c>
      <c r="C106" s="7" t="str">
        <f>Master[[#This Row],[Accession Prefix (NPGS)]]&amp;" "&amp;Master[[#This Row],[Accession Number -Assigned]]&amp;" **"</f>
        <v>W6 59692 **</v>
      </c>
      <c r="D106" s="76" t="str">
        <f>IF(Master[[#This Row],[Accession Name Category (Identifier 1) -Lookup Picker]]="","",Master[[#This Row],[Accession Name Category (Identifier 1) -Lookup Picker]])</f>
        <v/>
      </c>
      <c r="E106" s="76" t="str">
        <f>IF(Master[[#This Row],[Accession Name (Identifier 1)]]="","",Master[[#This Row],[Accession Name (Identifier 1)]])</f>
        <v/>
      </c>
      <c r="F106" s="45" t="str">
        <f>IF(Master[[#This Row],[Accession Name Cooperator (Identifier 1) -name, organization]]="","",Master[[#This Row],[Accession Name Cooperator (Identifier 1) -name, organization]])</f>
        <v/>
      </c>
      <c r="G106" s="7" t="str">
        <f t="shared" si="3"/>
        <v>Y</v>
      </c>
    </row>
    <row r="107" spans="2:13" x14ac:dyDescent="0.25">
      <c r="B107" s="7" t="str">
        <f>Master[[#This Row],[Accession Prefix (NPGS)]]&amp;" "&amp;Master[[#This Row],[Accession Number -Assigned]]</f>
        <v>W6 59693</v>
      </c>
      <c r="C107" s="7" t="str">
        <f>Master[[#This Row],[Accession Prefix (NPGS)]]&amp;" "&amp;Master[[#This Row],[Accession Number -Assigned]]&amp;" **"</f>
        <v>W6 59693 **</v>
      </c>
      <c r="D107" s="76" t="str">
        <f>IF(Master[[#This Row],[Accession Name Category (Identifier 1) -Lookup Picker]]="","",Master[[#This Row],[Accession Name Category (Identifier 1) -Lookup Picker]])</f>
        <v/>
      </c>
      <c r="E107" s="76" t="str">
        <f>IF(Master[[#This Row],[Accession Name (Identifier 1)]]="","",Master[[#This Row],[Accession Name (Identifier 1)]])</f>
        <v/>
      </c>
      <c r="F107" s="45" t="str">
        <f>IF(Master[[#This Row],[Accession Name Cooperator (Identifier 1) -name, organization]]="","",Master[[#This Row],[Accession Name Cooperator (Identifier 1) -name, organization]])</f>
        <v/>
      </c>
      <c r="G107" s="7" t="str">
        <f t="shared" si="3"/>
        <v>Y</v>
      </c>
    </row>
    <row r="108" spans="2:13" x14ac:dyDescent="0.25">
      <c r="B108" s="7" t="str">
        <f>Master[[#This Row],[Accession Prefix (NPGS)]]&amp;" "&amp;Master[[#This Row],[Accession Number -Assigned]]</f>
        <v>W6 59694</v>
      </c>
      <c r="C108" s="7" t="str">
        <f>Master[[#This Row],[Accession Prefix (NPGS)]]&amp;" "&amp;Master[[#This Row],[Accession Number -Assigned]]&amp;" **"</f>
        <v>W6 59694 **</v>
      </c>
      <c r="D108" s="76" t="str">
        <f>IF(Master[[#This Row],[Accession Name Category (Identifier 1) -Lookup Picker]]="","",Master[[#This Row],[Accession Name Category (Identifier 1) -Lookup Picker]])</f>
        <v/>
      </c>
      <c r="E108" s="76" t="str">
        <f>IF(Master[[#This Row],[Accession Name (Identifier 1)]]="","",Master[[#This Row],[Accession Name (Identifier 1)]])</f>
        <v/>
      </c>
      <c r="F108" s="45" t="str">
        <f>IF(Master[[#This Row],[Accession Name Cooperator (Identifier 1) -name, organization]]="","",Master[[#This Row],[Accession Name Cooperator (Identifier 1) -name, organization]])</f>
        <v/>
      </c>
      <c r="G108" s="7" t="str">
        <f t="shared" si="3"/>
        <v>Y</v>
      </c>
    </row>
    <row r="109" spans="2:13" x14ac:dyDescent="0.25">
      <c r="B109" s="7" t="str">
        <f>Master[[#This Row],[Accession Prefix (NPGS)]]&amp;" "&amp;Master[[#This Row],[Accession Number -Assigned]]</f>
        <v>W6 59695</v>
      </c>
      <c r="C109" s="7" t="str">
        <f>Master[[#This Row],[Accession Prefix (NPGS)]]&amp;" "&amp;Master[[#This Row],[Accession Number -Assigned]]&amp;" **"</f>
        <v>W6 59695 **</v>
      </c>
      <c r="D109" s="76" t="str">
        <f>IF(Master[[#This Row],[Accession Name Category (Identifier 1) -Lookup Picker]]="","",Master[[#This Row],[Accession Name Category (Identifier 1) -Lookup Picker]])</f>
        <v/>
      </c>
      <c r="E109" s="76" t="str">
        <f>IF(Master[[#This Row],[Accession Name (Identifier 1)]]="","",Master[[#This Row],[Accession Name (Identifier 1)]])</f>
        <v/>
      </c>
      <c r="F109" s="45" t="str">
        <f>IF(Master[[#This Row],[Accession Name Cooperator (Identifier 1) -name, organization]]="","",Master[[#This Row],[Accession Name Cooperator (Identifier 1) -name, organization]])</f>
        <v/>
      </c>
      <c r="G109" s="7" t="str">
        <f t="shared" si="3"/>
        <v>Y</v>
      </c>
    </row>
    <row r="110" spans="2:13" x14ac:dyDescent="0.25">
      <c r="B110" s="7" t="str">
        <f>Master[[#This Row],[Accession Prefix (NPGS)]]&amp;" "&amp;Master[[#This Row],[Accession Number -Assigned]]</f>
        <v>W6 59696</v>
      </c>
      <c r="C110" s="7" t="str">
        <f>Master[[#This Row],[Accession Prefix (NPGS)]]&amp;" "&amp;Master[[#This Row],[Accession Number -Assigned]]&amp;" **"</f>
        <v>W6 59696 **</v>
      </c>
      <c r="D110" s="76" t="str">
        <f>IF(Master[[#This Row],[Accession Name Category (Identifier 1) -Lookup Picker]]="","",Master[[#This Row],[Accession Name Category (Identifier 1) -Lookup Picker]])</f>
        <v/>
      </c>
      <c r="E110" s="76" t="str">
        <f>IF(Master[[#This Row],[Accession Name (Identifier 1)]]="","",Master[[#This Row],[Accession Name (Identifier 1)]])</f>
        <v/>
      </c>
      <c r="F110" s="45" t="str">
        <f>IF(Master[[#This Row],[Accession Name Cooperator (Identifier 1) -name, organization]]="","",Master[[#This Row],[Accession Name Cooperator (Identifier 1) -name, organization]])</f>
        <v/>
      </c>
      <c r="G110" s="7" t="str">
        <f t="shared" si="3"/>
        <v>Y</v>
      </c>
    </row>
    <row r="111" spans="2:13" x14ac:dyDescent="0.25">
      <c r="B111" s="7" t="str">
        <f>Master[[#This Row],[Accession Prefix (NPGS)]]&amp;" "&amp;Master[[#This Row],[Accession Number -Assigned]]</f>
        <v>W6 59697</v>
      </c>
      <c r="C111" s="7" t="str">
        <f>Master[[#This Row],[Accession Prefix (NPGS)]]&amp;" "&amp;Master[[#This Row],[Accession Number -Assigned]]&amp;" **"</f>
        <v>W6 59697 **</v>
      </c>
      <c r="D111" s="76" t="str">
        <f>IF(Master[[#This Row],[Accession Name Category (Identifier 1) -Lookup Picker]]="","",Master[[#This Row],[Accession Name Category (Identifier 1) -Lookup Picker]])</f>
        <v/>
      </c>
      <c r="E111" s="76" t="str">
        <f>IF(Master[[#This Row],[Accession Name (Identifier 1)]]="","",Master[[#This Row],[Accession Name (Identifier 1)]])</f>
        <v/>
      </c>
      <c r="F111" s="45" t="str">
        <f>IF(Master[[#This Row],[Accession Name Cooperator (Identifier 1) -name, organization]]="","",Master[[#This Row],[Accession Name Cooperator (Identifier 1) -name, organization]])</f>
        <v/>
      </c>
      <c r="G111" s="7" t="str">
        <f t="shared" si="3"/>
        <v>Y</v>
      </c>
    </row>
    <row r="112" spans="2:13" x14ac:dyDescent="0.25">
      <c r="B112" s="7" t="str">
        <f>Master[[#This Row],[Accession Prefix (NPGS)]]&amp;" "&amp;Master[[#This Row],[Accession Number -Assigned]]</f>
        <v>W6 59698</v>
      </c>
      <c r="C112" s="7" t="str">
        <f>Master[[#This Row],[Accession Prefix (NPGS)]]&amp;" "&amp;Master[[#This Row],[Accession Number -Assigned]]&amp;" **"</f>
        <v>W6 59698 **</v>
      </c>
      <c r="D112" s="76" t="str">
        <f>IF(Master[[#This Row],[Accession Name Category (Identifier 1) -Lookup Picker]]="","",Master[[#This Row],[Accession Name Category (Identifier 1) -Lookup Picker]])</f>
        <v/>
      </c>
      <c r="E112" s="76" t="str">
        <f>IF(Master[[#This Row],[Accession Name (Identifier 1)]]="","",Master[[#This Row],[Accession Name (Identifier 1)]])</f>
        <v/>
      </c>
      <c r="F112" s="45" t="str">
        <f>IF(Master[[#This Row],[Accession Name Cooperator (Identifier 1) -name, organization]]="","",Master[[#This Row],[Accession Name Cooperator (Identifier 1) -name, organization]])</f>
        <v/>
      </c>
      <c r="G112" s="7" t="str">
        <f t="shared" si="3"/>
        <v>Y</v>
      </c>
    </row>
    <row r="113" spans="2:7" x14ac:dyDescent="0.25">
      <c r="B113" s="7" t="str">
        <f>Master[[#This Row],[Accession Prefix (NPGS)]]&amp;" "&amp;Master[[#This Row],[Accession Number -Assigned]]</f>
        <v>W6 59699</v>
      </c>
      <c r="C113" s="7" t="str">
        <f>Master[[#This Row],[Accession Prefix (NPGS)]]&amp;" "&amp;Master[[#This Row],[Accession Number -Assigned]]&amp;" **"</f>
        <v>W6 59699 **</v>
      </c>
      <c r="D113" s="76" t="str">
        <f>IF(Master[[#This Row],[Accession Name Category (Identifier 1) -Lookup Picker]]="","",Master[[#This Row],[Accession Name Category (Identifier 1) -Lookup Picker]])</f>
        <v/>
      </c>
      <c r="E113" s="76" t="str">
        <f>IF(Master[[#This Row],[Accession Name (Identifier 1)]]="","",Master[[#This Row],[Accession Name (Identifier 1)]])</f>
        <v/>
      </c>
      <c r="F113" s="45" t="str">
        <f>IF(Master[[#This Row],[Accession Name Cooperator (Identifier 1) -name, organization]]="","",Master[[#This Row],[Accession Name Cooperator (Identifier 1) -name, organization]])</f>
        <v/>
      </c>
      <c r="G113" s="7" t="str">
        <f t="shared" si="3"/>
        <v>Y</v>
      </c>
    </row>
    <row r="114" spans="2:7" x14ac:dyDescent="0.25">
      <c r="B114" s="7" t="str">
        <f>Master[[#This Row],[Accession Prefix (NPGS)]]&amp;" "&amp;Master[[#This Row],[Accession Number -Assigned]]</f>
        <v>W6 59700</v>
      </c>
      <c r="C114" s="7" t="str">
        <f>Master[[#This Row],[Accession Prefix (NPGS)]]&amp;" "&amp;Master[[#This Row],[Accession Number -Assigned]]&amp;" **"</f>
        <v>W6 59700 **</v>
      </c>
      <c r="D114" s="76" t="str">
        <f>IF(Master[[#This Row],[Accession Name Category (Identifier 1) -Lookup Picker]]="","",Master[[#This Row],[Accession Name Category (Identifier 1) -Lookup Picker]])</f>
        <v/>
      </c>
      <c r="E114" s="76" t="str">
        <f>IF(Master[[#This Row],[Accession Name (Identifier 1)]]="","",Master[[#This Row],[Accession Name (Identifier 1)]])</f>
        <v/>
      </c>
      <c r="F114" s="45" t="str">
        <f>IF(Master[[#This Row],[Accession Name Cooperator (Identifier 1) -name, organization]]="","",Master[[#This Row],[Accession Name Cooperator (Identifier 1) -name, organization]])</f>
        <v/>
      </c>
      <c r="G114" s="7" t="str">
        <f t="shared" si="3"/>
        <v>Y</v>
      </c>
    </row>
    <row r="115" spans="2:7" x14ac:dyDescent="0.25">
      <c r="B115" s="7" t="str">
        <f>Master[[#This Row],[Accession Prefix (NPGS)]]&amp;" "&amp;Master[[#This Row],[Accession Number -Assigned]]</f>
        <v>W6 59701</v>
      </c>
      <c r="C115" s="7" t="str">
        <f>Master[[#This Row],[Accession Prefix (NPGS)]]&amp;" "&amp;Master[[#This Row],[Accession Number -Assigned]]&amp;" **"</f>
        <v>W6 59701 **</v>
      </c>
      <c r="D115" s="76" t="str">
        <f>IF(Master[[#This Row],[Accession Name Category (Identifier 1) -Lookup Picker]]="","",Master[[#This Row],[Accession Name Category (Identifier 1) -Lookup Picker]])</f>
        <v/>
      </c>
      <c r="E115" s="76" t="str">
        <f>IF(Master[[#This Row],[Accession Name (Identifier 1)]]="","",Master[[#This Row],[Accession Name (Identifier 1)]])</f>
        <v/>
      </c>
      <c r="F115" s="45" t="str">
        <f>IF(Master[[#This Row],[Accession Name Cooperator (Identifier 1) -name, organization]]="","",Master[[#This Row],[Accession Name Cooperator (Identifier 1) -name, organization]])</f>
        <v/>
      </c>
      <c r="G115" s="7" t="str">
        <f t="shared" si="3"/>
        <v>Y</v>
      </c>
    </row>
    <row r="116" spans="2:7" x14ac:dyDescent="0.25">
      <c r="B116" s="7" t="str">
        <f>Master[[#This Row],[Accession Prefix (NPGS)]]&amp;" "&amp;Master[[#This Row],[Accession Number -Assigned]]</f>
        <v>W6 59702</v>
      </c>
      <c r="C116" s="7" t="str">
        <f>Master[[#This Row],[Accession Prefix (NPGS)]]&amp;" "&amp;Master[[#This Row],[Accession Number -Assigned]]&amp;" **"</f>
        <v>W6 59702 **</v>
      </c>
      <c r="D116" s="76" t="str">
        <f>IF(Master[[#This Row],[Accession Name Category (Identifier 1) -Lookup Picker]]="","",Master[[#This Row],[Accession Name Category (Identifier 1) -Lookup Picker]])</f>
        <v/>
      </c>
      <c r="E116" s="76" t="str">
        <f>IF(Master[[#This Row],[Accession Name (Identifier 1)]]="","",Master[[#This Row],[Accession Name (Identifier 1)]])</f>
        <v/>
      </c>
      <c r="F116" s="45" t="str">
        <f>IF(Master[[#This Row],[Accession Name Cooperator (Identifier 1) -name, organization]]="","",Master[[#This Row],[Accession Name Cooperator (Identifier 1) -name, organization]])</f>
        <v/>
      </c>
      <c r="G116" s="7" t="str">
        <f t="shared" si="3"/>
        <v>Y</v>
      </c>
    </row>
    <row r="117" spans="2:7" x14ac:dyDescent="0.25">
      <c r="B117" s="7" t="str">
        <f>Master[[#This Row],[Accession Prefix (NPGS)]]&amp;" "&amp;Master[[#This Row],[Accession Number -Assigned]]</f>
        <v>W6 59703</v>
      </c>
      <c r="C117" s="7" t="str">
        <f>Master[[#This Row],[Accession Prefix (NPGS)]]&amp;" "&amp;Master[[#This Row],[Accession Number -Assigned]]&amp;" **"</f>
        <v>W6 59703 **</v>
      </c>
      <c r="D117" s="76" t="str">
        <f>IF(Master[[#This Row],[Accession Name Category (Identifier 1) -Lookup Picker]]="","",Master[[#This Row],[Accession Name Category (Identifier 1) -Lookup Picker]])</f>
        <v/>
      </c>
      <c r="E117" s="76" t="str">
        <f>IF(Master[[#This Row],[Accession Name (Identifier 1)]]="","",Master[[#This Row],[Accession Name (Identifier 1)]])</f>
        <v/>
      </c>
      <c r="F117" s="45" t="str">
        <f>IF(Master[[#This Row],[Accession Name Cooperator (Identifier 1) -name, organization]]="","",Master[[#This Row],[Accession Name Cooperator (Identifier 1) -name, organization]])</f>
        <v/>
      </c>
      <c r="G117" s="7" t="str">
        <f t="shared" si="3"/>
        <v>Y</v>
      </c>
    </row>
    <row r="118" spans="2:7" x14ac:dyDescent="0.25">
      <c r="B118" s="7" t="str">
        <f>Master[[#This Row],[Accession Prefix (NPGS)]]&amp;" "&amp;Master[[#This Row],[Accession Number -Assigned]]</f>
        <v>W6 59704</v>
      </c>
      <c r="C118" s="7" t="str">
        <f>Master[[#This Row],[Accession Prefix (NPGS)]]&amp;" "&amp;Master[[#This Row],[Accession Number -Assigned]]&amp;" **"</f>
        <v>W6 59704 **</v>
      </c>
      <c r="D118" s="76" t="str">
        <f>IF(Master[[#This Row],[Accession Name Category (Identifier 1) -Lookup Picker]]="","",Master[[#This Row],[Accession Name Category (Identifier 1) -Lookup Picker]])</f>
        <v/>
      </c>
      <c r="E118" s="76" t="str">
        <f>IF(Master[[#This Row],[Accession Name (Identifier 1)]]="","",Master[[#This Row],[Accession Name (Identifier 1)]])</f>
        <v/>
      </c>
      <c r="F118" s="45" t="str">
        <f>IF(Master[[#This Row],[Accession Name Cooperator (Identifier 1) -name, organization]]="","",Master[[#This Row],[Accession Name Cooperator (Identifier 1) -name, organization]])</f>
        <v/>
      </c>
      <c r="G118" s="7" t="str">
        <f t="shared" ref="G118:G149" si="4">"Y"</f>
        <v>Y</v>
      </c>
    </row>
    <row r="119" spans="2:7" x14ac:dyDescent="0.25">
      <c r="B119" s="7" t="str">
        <f>Master[[#This Row],[Accession Prefix (NPGS)]]&amp;" "&amp;Master[[#This Row],[Accession Number -Assigned]]</f>
        <v>W6 59705</v>
      </c>
      <c r="C119" s="7" t="str">
        <f>Master[[#This Row],[Accession Prefix (NPGS)]]&amp;" "&amp;Master[[#This Row],[Accession Number -Assigned]]&amp;" **"</f>
        <v>W6 59705 **</v>
      </c>
      <c r="D119" s="76" t="str">
        <f>IF(Master[[#This Row],[Accession Name Category (Identifier 1) -Lookup Picker]]="","",Master[[#This Row],[Accession Name Category (Identifier 1) -Lookup Picker]])</f>
        <v/>
      </c>
      <c r="E119" s="76" t="str">
        <f>IF(Master[[#This Row],[Accession Name (Identifier 1)]]="","",Master[[#This Row],[Accession Name (Identifier 1)]])</f>
        <v/>
      </c>
      <c r="F119" s="45" t="str">
        <f>IF(Master[[#This Row],[Accession Name Cooperator (Identifier 1) -name, organization]]="","",Master[[#This Row],[Accession Name Cooperator (Identifier 1) -name, organization]])</f>
        <v/>
      </c>
      <c r="G119" s="7" t="str">
        <f t="shared" si="4"/>
        <v>Y</v>
      </c>
    </row>
    <row r="120" spans="2:7" x14ac:dyDescent="0.25">
      <c r="B120" s="7" t="str">
        <f>Master[[#This Row],[Accession Prefix (NPGS)]]&amp;" "&amp;Master[[#This Row],[Accession Number -Assigned]]</f>
        <v>W6 59706</v>
      </c>
      <c r="C120" s="7" t="str">
        <f>Master[[#This Row],[Accession Prefix (NPGS)]]&amp;" "&amp;Master[[#This Row],[Accession Number -Assigned]]&amp;" **"</f>
        <v>W6 59706 **</v>
      </c>
      <c r="D120" s="76" t="str">
        <f>IF(Master[[#This Row],[Accession Name Category (Identifier 1) -Lookup Picker]]="","",Master[[#This Row],[Accession Name Category (Identifier 1) -Lookup Picker]])</f>
        <v/>
      </c>
      <c r="E120" s="76" t="str">
        <f>IF(Master[[#This Row],[Accession Name (Identifier 1)]]="","",Master[[#This Row],[Accession Name (Identifier 1)]])</f>
        <v/>
      </c>
      <c r="F120" s="45" t="str">
        <f>IF(Master[[#This Row],[Accession Name Cooperator (Identifier 1) -name, organization]]="","",Master[[#This Row],[Accession Name Cooperator (Identifier 1) -name, organization]])</f>
        <v/>
      </c>
      <c r="G120" s="7" t="str">
        <f t="shared" si="4"/>
        <v>Y</v>
      </c>
    </row>
    <row r="121" spans="2:7" x14ac:dyDescent="0.25">
      <c r="B121" s="7" t="str">
        <f>Master[[#This Row],[Accession Prefix (NPGS)]]&amp;" "&amp;Master[[#This Row],[Accession Number -Assigned]]</f>
        <v>W6 59707</v>
      </c>
      <c r="C121" s="7" t="str">
        <f>Master[[#This Row],[Accession Prefix (NPGS)]]&amp;" "&amp;Master[[#This Row],[Accession Number -Assigned]]&amp;" **"</f>
        <v>W6 59707 **</v>
      </c>
      <c r="D121" s="76" t="str">
        <f>IF(Master[[#This Row],[Accession Name Category (Identifier 1) -Lookup Picker]]="","",Master[[#This Row],[Accession Name Category (Identifier 1) -Lookup Picker]])</f>
        <v/>
      </c>
      <c r="E121" s="76" t="str">
        <f>IF(Master[[#This Row],[Accession Name (Identifier 1)]]="","",Master[[#This Row],[Accession Name (Identifier 1)]])</f>
        <v/>
      </c>
      <c r="F121" s="45" t="str">
        <f>IF(Master[[#This Row],[Accession Name Cooperator (Identifier 1) -name, organization]]="","",Master[[#This Row],[Accession Name Cooperator (Identifier 1) -name, organization]])</f>
        <v/>
      </c>
      <c r="G121" s="7" t="str">
        <f t="shared" si="4"/>
        <v>Y</v>
      </c>
    </row>
    <row r="122" spans="2:7" x14ac:dyDescent="0.25">
      <c r="B122" s="7" t="str">
        <f>Master[[#This Row],[Accession Prefix (NPGS)]]&amp;" "&amp;Master[[#This Row],[Accession Number -Assigned]]</f>
        <v>W6 59708</v>
      </c>
      <c r="C122" s="7" t="str">
        <f>Master[[#This Row],[Accession Prefix (NPGS)]]&amp;" "&amp;Master[[#This Row],[Accession Number -Assigned]]&amp;" **"</f>
        <v>W6 59708 **</v>
      </c>
      <c r="D122" s="76" t="str">
        <f>IF(Master[[#This Row],[Accession Name Category (Identifier 1) -Lookup Picker]]="","",Master[[#This Row],[Accession Name Category (Identifier 1) -Lookup Picker]])</f>
        <v/>
      </c>
      <c r="E122" s="76" t="str">
        <f>IF(Master[[#This Row],[Accession Name (Identifier 1)]]="","",Master[[#This Row],[Accession Name (Identifier 1)]])</f>
        <v/>
      </c>
      <c r="F122" s="45" t="str">
        <f>IF(Master[[#This Row],[Accession Name Cooperator (Identifier 1) -name, organization]]="","",Master[[#This Row],[Accession Name Cooperator (Identifier 1) -name, organization]])</f>
        <v/>
      </c>
      <c r="G122" s="7" t="str">
        <f t="shared" si="4"/>
        <v>Y</v>
      </c>
    </row>
    <row r="123" spans="2:7" x14ac:dyDescent="0.25">
      <c r="B123" s="7" t="str">
        <f>Master[[#This Row],[Accession Prefix (NPGS)]]&amp;" "&amp;Master[[#This Row],[Accession Number -Assigned]]</f>
        <v>W6 59709</v>
      </c>
      <c r="C123" s="7" t="str">
        <f>Master[[#This Row],[Accession Prefix (NPGS)]]&amp;" "&amp;Master[[#This Row],[Accession Number -Assigned]]&amp;" **"</f>
        <v>W6 59709 **</v>
      </c>
      <c r="D123" s="76" t="str">
        <f>IF(Master[[#This Row],[Accession Name Category (Identifier 1) -Lookup Picker]]="","",Master[[#This Row],[Accession Name Category (Identifier 1) -Lookup Picker]])</f>
        <v/>
      </c>
      <c r="E123" s="76" t="str">
        <f>IF(Master[[#This Row],[Accession Name (Identifier 1)]]="","",Master[[#This Row],[Accession Name (Identifier 1)]])</f>
        <v/>
      </c>
      <c r="F123" s="45" t="str">
        <f>IF(Master[[#This Row],[Accession Name Cooperator (Identifier 1) -name, organization]]="","",Master[[#This Row],[Accession Name Cooperator (Identifier 1) -name, organization]])</f>
        <v/>
      </c>
      <c r="G123" s="7" t="str">
        <f t="shared" si="4"/>
        <v>Y</v>
      </c>
    </row>
    <row r="124" spans="2:7" x14ac:dyDescent="0.25">
      <c r="B124" s="7" t="str">
        <f>Master[[#This Row],[Accession Prefix (NPGS)]]&amp;" "&amp;Master[[#This Row],[Accession Number -Assigned]]</f>
        <v>W6 59710</v>
      </c>
      <c r="C124" s="7" t="str">
        <f>Master[[#This Row],[Accession Prefix (NPGS)]]&amp;" "&amp;Master[[#This Row],[Accession Number -Assigned]]&amp;" **"</f>
        <v>W6 59710 **</v>
      </c>
      <c r="D124" s="76" t="str">
        <f>IF(Master[[#This Row],[Accession Name Category (Identifier 1) -Lookup Picker]]="","",Master[[#This Row],[Accession Name Category (Identifier 1) -Lookup Picker]])</f>
        <v/>
      </c>
      <c r="E124" s="76" t="str">
        <f>IF(Master[[#This Row],[Accession Name (Identifier 1)]]="","",Master[[#This Row],[Accession Name (Identifier 1)]])</f>
        <v/>
      </c>
      <c r="F124" s="45" t="str">
        <f>IF(Master[[#This Row],[Accession Name Cooperator (Identifier 1) -name, organization]]="","",Master[[#This Row],[Accession Name Cooperator (Identifier 1) -name, organization]])</f>
        <v/>
      </c>
      <c r="G124" s="7" t="str">
        <f t="shared" si="4"/>
        <v>Y</v>
      </c>
    </row>
    <row r="125" spans="2:7" x14ac:dyDescent="0.25">
      <c r="B125" s="7" t="str">
        <f>Master[[#This Row],[Accession Prefix (NPGS)]]&amp;" "&amp;Master[[#This Row],[Accession Number -Assigned]]</f>
        <v>W6 59711</v>
      </c>
      <c r="C125" s="7" t="str">
        <f>Master[[#This Row],[Accession Prefix (NPGS)]]&amp;" "&amp;Master[[#This Row],[Accession Number -Assigned]]&amp;" **"</f>
        <v>W6 59711 **</v>
      </c>
      <c r="D125" s="76" t="str">
        <f>IF(Master[[#This Row],[Accession Name Category (Identifier 1) -Lookup Picker]]="","",Master[[#This Row],[Accession Name Category (Identifier 1) -Lookup Picker]])</f>
        <v/>
      </c>
      <c r="E125" s="76" t="str">
        <f>IF(Master[[#This Row],[Accession Name (Identifier 1)]]="","",Master[[#This Row],[Accession Name (Identifier 1)]])</f>
        <v/>
      </c>
      <c r="F125" s="45" t="str">
        <f>IF(Master[[#This Row],[Accession Name Cooperator (Identifier 1) -name, organization]]="","",Master[[#This Row],[Accession Name Cooperator (Identifier 1) -name, organization]])</f>
        <v/>
      </c>
      <c r="G125" s="7" t="str">
        <f t="shared" si="4"/>
        <v>Y</v>
      </c>
    </row>
    <row r="126" spans="2:7" x14ac:dyDescent="0.25">
      <c r="B126" s="7" t="str">
        <f>Master[[#This Row],[Accession Prefix (NPGS)]]&amp;" "&amp;Master[[#This Row],[Accession Number -Assigned]]</f>
        <v>W6 59712</v>
      </c>
      <c r="C126" s="7" t="str">
        <f>Master[[#This Row],[Accession Prefix (NPGS)]]&amp;" "&amp;Master[[#This Row],[Accession Number -Assigned]]&amp;" **"</f>
        <v>W6 59712 **</v>
      </c>
      <c r="D126" s="76" t="str">
        <f>IF(Master[[#This Row],[Accession Name Category (Identifier 1) -Lookup Picker]]="","",Master[[#This Row],[Accession Name Category (Identifier 1) -Lookup Picker]])</f>
        <v/>
      </c>
      <c r="E126" s="76" t="str">
        <f>IF(Master[[#This Row],[Accession Name (Identifier 1)]]="","",Master[[#This Row],[Accession Name (Identifier 1)]])</f>
        <v/>
      </c>
      <c r="F126" s="45" t="str">
        <f>IF(Master[[#This Row],[Accession Name Cooperator (Identifier 1) -name, organization]]="","",Master[[#This Row],[Accession Name Cooperator (Identifier 1) -name, organization]])</f>
        <v/>
      </c>
      <c r="G126" s="7" t="str">
        <f t="shared" si="4"/>
        <v>Y</v>
      </c>
    </row>
    <row r="127" spans="2:7" x14ac:dyDescent="0.25">
      <c r="B127" s="7" t="str">
        <f>Master[[#This Row],[Accession Prefix (NPGS)]]&amp;" "&amp;Master[[#This Row],[Accession Number -Assigned]]</f>
        <v>W6 59713</v>
      </c>
      <c r="C127" s="7" t="str">
        <f>Master[[#This Row],[Accession Prefix (NPGS)]]&amp;" "&amp;Master[[#This Row],[Accession Number -Assigned]]&amp;" **"</f>
        <v>W6 59713 **</v>
      </c>
      <c r="D127" s="76" t="str">
        <f>IF(Master[[#This Row],[Accession Name Category (Identifier 1) -Lookup Picker]]="","",Master[[#This Row],[Accession Name Category (Identifier 1) -Lookup Picker]])</f>
        <v/>
      </c>
      <c r="E127" s="76" t="str">
        <f>IF(Master[[#This Row],[Accession Name (Identifier 1)]]="","",Master[[#This Row],[Accession Name (Identifier 1)]])</f>
        <v/>
      </c>
      <c r="F127" s="45" t="str">
        <f>IF(Master[[#This Row],[Accession Name Cooperator (Identifier 1) -name, organization]]="","",Master[[#This Row],[Accession Name Cooperator (Identifier 1) -name, organization]])</f>
        <v/>
      </c>
      <c r="G127" s="7" t="str">
        <f t="shared" si="4"/>
        <v>Y</v>
      </c>
    </row>
    <row r="128" spans="2:7" x14ac:dyDescent="0.25">
      <c r="B128" s="7" t="str">
        <f>Master[[#This Row],[Accession Prefix (NPGS)]]&amp;" "&amp;Master[[#This Row],[Accession Number -Assigned]]</f>
        <v>W6 59714</v>
      </c>
      <c r="C128" s="7" t="str">
        <f>Master[[#This Row],[Accession Prefix (NPGS)]]&amp;" "&amp;Master[[#This Row],[Accession Number -Assigned]]&amp;" **"</f>
        <v>W6 59714 **</v>
      </c>
      <c r="D128" s="76" t="str">
        <f>IF(Master[[#This Row],[Accession Name Category (Identifier 1) -Lookup Picker]]="","",Master[[#This Row],[Accession Name Category (Identifier 1) -Lookup Picker]])</f>
        <v/>
      </c>
      <c r="E128" s="76" t="str">
        <f>IF(Master[[#This Row],[Accession Name (Identifier 1)]]="","",Master[[#This Row],[Accession Name (Identifier 1)]])</f>
        <v/>
      </c>
      <c r="F128" s="45" t="str">
        <f>IF(Master[[#This Row],[Accession Name Cooperator (Identifier 1) -name, organization]]="","",Master[[#This Row],[Accession Name Cooperator (Identifier 1) -name, organization]])</f>
        <v/>
      </c>
      <c r="G128" s="7" t="str">
        <f t="shared" si="4"/>
        <v>Y</v>
      </c>
    </row>
    <row r="129" spans="2:7" x14ac:dyDescent="0.25">
      <c r="B129" s="7" t="str">
        <f>Master[[#This Row],[Accession Prefix (NPGS)]]&amp;" "&amp;Master[[#This Row],[Accession Number -Assigned]]</f>
        <v>W6 59715</v>
      </c>
      <c r="C129" s="7" t="str">
        <f>Master[[#This Row],[Accession Prefix (NPGS)]]&amp;" "&amp;Master[[#This Row],[Accession Number -Assigned]]&amp;" **"</f>
        <v>W6 59715 **</v>
      </c>
      <c r="D129" s="76" t="str">
        <f>IF(Master[[#This Row],[Accession Name Category (Identifier 1) -Lookup Picker]]="","",Master[[#This Row],[Accession Name Category (Identifier 1) -Lookup Picker]])</f>
        <v/>
      </c>
      <c r="E129" s="76" t="str">
        <f>IF(Master[[#This Row],[Accession Name (Identifier 1)]]="","",Master[[#This Row],[Accession Name (Identifier 1)]])</f>
        <v/>
      </c>
      <c r="F129" s="45" t="str">
        <f>IF(Master[[#This Row],[Accession Name Cooperator (Identifier 1) -name, organization]]="","",Master[[#This Row],[Accession Name Cooperator (Identifier 1) -name, organization]])</f>
        <v/>
      </c>
      <c r="G129" s="7" t="str">
        <f t="shared" si="4"/>
        <v>Y</v>
      </c>
    </row>
    <row r="130" spans="2:7" x14ac:dyDescent="0.25">
      <c r="B130" s="7" t="str">
        <f>Master[[#This Row],[Accession Prefix (NPGS)]]&amp;" "&amp;Master[[#This Row],[Accession Number -Assigned]]</f>
        <v>W6 59716</v>
      </c>
      <c r="C130" s="7" t="str">
        <f>Master[[#This Row],[Accession Prefix (NPGS)]]&amp;" "&amp;Master[[#This Row],[Accession Number -Assigned]]&amp;" **"</f>
        <v>W6 59716 **</v>
      </c>
      <c r="D130" s="76" t="str">
        <f>IF(Master[[#This Row],[Accession Name Category (Identifier 1) -Lookup Picker]]="","",Master[[#This Row],[Accession Name Category (Identifier 1) -Lookup Picker]])</f>
        <v/>
      </c>
      <c r="E130" s="76" t="str">
        <f>IF(Master[[#This Row],[Accession Name (Identifier 1)]]="","",Master[[#This Row],[Accession Name (Identifier 1)]])</f>
        <v/>
      </c>
      <c r="F130" s="45" t="str">
        <f>IF(Master[[#This Row],[Accession Name Cooperator (Identifier 1) -name, organization]]="","",Master[[#This Row],[Accession Name Cooperator (Identifier 1) -name, organization]])</f>
        <v/>
      </c>
      <c r="G130" s="7" t="str">
        <f t="shared" si="4"/>
        <v>Y</v>
      </c>
    </row>
    <row r="131" spans="2:7" x14ac:dyDescent="0.25">
      <c r="B131" s="7" t="str">
        <f>Master[[#This Row],[Accession Prefix (NPGS)]]&amp;" "&amp;Master[[#This Row],[Accession Number -Assigned]]</f>
        <v>W6 59717</v>
      </c>
      <c r="C131" s="7" t="str">
        <f>Master[[#This Row],[Accession Prefix (NPGS)]]&amp;" "&amp;Master[[#This Row],[Accession Number -Assigned]]&amp;" **"</f>
        <v>W6 59717 **</v>
      </c>
      <c r="D131" s="76" t="str">
        <f>IF(Master[[#This Row],[Accession Name Category (Identifier 1) -Lookup Picker]]="","",Master[[#This Row],[Accession Name Category (Identifier 1) -Lookup Picker]])</f>
        <v/>
      </c>
      <c r="E131" s="76" t="str">
        <f>IF(Master[[#This Row],[Accession Name (Identifier 1)]]="","",Master[[#This Row],[Accession Name (Identifier 1)]])</f>
        <v/>
      </c>
      <c r="F131" s="45" t="str">
        <f>IF(Master[[#This Row],[Accession Name Cooperator (Identifier 1) -name, organization]]="","",Master[[#This Row],[Accession Name Cooperator (Identifier 1) -name, organization]])</f>
        <v/>
      </c>
      <c r="G131" s="7" t="str">
        <f t="shared" si="4"/>
        <v>Y</v>
      </c>
    </row>
    <row r="132" spans="2:7" x14ac:dyDescent="0.25">
      <c r="B132" s="7" t="str">
        <f>Master[[#This Row],[Accession Prefix (NPGS)]]&amp;" "&amp;Master[[#This Row],[Accession Number -Assigned]]</f>
        <v>W6 59718</v>
      </c>
      <c r="C132" s="7" t="str">
        <f>Master[[#This Row],[Accession Prefix (NPGS)]]&amp;" "&amp;Master[[#This Row],[Accession Number -Assigned]]&amp;" **"</f>
        <v>W6 59718 **</v>
      </c>
      <c r="D132" s="76" t="str">
        <f>IF(Master[[#This Row],[Accession Name Category (Identifier 1) -Lookup Picker]]="","",Master[[#This Row],[Accession Name Category (Identifier 1) -Lookup Picker]])</f>
        <v/>
      </c>
      <c r="E132" s="76" t="str">
        <f>IF(Master[[#This Row],[Accession Name (Identifier 1)]]="","",Master[[#This Row],[Accession Name (Identifier 1)]])</f>
        <v/>
      </c>
      <c r="F132" s="45" t="str">
        <f>IF(Master[[#This Row],[Accession Name Cooperator (Identifier 1) -name, organization]]="","",Master[[#This Row],[Accession Name Cooperator (Identifier 1) -name, organization]])</f>
        <v/>
      </c>
      <c r="G132" s="7" t="str">
        <f t="shared" si="4"/>
        <v>Y</v>
      </c>
    </row>
    <row r="133" spans="2:7" x14ac:dyDescent="0.25">
      <c r="B133" s="7" t="str">
        <f>Master[[#This Row],[Accession Prefix (NPGS)]]&amp;" "&amp;Master[[#This Row],[Accession Number -Assigned]]</f>
        <v>W6 59719</v>
      </c>
      <c r="C133" s="7" t="str">
        <f>Master[[#This Row],[Accession Prefix (NPGS)]]&amp;" "&amp;Master[[#This Row],[Accession Number -Assigned]]&amp;" **"</f>
        <v>W6 59719 **</v>
      </c>
      <c r="D133" s="76" t="str">
        <f>IF(Master[[#This Row],[Accession Name Category (Identifier 1) -Lookup Picker]]="","",Master[[#This Row],[Accession Name Category (Identifier 1) -Lookup Picker]])</f>
        <v/>
      </c>
      <c r="E133" s="76" t="str">
        <f>IF(Master[[#This Row],[Accession Name (Identifier 1)]]="","",Master[[#This Row],[Accession Name (Identifier 1)]])</f>
        <v/>
      </c>
      <c r="F133" s="45" t="str">
        <f>IF(Master[[#This Row],[Accession Name Cooperator (Identifier 1) -name, organization]]="","",Master[[#This Row],[Accession Name Cooperator (Identifier 1) -name, organization]])</f>
        <v/>
      </c>
      <c r="G133" s="7" t="str">
        <f t="shared" si="4"/>
        <v>Y</v>
      </c>
    </row>
    <row r="134" spans="2:7" x14ac:dyDescent="0.25">
      <c r="B134" s="7" t="str">
        <f>Master[[#This Row],[Accession Prefix (NPGS)]]&amp;" "&amp;Master[[#This Row],[Accession Number -Assigned]]</f>
        <v>W6 59720</v>
      </c>
      <c r="C134" s="7" t="str">
        <f>Master[[#This Row],[Accession Prefix (NPGS)]]&amp;" "&amp;Master[[#This Row],[Accession Number -Assigned]]&amp;" **"</f>
        <v>W6 59720 **</v>
      </c>
      <c r="D134" s="76" t="str">
        <f>IF(Master[[#This Row],[Accession Name Category (Identifier 1) -Lookup Picker]]="","",Master[[#This Row],[Accession Name Category (Identifier 1) -Lookup Picker]])</f>
        <v/>
      </c>
      <c r="E134" s="76" t="str">
        <f>IF(Master[[#This Row],[Accession Name (Identifier 1)]]="","",Master[[#This Row],[Accession Name (Identifier 1)]])</f>
        <v/>
      </c>
      <c r="F134" s="45" t="str">
        <f>IF(Master[[#This Row],[Accession Name Cooperator (Identifier 1) -name, organization]]="","",Master[[#This Row],[Accession Name Cooperator (Identifier 1) -name, organization]])</f>
        <v/>
      </c>
      <c r="G134" s="7" t="str">
        <f t="shared" si="4"/>
        <v>Y</v>
      </c>
    </row>
    <row r="135" spans="2:7" x14ac:dyDescent="0.25">
      <c r="B135" s="7" t="str">
        <f>Master[[#This Row],[Accession Prefix (NPGS)]]&amp;" "&amp;Master[[#This Row],[Accession Number -Assigned]]</f>
        <v>W6 59721</v>
      </c>
      <c r="C135" s="7" t="str">
        <f>Master[[#This Row],[Accession Prefix (NPGS)]]&amp;" "&amp;Master[[#This Row],[Accession Number -Assigned]]&amp;" **"</f>
        <v>W6 59721 **</v>
      </c>
      <c r="D135" s="76" t="str">
        <f>IF(Master[[#This Row],[Accession Name Category (Identifier 1) -Lookup Picker]]="","",Master[[#This Row],[Accession Name Category (Identifier 1) -Lookup Picker]])</f>
        <v/>
      </c>
      <c r="E135" s="76" t="str">
        <f>IF(Master[[#This Row],[Accession Name (Identifier 1)]]="","",Master[[#This Row],[Accession Name (Identifier 1)]])</f>
        <v/>
      </c>
      <c r="F135" s="45" t="str">
        <f>IF(Master[[#This Row],[Accession Name Cooperator (Identifier 1) -name, organization]]="","",Master[[#This Row],[Accession Name Cooperator (Identifier 1) -name, organization]])</f>
        <v/>
      </c>
      <c r="G135" s="7" t="str">
        <f t="shared" si="4"/>
        <v>Y</v>
      </c>
    </row>
    <row r="136" spans="2:7" x14ac:dyDescent="0.25">
      <c r="B136" s="7" t="str">
        <f>Master[[#This Row],[Accession Prefix (NPGS)]]&amp;" "&amp;Master[[#This Row],[Accession Number -Assigned]]</f>
        <v>W6 59722</v>
      </c>
      <c r="C136" s="7" t="str">
        <f>Master[[#This Row],[Accession Prefix (NPGS)]]&amp;" "&amp;Master[[#This Row],[Accession Number -Assigned]]&amp;" **"</f>
        <v>W6 59722 **</v>
      </c>
      <c r="D136" s="76" t="str">
        <f>IF(Master[[#This Row],[Accession Name Category (Identifier 1) -Lookup Picker]]="","",Master[[#This Row],[Accession Name Category (Identifier 1) -Lookup Picker]])</f>
        <v/>
      </c>
      <c r="E136" s="76" t="str">
        <f>IF(Master[[#This Row],[Accession Name (Identifier 1)]]="","",Master[[#This Row],[Accession Name (Identifier 1)]])</f>
        <v/>
      </c>
      <c r="F136" s="45" t="str">
        <f>IF(Master[[#This Row],[Accession Name Cooperator (Identifier 1) -name, organization]]="","",Master[[#This Row],[Accession Name Cooperator (Identifier 1) -name, organization]])</f>
        <v/>
      </c>
      <c r="G136" s="7" t="str">
        <f t="shared" si="4"/>
        <v>Y</v>
      </c>
    </row>
    <row r="137" spans="2:7" x14ac:dyDescent="0.25">
      <c r="B137" s="7" t="str">
        <f>Master[[#This Row],[Accession Prefix (NPGS)]]&amp;" "&amp;Master[[#This Row],[Accession Number -Assigned]]</f>
        <v>W6 59723</v>
      </c>
      <c r="C137" s="7" t="str">
        <f>Master[[#This Row],[Accession Prefix (NPGS)]]&amp;" "&amp;Master[[#This Row],[Accession Number -Assigned]]&amp;" **"</f>
        <v>W6 59723 **</v>
      </c>
      <c r="D137" s="76" t="str">
        <f>IF(Master[[#This Row],[Accession Name Category (Identifier 1) -Lookup Picker]]="","",Master[[#This Row],[Accession Name Category (Identifier 1) -Lookup Picker]])</f>
        <v/>
      </c>
      <c r="E137" s="76" t="str">
        <f>IF(Master[[#This Row],[Accession Name (Identifier 1)]]="","",Master[[#This Row],[Accession Name (Identifier 1)]])</f>
        <v/>
      </c>
      <c r="F137" s="45" t="str">
        <f>IF(Master[[#This Row],[Accession Name Cooperator (Identifier 1) -name, organization]]="","",Master[[#This Row],[Accession Name Cooperator (Identifier 1) -name, organization]])</f>
        <v/>
      </c>
      <c r="G137" s="7" t="str">
        <f t="shared" si="4"/>
        <v>Y</v>
      </c>
    </row>
    <row r="138" spans="2:7" x14ac:dyDescent="0.25">
      <c r="B138" s="7" t="str">
        <f>Master[[#This Row],[Accession Prefix (NPGS)]]&amp;" "&amp;Master[[#This Row],[Accession Number -Assigned]]</f>
        <v>W6 59724</v>
      </c>
      <c r="C138" s="7" t="str">
        <f>Master[[#This Row],[Accession Prefix (NPGS)]]&amp;" "&amp;Master[[#This Row],[Accession Number -Assigned]]&amp;" **"</f>
        <v>W6 59724 **</v>
      </c>
      <c r="D138" s="76" t="str">
        <f>IF(Master[[#This Row],[Accession Name Category (Identifier 1) -Lookup Picker]]="","",Master[[#This Row],[Accession Name Category (Identifier 1) -Lookup Picker]])</f>
        <v/>
      </c>
      <c r="E138" s="76" t="str">
        <f>IF(Master[[#This Row],[Accession Name (Identifier 1)]]="","",Master[[#This Row],[Accession Name (Identifier 1)]])</f>
        <v/>
      </c>
      <c r="F138" s="45" t="str">
        <f>IF(Master[[#This Row],[Accession Name Cooperator (Identifier 1) -name, organization]]="","",Master[[#This Row],[Accession Name Cooperator (Identifier 1) -name, organization]])</f>
        <v/>
      </c>
      <c r="G138" s="7" t="str">
        <f t="shared" si="4"/>
        <v>Y</v>
      </c>
    </row>
    <row r="139" spans="2:7" x14ac:dyDescent="0.25">
      <c r="B139" s="7" t="str">
        <f>Master[[#This Row],[Accession Prefix (NPGS)]]&amp;" "&amp;Master[[#This Row],[Accession Number -Assigned]]</f>
        <v>W6 59725</v>
      </c>
      <c r="C139" s="7" t="str">
        <f>Master[[#This Row],[Accession Prefix (NPGS)]]&amp;" "&amp;Master[[#This Row],[Accession Number -Assigned]]&amp;" **"</f>
        <v>W6 59725 **</v>
      </c>
      <c r="D139" s="76" t="str">
        <f>IF(Master[[#This Row],[Accession Name Category (Identifier 1) -Lookup Picker]]="","",Master[[#This Row],[Accession Name Category (Identifier 1) -Lookup Picker]])</f>
        <v/>
      </c>
      <c r="E139" s="76" t="str">
        <f>IF(Master[[#This Row],[Accession Name (Identifier 1)]]="","",Master[[#This Row],[Accession Name (Identifier 1)]])</f>
        <v/>
      </c>
      <c r="F139" s="45" t="str">
        <f>IF(Master[[#This Row],[Accession Name Cooperator (Identifier 1) -name, organization]]="","",Master[[#This Row],[Accession Name Cooperator (Identifier 1) -name, organization]])</f>
        <v/>
      </c>
      <c r="G139" s="7" t="str">
        <f t="shared" si="4"/>
        <v>Y</v>
      </c>
    </row>
    <row r="140" spans="2:7" x14ac:dyDescent="0.25">
      <c r="B140" s="7" t="str">
        <f>Master[[#This Row],[Accession Prefix (NPGS)]]&amp;" "&amp;Master[[#This Row],[Accession Number -Assigned]]</f>
        <v>W6 59726</v>
      </c>
      <c r="C140" s="7" t="str">
        <f>Master[[#This Row],[Accession Prefix (NPGS)]]&amp;" "&amp;Master[[#This Row],[Accession Number -Assigned]]&amp;" **"</f>
        <v>W6 59726 **</v>
      </c>
      <c r="D140" s="76" t="str">
        <f>IF(Master[[#This Row],[Accession Name Category (Identifier 1) -Lookup Picker]]="","",Master[[#This Row],[Accession Name Category (Identifier 1) -Lookup Picker]])</f>
        <v/>
      </c>
      <c r="E140" s="76" t="str">
        <f>IF(Master[[#This Row],[Accession Name (Identifier 1)]]="","",Master[[#This Row],[Accession Name (Identifier 1)]])</f>
        <v/>
      </c>
      <c r="F140" s="45" t="str">
        <f>IF(Master[[#This Row],[Accession Name Cooperator (Identifier 1) -name, organization]]="","",Master[[#This Row],[Accession Name Cooperator (Identifier 1) -name, organization]])</f>
        <v/>
      </c>
      <c r="G140" s="7" t="str">
        <f t="shared" si="4"/>
        <v>Y</v>
      </c>
    </row>
    <row r="141" spans="2:7" x14ac:dyDescent="0.25">
      <c r="B141" s="7" t="str">
        <f>Master[[#This Row],[Accession Prefix (NPGS)]]&amp;" "&amp;Master[[#This Row],[Accession Number -Assigned]]</f>
        <v>W6 59727</v>
      </c>
      <c r="C141" s="7" t="str">
        <f>Master[[#This Row],[Accession Prefix (NPGS)]]&amp;" "&amp;Master[[#This Row],[Accession Number -Assigned]]&amp;" **"</f>
        <v>W6 59727 **</v>
      </c>
      <c r="D141" s="76" t="str">
        <f>IF(Master[[#This Row],[Accession Name Category (Identifier 1) -Lookup Picker]]="","",Master[[#This Row],[Accession Name Category (Identifier 1) -Lookup Picker]])</f>
        <v/>
      </c>
      <c r="E141" s="76" t="str">
        <f>IF(Master[[#This Row],[Accession Name (Identifier 1)]]="","",Master[[#This Row],[Accession Name (Identifier 1)]])</f>
        <v/>
      </c>
      <c r="F141" s="45" t="str">
        <f>IF(Master[[#This Row],[Accession Name Cooperator (Identifier 1) -name, organization]]="","",Master[[#This Row],[Accession Name Cooperator (Identifier 1) -name, organization]])</f>
        <v/>
      </c>
      <c r="G141" s="7" t="str">
        <f t="shared" si="4"/>
        <v>Y</v>
      </c>
    </row>
    <row r="142" spans="2:7" x14ac:dyDescent="0.25">
      <c r="B142" s="7" t="str">
        <f>Master[[#This Row],[Accession Prefix (NPGS)]]&amp;" "&amp;Master[[#This Row],[Accession Number -Assigned]]</f>
        <v>W6 59728</v>
      </c>
      <c r="C142" s="7" t="str">
        <f>Master[[#This Row],[Accession Prefix (NPGS)]]&amp;" "&amp;Master[[#This Row],[Accession Number -Assigned]]&amp;" **"</f>
        <v>W6 59728 **</v>
      </c>
      <c r="D142" s="76" t="str">
        <f>IF(Master[[#This Row],[Accession Name Category (Identifier 1) -Lookup Picker]]="","",Master[[#This Row],[Accession Name Category (Identifier 1) -Lookup Picker]])</f>
        <v/>
      </c>
      <c r="E142" s="76" t="str">
        <f>IF(Master[[#This Row],[Accession Name (Identifier 1)]]="","",Master[[#This Row],[Accession Name (Identifier 1)]])</f>
        <v/>
      </c>
      <c r="F142" s="45" t="str">
        <f>IF(Master[[#This Row],[Accession Name Cooperator (Identifier 1) -name, organization]]="","",Master[[#This Row],[Accession Name Cooperator (Identifier 1) -name, organization]])</f>
        <v/>
      </c>
      <c r="G142" s="7" t="str">
        <f t="shared" si="4"/>
        <v>Y</v>
      </c>
    </row>
    <row r="143" spans="2:7" x14ac:dyDescent="0.25">
      <c r="B143" s="7" t="str">
        <f>Master[[#This Row],[Accession Prefix (NPGS)]]&amp;" "&amp;Master[[#This Row],[Accession Number -Assigned]]</f>
        <v>W6 59729</v>
      </c>
      <c r="C143" s="7" t="str">
        <f>Master[[#This Row],[Accession Prefix (NPGS)]]&amp;" "&amp;Master[[#This Row],[Accession Number -Assigned]]&amp;" **"</f>
        <v>W6 59729 **</v>
      </c>
      <c r="D143" s="76" t="str">
        <f>IF(Master[[#This Row],[Accession Name Category (Identifier 1) -Lookup Picker]]="","",Master[[#This Row],[Accession Name Category (Identifier 1) -Lookup Picker]])</f>
        <v/>
      </c>
      <c r="E143" s="76" t="str">
        <f>IF(Master[[#This Row],[Accession Name (Identifier 1)]]="","",Master[[#This Row],[Accession Name (Identifier 1)]])</f>
        <v/>
      </c>
      <c r="F143" s="45" t="str">
        <f>IF(Master[[#This Row],[Accession Name Cooperator (Identifier 1) -name, organization]]="","",Master[[#This Row],[Accession Name Cooperator (Identifier 1) -name, organization]])</f>
        <v/>
      </c>
      <c r="G143" s="7" t="str">
        <f t="shared" si="4"/>
        <v>Y</v>
      </c>
    </row>
    <row r="144" spans="2:7" x14ac:dyDescent="0.25">
      <c r="B144" s="7" t="str">
        <f>Master[[#This Row],[Accession Prefix (NPGS)]]&amp;" "&amp;Master[[#This Row],[Accession Number -Assigned]]</f>
        <v>W6 59730</v>
      </c>
      <c r="C144" s="7" t="str">
        <f>Master[[#This Row],[Accession Prefix (NPGS)]]&amp;" "&amp;Master[[#This Row],[Accession Number -Assigned]]&amp;" **"</f>
        <v>W6 59730 **</v>
      </c>
      <c r="D144" s="76" t="str">
        <f>IF(Master[[#This Row],[Accession Name Category (Identifier 1) -Lookup Picker]]="","",Master[[#This Row],[Accession Name Category (Identifier 1) -Lookup Picker]])</f>
        <v/>
      </c>
      <c r="E144" s="76" t="str">
        <f>IF(Master[[#This Row],[Accession Name (Identifier 1)]]="","",Master[[#This Row],[Accession Name (Identifier 1)]])</f>
        <v/>
      </c>
      <c r="F144" s="45" t="str">
        <f>IF(Master[[#This Row],[Accession Name Cooperator (Identifier 1) -name, organization]]="","",Master[[#This Row],[Accession Name Cooperator (Identifier 1) -name, organization]])</f>
        <v/>
      </c>
      <c r="G144" s="7" t="str">
        <f t="shared" si="4"/>
        <v>Y</v>
      </c>
    </row>
    <row r="145" spans="2:7" x14ac:dyDescent="0.25">
      <c r="B145" s="7" t="str">
        <f>Master[[#This Row],[Accession Prefix (NPGS)]]&amp;" "&amp;Master[[#This Row],[Accession Number -Assigned]]</f>
        <v>W6 59731</v>
      </c>
      <c r="C145" s="7" t="str">
        <f>Master[[#This Row],[Accession Prefix (NPGS)]]&amp;" "&amp;Master[[#This Row],[Accession Number -Assigned]]&amp;" **"</f>
        <v>W6 59731 **</v>
      </c>
      <c r="D145" s="76" t="str">
        <f>IF(Master[[#This Row],[Accession Name Category (Identifier 1) -Lookup Picker]]="","",Master[[#This Row],[Accession Name Category (Identifier 1) -Lookup Picker]])</f>
        <v/>
      </c>
      <c r="E145" s="76" t="str">
        <f>IF(Master[[#This Row],[Accession Name (Identifier 1)]]="","",Master[[#This Row],[Accession Name (Identifier 1)]])</f>
        <v/>
      </c>
      <c r="F145" s="45" t="str">
        <f>IF(Master[[#This Row],[Accession Name Cooperator (Identifier 1) -name, organization]]="","",Master[[#This Row],[Accession Name Cooperator (Identifier 1) -name, organization]])</f>
        <v/>
      </c>
      <c r="G145" s="7" t="str">
        <f t="shared" si="4"/>
        <v>Y</v>
      </c>
    </row>
    <row r="146" spans="2:7" x14ac:dyDescent="0.25">
      <c r="B146" s="7" t="str">
        <f>Master[[#This Row],[Accession Prefix (NPGS)]]&amp;" "&amp;Master[[#This Row],[Accession Number -Assigned]]</f>
        <v>W6 59732</v>
      </c>
      <c r="C146" s="7" t="str">
        <f>Master[[#This Row],[Accession Prefix (NPGS)]]&amp;" "&amp;Master[[#This Row],[Accession Number -Assigned]]&amp;" **"</f>
        <v>W6 59732 **</v>
      </c>
      <c r="D146" s="76" t="str">
        <f>IF(Master[[#This Row],[Accession Name Category (Identifier 1) -Lookup Picker]]="","",Master[[#This Row],[Accession Name Category (Identifier 1) -Lookup Picker]])</f>
        <v/>
      </c>
      <c r="E146" s="76" t="str">
        <f>IF(Master[[#This Row],[Accession Name (Identifier 1)]]="","",Master[[#This Row],[Accession Name (Identifier 1)]])</f>
        <v/>
      </c>
      <c r="F146" s="45" t="str">
        <f>IF(Master[[#This Row],[Accession Name Cooperator (Identifier 1) -name, organization]]="","",Master[[#This Row],[Accession Name Cooperator (Identifier 1) -name, organization]])</f>
        <v/>
      </c>
      <c r="G146" s="7" t="str">
        <f t="shared" si="4"/>
        <v>Y</v>
      </c>
    </row>
    <row r="147" spans="2:7" x14ac:dyDescent="0.25">
      <c r="B147" s="7" t="str">
        <f>Master[[#This Row],[Accession Prefix (NPGS)]]&amp;" "&amp;Master[[#This Row],[Accession Number -Assigned]]</f>
        <v>W6 59733</v>
      </c>
      <c r="C147" s="7" t="str">
        <f>Master[[#This Row],[Accession Prefix (NPGS)]]&amp;" "&amp;Master[[#This Row],[Accession Number -Assigned]]&amp;" **"</f>
        <v>W6 59733 **</v>
      </c>
      <c r="D147" s="76" t="str">
        <f>IF(Master[[#This Row],[Accession Name Category (Identifier 1) -Lookup Picker]]="","",Master[[#This Row],[Accession Name Category (Identifier 1) -Lookup Picker]])</f>
        <v/>
      </c>
      <c r="E147" s="76" t="str">
        <f>IF(Master[[#This Row],[Accession Name (Identifier 1)]]="","",Master[[#This Row],[Accession Name (Identifier 1)]])</f>
        <v/>
      </c>
      <c r="F147" s="45" t="str">
        <f>IF(Master[[#This Row],[Accession Name Cooperator (Identifier 1) -name, organization]]="","",Master[[#This Row],[Accession Name Cooperator (Identifier 1) -name, organization]])</f>
        <v/>
      </c>
      <c r="G147" s="7" t="str">
        <f t="shared" si="4"/>
        <v>Y</v>
      </c>
    </row>
    <row r="148" spans="2:7" x14ac:dyDescent="0.25">
      <c r="B148" s="7" t="str">
        <f>Master[[#This Row],[Accession Prefix (NPGS)]]&amp;" "&amp;Master[[#This Row],[Accession Number -Assigned]]</f>
        <v>W6 59734</v>
      </c>
      <c r="C148" s="7" t="str">
        <f>Master[[#This Row],[Accession Prefix (NPGS)]]&amp;" "&amp;Master[[#This Row],[Accession Number -Assigned]]&amp;" **"</f>
        <v>W6 59734 **</v>
      </c>
      <c r="D148" s="76" t="str">
        <f>IF(Master[[#This Row],[Accession Name Category (Identifier 1) -Lookup Picker]]="","",Master[[#This Row],[Accession Name Category (Identifier 1) -Lookup Picker]])</f>
        <v/>
      </c>
      <c r="E148" s="76" t="str">
        <f>IF(Master[[#This Row],[Accession Name (Identifier 1)]]="","",Master[[#This Row],[Accession Name (Identifier 1)]])</f>
        <v/>
      </c>
      <c r="F148" s="45" t="str">
        <f>IF(Master[[#This Row],[Accession Name Cooperator (Identifier 1) -name, organization]]="","",Master[[#This Row],[Accession Name Cooperator (Identifier 1) -name, organization]])</f>
        <v/>
      </c>
      <c r="G148" s="7" t="str">
        <f t="shared" si="4"/>
        <v>Y</v>
      </c>
    </row>
    <row r="149" spans="2:7" x14ac:dyDescent="0.25">
      <c r="B149" s="7" t="str">
        <f>Master[[#This Row],[Accession Prefix (NPGS)]]&amp;" "&amp;Master[[#This Row],[Accession Number -Assigned]]</f>
        <v>W6 59735</v>
      </c>
      <c r="C149" s="7" t="str">
        <f>Master[[#This Row],[Accession Prefix (NPGS)]]&amp;" "&amp;Master[[#This Row],[Accession Number -Assigned]]&amp;" **"</f>
        <v>W6 59735 **</v>
      </c>
      <c r="D149" s="76" t="str">
        <f>IF(Master[[#This Row],[Accession Name Category (Identifier 1) -Lookup Picker]]="","",Master[[#This Row],[Accession Name Category (Identifier 1) -Lookup Picker]])</f>
        <v/>
      </c>
      <c r="E149" s="76" t="str">
        <f>IF(Master[[#This Row],[Accession Name (Identifier 1)]]="","",Master[[#This Row],[Accession Name (Identifier 1)]])</f>
        <v/>
      </c>
      <c r="F149" s="45" t="str">
        <f>IF(Master[[#This Row],[Accession Name Cooperator (Identifier 1) -name, organization]]="","",Master[[#This Row],[Accession Name Cooperator (Identifier 1) -name, organization]])</f>
        <v/>
      </c>
      <c r="G149" s="7" t="str">
        <f t="shared" si="4"/>
        <v>Y</v>
      </c>
    </row>
    <row r="150" spans="2:7" x14ac:dyDescent="0.25">
      <c r="B150" s="7" t="str">
        <f>Master[[#This Row],[Accession Prefix (NPGS)]]&amp;" "&amp;Master[[#This Row],[Accession Number -Assigned]]</f>
        <v>W6 59736</v>
      </c>
      <c r="C150" s="7" t="str">
        <f>Master[[#This Row],[Accession Prefix (NPGS)]]&amp;" "&amp;Master[[#This Row],[Accession Number -Assigned]]&amp;" **"</f>
        <v>W6 59736 **</v>
      </c>
      <c r="D150" s="76" t="str">
        <f>IF(Master[[#This Row],[Accession Name Category (Identifier 1) -Lookup Picker]]="","",Master[[#This Row],[Accession Name Category (Identifier 1) -Lookup Picker]])</f>
        <v/>
      </c>
      <c r="E150" s="76" t="str">
        <f>IF(Master[[#This Row],[Accession Name (Identifier 1)]]="","",Master[[#This Row],[Accession Name (Identifier 1)]])</f>
        <v/>
      </c>
      <c r="F150" s="45" t="str">
        <f>IF(Master[[#This Row],[Accession Name Cooperator (Identifier 1) -name, organization]]="","",Master[[#This Row],[Accession Name Cooperator (Identifier 1) -name, organization]])</f>
        <v/>
      </c>
      <c r="G150" s="7" t="str">
        <f t="shared" ref="G150:G181" si="5">"Y"</f>
        <v>Y</v>
      </c>
    </row>
    <row r="151" spans="2:7" x14ac:dyDescent="0.25">
      <c r="B151" s="7" t="str">
        <f>Master[[#This Row],[Accession Prefix (NPGS)]]&amp;" "&amp;Master[[#This Row],[Accession Number -Assigned]]</f>
        <v>W6 59737</v>
      </c>
      <c r="C151" s="7" t="str">
        <f>Master[[#This Row],[Accession Prefix (NPGS)]]&amp;" "&amp;Master[[#This Row],[Accession Number -Assigned]]&amp;" **"</f>
        <v>W6 59737 **</v>
      </c>
      <c r="D151" s="76" t="str">
        <f>IF(Master[[#This Row],[Accession Name Category (Identifier 1) -Lookup Picker]]="","",Master[[#This Row],[Accession Name Category (Identifier 1) -Lookup Picker]])</f>
        <v/>
      </c>
      <c r="E151" s="76" t="str">
        <f>IF(Master[[#This Row],[Accession Name (Identifier 1)]]="","",Master[[#This Row],[Accession Name (Identifier 1)]])</f>
        <v/>
      </c>
      <c r="F151" s="45" t="str">
        <f>IF(Master[[#This Row],[Accession Name Cooperator (Identifier 1) -name, organization]]="","",Master[[#This Row],[Accession Name Cooperator (Identifier 1) -name, organization]])</f>
        <v/>
      </c>
      <c r="G151" s="7" t="str">
        <f t="shared" si="5"/>
        <v>Y</v>
      </c>
    </row>
    <row r="152" spans="2:7" x14ac:dyDescent="0.25">
      <c r="B152" s="7" t="str">
        <f>Master[[#This Row],[Accession Prefix (NPGS)]]&amp;" "&amp;Master[[#This Row],[Accession Number -Assigned]]</f>
        <v xml:space="preserve"> </v>
      </c>
      <c r="C152" s="7" t="str">
        <f>Master[[#This Row],[Accession Prefix (NPGS)]]&amp;" "&amp;Master[[#This Row],[Accession Number -Assigned]]&amp;" **"</f>
        <v xml:space="preserve">  **</v>
      </c>
      <c r="D152" s="76" t="str">
        <f>IF(Master[[#This Row],[Accession Name Category (Identifier 1) -Lookup Picker]]="","",Master[[#This Row],[Accession Name Category (Identifier 1) -Lookup Picker]])</f>
        <v/>
      </c>
      <c r="E152" s="76" t="str">
        <f>IF(Master[[#This Row],[Accession Name (Identifier 1)]]="","",Master[[#This Row],[Accession Name (Identifier 1)]])</f>
        <v/>
      </c>
      <c r="F152" s="45" t="str">
        <f>IF(Master[[#This Row],[Accession Name Cooperator (Identifier 1) -name, organization]]="","",Master[[#This Row],[Accession Name Cooperator (Identifier 1) -name, organization]])</f>
        <v/>
      </c>
      <c r="G152" s="7" t="str">
        <f t="shared" si="5"/>
        <v>Y</v>
      </c>
    </row>
    <row r="153" spans="2:7" x14ac:dyDescent="0.25">
      <c r="B153" s="7" t="str">
        <f>Master[[#This Row],[Accession Prefix (NPGS)]]&amp;" "&amp;Master[[#This Row],[Accession Number -Assigned]]</f>
        <v xml:space="preserve"> </v>
      </c>
      <c r="C153" s="7" t="str">
        <f>Master[[#This Row],[Accession Prefix (NPGS)]]&amp;" "&amp;Master[[#This Row],[Accession Number -Assigned]]&amp;" **"</f>
        <v xml:space="preserve">  **</v>
      </c>
      <c r="D153" s="76" t="str">
        <f>IF(Master[[#This Row],[Accession Name Category (Identifier 1) -Lookup Picker]]="","",Master[[#This Row],[Accession Name Category (Identifier 1) -Lookup Picker]])</f>
        <v/>
      </c>
      <c r="E153" s="76" t="str">
        <f>IF(Master[[#This Row],[Accession Name (Identifier 1)]]="","",Master[[#This Row],[Accession Name (Identifier 1)]])</f>
        <v xml:space="preserve"> </v>
      </c>
      <c r="F153" s="45" t="str">
        <f>IF(Master[[#This Row],[Accession Name Cooperator (Identifier 1) -name, organization]]="","",Master[[#This Row],[Accession Name Cooperator (Identifier 1) -name, organization]])</f>
        <v/>
      </c>
      <c r="G153" s="7" t="str">
        <f t="shared" si="5"/>
        <v>Y</v>
      </c>
    </row>
    <row r="154" spans="2:7" x14ac:dyDescent="0.25">
      <c r="B154" s="7" t="str">
        <f>Master[[#This Row],[Accession Prefix (NPGS)]]&amp;" "&amp;Master[[#This Row],[Accession Number -Assigned]]</f>
        <v xml:space="preserve"> </v>
      </c>
      <c r="C154" s="7" t="str">
        <f>Master[[#This Row],[Accession Prefix (NPGS)]]&amp;" "&amp;Master[[#This Row],[Accession Number -Assigned]]&amp;" **"</f>
        <v xml:space="preserve">  **</v>
      </c>
      <c r="D154" s="76" t="str">
        <f>IF(Master[[#This Row],[Accession Name Category (Identifier 1) -Lookup Picker]]="","",Master[[#This Row],[Accession Name Category (Identifier 1) -Lookup Picker]])</f>
        <v/>
      </c>
      <c r="E154" s="76" t="str">
        <f>IF(Master[[#This Row],[Accession Name (Identifier 1)]]="","",Master[[#This Row],[Accession Name (Identifier 1)]])</f>
        <v xml:space="preserve"> </v>
      </c>
      <c r="F154" s="45" t="str">
        <f>IF(Master[[#This Row],[Accession Name Cooperator (Identifier 1) -name, organization]]="","",Master[[#This Row],[Accession Name Cooperator (Identifier 1) -name, organization]])</f>
        <v/>
      </c>
      <c r="G154" s="7" t="str">
        <f t="shared" si="5"/>
        <v>Y</v>
      </c>
    </row>
    <row r="155" spans="2:7" x14ac:dyDescent="0.25">
      <c r="B155" s="7" t="str">
        <f>Master[[#This Row],[Accession Prefix (NPGS)]]&amp;" "&amp;Master[[#This Row],[Accession Number -Assigned]]</f>
        <v xml:space="preserve"> </v>
      </c>
      <c r="C155" s="7" t="str">
        <f>Master[[#This Row],[Accession Prefix (NPGS)]]&amp;" "&amp;Master[[#This Row],[Accession Number -Assigned]]&amp;" **"</f>
        <v xml:space="preserve">  **</v>
      </c>
      <c r="D155" s="76" t="str">
        <f>IF(Master[[#This Row],[Accession Name Category (Identifier 1) -Lookup Picker]]="","",Master[[#This Row],[Accession Name Category (Identifier 1) -Lookup Picker]])</f>
        <v/>
      </c>
      <c r="E155" s="76" t="str">
        <f>IF(Master[[#This Row],[Accession Name (Identifier 1)]]="","",Master[[#This Row],[Accession Name (Identifier 1)]])</f>
        <v xml:space="preserve"> </v>
      </c>
      <c r="F155" s="45" t="str">
        <f>IF(Master[[#This Row],[Accession Name Cooperator (Identifier 1) -name, organization]]="","",Master[[#This Row],[Accession Name Cooperator (Identifier 1) -name, organization]])</f>
        <v/>
      </c>
      <c r="G155" s="7" t="str">
        <f t="shared" si="5"/>
        <v>Y</v>
      </c>
    </row>
    <row r="156" spans="2:7" x14ac:dyDescent="0.25">
      <c r="B156" s="7" t="str">
        <f>Master[[#This Row],[Accession Prefix (NPGS)]]&amp;" "&amp;Master[[#This Row],[Accession Number -Assigned]]</f>
        <v xml:space="preserve"> </v>
      </c>
      <c r="C156" s="7" t="str">
        <f>Master[[#This Row],[Accession Prefix (NPGS)]]&amp;" "&amp;Master[[#This Row],[Accession Number -Assigned]]&amp;" **"</f>
        <v xml:space="preserve">  **</v>
      </c>
      <c r="D156" s="76" t="str">
        <f>IF(Master[[#This Row],[Accession Name Category (Identifier 1) -Lookup Picker]]="","",Master[[#This Row],[Accession Name Category (Identifier 1) -Lookup Picker]])</f>
        <v/>
      </c>
      <c r="E156" s="76" t="str">
        <f>IF(Master[[#This Row],[Accession Name (Identifier 1)]]="","",Master[[#This Row],[Accession Name (Identifier 1)]])</f>
        <v xml:space="preserve"> </v>
      </c>
      <c r="F156" s="45" t="str">
        <f>IF(Master[[#This Row],[Accession Name Cooperator (Identifier 1) -name, organization]]="","",Master[[#This Row],[Accession Name Cooperator (Identifier 1) -name, organization]])</f>
        <v/>
      </c>
      <c r="G156" s="7" t="str">
        <f t="shared" si="5"/>
        <v>Y</v>
      </c>
    </row>
    <row r="157" spans="2:7" x14ac:dyDescent="0.25">
      <c r="B157" s="7" t="str">
        <f>Master[[#This Row],[Accession Prefix (NPGS)]]&amp;" "&amp;Master[[#This Row],[Accession Number -Assigned]]</f>
        <v xml:space="preserve"> </v>
      </c>
      <c r="C157" s="7" t="str">
        <f>Master[[#This Row],[Accession Prefix (NPGS)]]&amp;" "&amp;Master[[#This Row],[Accession Number -Assigned]]&amp;" **"</f>
        <v xml:space="preserve">  **</v>
      </c>
      <c r="D157" s="76" t="str">
        <f>IF(Master[[#This Row],[Accession Name Category (Identifier 1) -Lookup Picker]]="","",Master[[#This Row],[Accession Name Category (Identifier 1) -Lookup Picker]])</f>
        <v/>
      </c>
      <c r="E157" s="76" t="str">
        <f>IF(Master[[#This Row],[Accession Name (Identifier 1)]]="","",Master[[#This Row],[Accession Name (Identifier 1)]])</f>
        <v xml:space="preserve"> </v>
      </c>
      <c r="F157" s="45" t="str">
        <f>IF(Master[[#This Row],[Accession Name Cooperator (Identifier 1) -name, organization]]="","",Master[[#This Row],[Accession Name Cooperator (Identifier 1) -name, organization]])</f>
        <v/>
      </c>
      <c r="G157" s="7" t="str">
        <f t="shared" si="5"/>
        <v>Y</v>
      </c>
    </row>
    <row r="158" spans="2:7" x14ac:dyDescent="0.25">
      <c r="B158" s="7" t="str">
        <f>Master[[#This Row],[Accession Prefix (NPGS)]]&amp;" "&amp;Master[[#This Row],[Accession Number -Assigned]]</f>
        <v xml:space="preserve"> </v>
      </c>
      <c r="C158" s="7" t="str">
        <f>Master[[#This Row],[Accession Prefix (NPGS)]]&amp;" "&amp;Master[[#This Row],[Accession Number -Assigned]]&amp;" **"</f>
        <v xml:space="preserve">  **</v>
      </c>
      <c r="D158" s="76" t="str">
        <f>IF(Master[[#This Row],[Accession Name Category (Identifier 1) -Lookup Picker]]="","",Master[[#This Row],[Accession Name Category (Identifier 1) -Lookup Picker]])</f>
        <v/>
      </c>
      <c r="E158" s="76" t="str">
        <f>IF(Master[[#This Row],[Accession Name (Identifier 1)]]="","",Master[[#This Row],[Accession Name (Identifier 1)]])</f>
        <v xml:space="preserve"> </v>
      </c>
      <c r="F158" s="45" t="str">
        <f>IF(Master[[#This Row],[Accession Name Cooperator (Identifier 1) -name, organization]]="","",Master[[#This Row],[Accession Name Cooperator (Identifier 1) -name, organization]])</f>
        <v/>
      </c>
      <c r="G158" s="7" t="str">
        <f t="shared" si="5"/>
        <v>Y</v>
      </c>
    </row>
    <row r="159" spans="2:7" x14ac:dyDescent="0.25">
      <c r="B159" s="7" t="str">
        <f>Master[[#This Row],[Accession Prefix (NPGS)]]&amp;" "&amp;Master[[#This Row],[Accession Number -Assigned]]</f>
        <v xml:space="preserve"> </v>
      </c>
      <c r="C159" s="7" t="str">
        <f>Master[[#This Row],[Accession Prefix (NPGS)]]&amp;" "&amp;Master[[#This Row],[Accession Number -Assigned]]&amp;" **"</f>
        <v xml:space="preserve">  **</v>
      </c>
      <c r="D159" s="76" t="str">
        <f>IF(Master[[#This Row],[Accession Name Category (Identifier 1) -Lookup Picker]]="","",Master[[#This Row],[Accession Name Category (Identifier 1) -Lookup Picker]])</f>
        <v/>
      </c>
      <c r="E159" s="76" t="str">
        <f>IF(Master[[#This Row],[Accession Name (Identifier 1)]]="","",Master[[#This Row],[Accession Name (Identifier 1)]])</f>
        <v xml:space="preserve"> </v>
      </c>
      <c r="F159" s="45" t="str">
        <f>IF(Master[[#This Row],[Accession Name Cooperator (Identifier 1) -name, organization]]="","",Master[[#This Row],[Accession Name Cooperator (Identifier 1) -name, organization]])</f>
        <v/>
      </c>
      <c r="G159" s="7" t="str">
        <f t="shared" si="5"/>
        <v>Y</v>
      </c>
    </row>
    <row r="160" spans="2:7" x14ac:dyDescent="0.25">
      <c r="B160" s="7" t="str">
        <f>Master[[#This Row],[Accession Prefix (NPGS)]]&amp;" "&amp;Master[[#This Row],[Accession Number -Assigned]]</f>
        <v xml:space="preserve"> </v>
      </c>
      <c r="C160" s="7" t="str">
        <f>Master[[#This Row],[Accession Prefix (NPGS)]]&amp;" "&amp;Master[[#This Row],[Accession Number -Assigned]]&amp;" **"</f>
        <v xml:space="preserve">  **</v>
      </c>
      <c r="D160" s="76" t="str">
        <f>IF(Master[[#This Row],[Accession Name Category (Identifier 1) -Lookup Picker]]="","",Master[[#This Row],[Accession Name Category (Identifier 1) -Lookup Picker]])</f>
        <v/>
      </c>
      <c r="E160" s="76" t="str">
        <f>IF(Master[[#This Row],[Accession Name (Identifier 1)]]="","",Master[[#This Row],[Accession Name (Identifier 1)]])</f>
        <v xml:space="preserve"> </v>
      </c>
      <c r="F160" s="45" t="str">
        <f>IF(Master[[#This Row],[Accession Name Cooperator (Identifier 1) -name, organization]]="","",Master[[#This Row],[Accession Name Cooperator (Identifier 1) -name, organization]])</f>
        <v/>
      </c>
      <c r="G160" s="7" t="str">
        <f t="shared" si="5"/>
        <v>Y</v>
      </c>
    </row>
    <row r="161" spans="2:7" x14ac:dyDescent="0.25">
      <c r="B161" s="7" t="str">
        <f>Master[[#This Row],[Accession Prefix (NPGS)]]&amp;" "&amp;Master[[#This Row],[Accession Number -Assigned]]</f>
        <v xml:space="preserve"> </v>
      </c>
      <c r="C161" s="7" t="str">
        <f>Master[[#This Row],[Accession Prefix (NPGS)]]&amp;" "&amp;Master[[#This Row],[Accession Number -Assigned]]&amp;" **"</f>
        <v xml:space="preserve">  **</v>
      </c>
      <c r="D161" s="76" t="str">
        <f>IF(Master[[#This Row],[Accession Name Category (Identifier 1) -Lookup Picker]]="","",Master[[#This Row],[Accession Name Category (Identifier 1) -Lookup Picker]])</f>
        <v/>
      </c>
      <c r="E161" s="76" t="str">
        <f>IF(Master[[#This Row],[Accession Name (Identifier 1)]]="","",Master[[#This Row],[Accession Name (Identifier 1)]])</f>
        <v xml:space="preserve"> </v>
      </c>
      <c r="F161" s="45" t="str">
        <f>IF(Master[[#This Row],[Accession Name Cooperator (Identifier 1) -name, organization]]="","",Master[[#This Row],[Accession Name Cooperator (Identifier 1) -name, organization]])</f>
        <v/>
      </c>
      <c r="G161" s="7" t="str">
        <f t="shared" si="5"/>
        <v>Y</v>
      </c>
    </row>
    <row r="162" spans="2:7" x14ac:dyDescent="0.25">
      <c r="B162" s="7" t="str">
        <f>Master[[#This Row],[Accession Prefix (NPGS)]]&amp;" "&amp;Master[[#This Row],[Accession Number -Assigned]]</f>
        <v xml:space="preserve"> </v>
      </c>
      <c r="C162" s="7" t="str">
        <f>Master[[#This Row],[Accession Prefix (NPGS)]]&amp;" "&amp;Master[[#This Row],[Accession Number -Assigned]]&amp;" **"</f>
        <v xml:space="preserve">  **</v>
      </c>
      <c r="D162" s="76" t="str">
        <f>IF(Master[[#This Row],[Accession Name Category (Identifier 1) -Lookup Picker]]="","",Master[[#This Row],[Accession Name Category (Identifier 1) -Lookup Picker]])</f>
        <v/>
      </c>
      <c r="E162" s="76" t="str">
        <f>IF(Master[[#This Row],[Accession Name (Identifier 1)]]="","",Master[[#This Row],[Accession Name (Identifier 1)]])</f>
        <v xml:space="preserve"> </v>
      </c>
      <c r="F162" s="45" t="str">
        <f>IF(Master[[#This Row],[Accession Name Cooperator (Identifier 1) -name, organization]]="","",Master[[#This Row],[Accession Name Cooperator (Identifier 1) -name, organization]])</f>
        <v/>
      </c>
      <c r="G162" s="7" t="str">
        <f t="shared" si="5"/>
        <v>Y</v>
      </c>
    </row>
    <row r="163" spans="2:7" x14ac:dyDescent="0.25">
      <c r="B163" s="7" t="str">
        <f>Master[[#This Row],[Accession Prefix (NPGS)]]&amp;" "&amp;Master[[#This Row],[Accession Number -Assigned]]</f>
        <v xml:space="preserve"> </v>
      </c>
      <c r="C163" s="7" t="str">
        <f>Master[[#This Row],[Accession Prefix (NPGS)]]&amp;" "&amp;Master[[#This Row],[Accession Number -Assigned]]&amp;" **"</f>
        <v xml:space="preserve">  **</v>
      </c>
      <c r="D163" s="76" t="str">
        <f>IF(Master[[#This Row],[Accession Name Category (Identifier 1) -Lookup Picker]]="","",Master[[#This Row],[Accession Name Category (Identifier 1) -Lookup Picker]])</f>
        <v/>
      </c>
      <c r="E163" s="76" t="str">
        <f>IF(Master[[#This Row],[Accession Name (Identifier 1)]]="","",Master[[#This Row],[Accession Name (Identifier 1)]])</f>
        <v xml:space="preserve"> </v>
      </c>
      <c r="F163" s="45" t="str">
        <f>IF(Master[[#This Row],[Accession Name Cooperator (Identifier 1) -name, organization]]="","",Master[[#This Row],[Accession Name Cooperator (Identifier 1) -name, organization]])</f>
        <v/>
      </c>
      <c r="G163" s="7" t="str">
        <f t="shared" si="5"/>
        <v>Y</v>
      </c>
    </row>
    <row r="164" spans="2:7" x14ac:dyDescent="0.25">
      <c r="B164" s="7" t="str">
        <f>Master[[#This Row],[Accession Prefix (NPGS)]]&amp;" "&amp;Master[[#This Row],[Accession Number -Assigned]]</f>
        <v xml:space="preserve"> </v>
      </c>
      <c r="C164" s="7" t="str">
        <f>Master[[#This Row],[Accession Prefix (NPGS)]]&amp;" "&amp;Master[[#This Row],[Accession Number -Assigned]]&amp;" **"</f>
        <v xml:space="preserve">  **</v>
      </c>
      <c r="D164" s="76" t="str">
        <f>IF(Master[[#This Row],[Accession Name Category (Identifier 1) -Lookup Picker]]="","",Master[[#This Row],[Accession Name Category (Identifier 1) -Lookup Picker]])</f>
        <v/>
      </c>
      <c r="E164" s="76" t="str">
        <f>IF(Master[[#This Row],[Accession Name (Identifier 1)]]="","",Master[[#This Row],[Accession Name (Identifier 1)]])</f>
        <v xml:space="preserve"> </v>
      </c>
      <c r="F164" s="45" t="str">
        <f>IF(Master[[#This Row],[Accession Name Cooperator (Identifier 1) -name, organization]]="","",Master[[#This Row],[Accession Name Cooperator (Identifier 1) -name, organization]])</f>
        <v/>
      </c>
      <c r="G164" s="7" t="str">
        <f t="shared" si="5"/>
        <v>Y</v>
      </c>
    </row>
    <row r="165" spans="2:7" x14ac:dyDescent="0.25">
      <c r="B165" s="7" t="str">
        <f>Master[[#This Row],[Accession Prefix (NPGS)]]&amp;" "&amp;Master[[#This Row],[Accession Number -Assigned]]</f>
        <v xml:space="preserve"> </v>
      </c>
      <c r="C165" s="7" t="str">
        <f>Master[[#This Row],[Accession Prefix (NPGS)]]&amp;" "&amp;Master[[#This Row],[Accession Number -Assigned]]&amp;" **"</f>
        <v xml:space="preserve">  **</v>
      </c>
      <c r="D165" s="76" t="str">
        <f>IF(Master[[#This Row],[Accession Name Category (Identifier 1) -Lookup Picker]]="","",Master[[#This Row],[Accession Name Category (Identifier 1) -Lookup Picker]])</f>
        <v/>
      </c>
      <c r="E165" s="76" t="str">
        <f>IF(Master[[#This Row],[Accession Name (Identifier 1)]]="","",Master[[#This Row],[Accession Name (Identifier 1)]])</f>
        <v xml:space="preserve"> </v>
      </c>
      <c r="F165" s="45" t="str">
        <f>IF(Master[[#This Row],[Accession Name Cooperator (Identifier 1) -name, organization]]="","",Master[[#This Row],[Accession Name Cooperator (Identifier 1) -name, organization]])</f>
        <v/>
      </c>
      <c r="G165" s="7" t="str">
        <f t="shared" si="5"/>
        <v>Y</v>
      </c>
    </row>
    <row r="166" spans="2:7" x14ac:dyDescent="0.25">
      <c r="B166" s="7" t="str">
        <f>Master[[#This Row],[Accession Prefix (NPGS)]]&amp;" "&amp;Master[[#This Row],[Accession Number -Assigned]]</f>
        <v xml:space="preserve"> </v>
      </c>
      <c r="C166" s="7" t="str">
        <f>Master[[#This Row],[Accession Prefix (NPGS)]]&amp;" "&amp;Master[[#This Row],[Accession Number -Assigned]]&amp;" **"</f>
        <v xml:space="preserve">  **</v>
      </c>
      <c r="D166" s="76" t="str">
        <f>IF(Master[[#This Row],[Accession Name Category (Identifier 1) -Lookup Picker]]="","",Master[[#This Row],[Accession Name Category (Identifier 1) -Lookup Picker]])</f>
        <v/>
      </c>
      <c r="E166" s="76" t="str">
        <f>IF(Master[[#This Row],[Accession Name (Identifier 1)]]="","",Master[[#This Row],[Accession Name (Identifier 1)]])</f>
        <v xml:space="preserve"> </v>
      </c>
      <c r="F166" s="45" t="str">
        <f>IF(Master[[#This Row],[Accession Name Cooperator (Identifier 1) -name, organization]]="","",Master[[#This Row],[Accession Name Cooperator (Identifier 1) -name, organization]])</f>
        <v/>
      </c>
      <c r="G166" s="7" t="str">
        <f t="shared" si="5"/>
        <v>Y</v>
      </c>
    </row>
    <row r="167" spans="2:7" x14ac:dyDescent="0.25">
      <c r="B167" s="7" t="str">
        <f>Master[[#This Row],[Accession Prefix (NPGS)]]&amp;" "&amp;Master[[#This Row],[Accession Number -Assigned]]</f>
        <v xml:space="preserve"> </v>
      </c>
      <c r="C167" s="7" t="str">
        <f>Master[[#This Row],[Accession Prefix (NPGS)]]&amp;" "&amp;Master[[#This Row],[Accession Number -Assigned]]&amp;" **"</f>
        <v xml:space="preserve">  **</v>
      </c>
      <c r="D167" s="76" t="str">
        <f>IF(Master[[#This Row],[Accession Name Category (Identifier 1) -Lookup Picker]]="","",Master[[#This Row],[Accession Name Category (Identifier 1) -Lookup Picker]])</f>
        <v/>
      </c>
      <c r="E167" s="76" t="str">
        <f>IF(Master[[#This Row],[Accession Name (Identifier 1)]]="","",Master[[#This Row],[Accession Name (Identifier 1)]])</f>
        <v xml:space="preserve"> </v>
      </c>
      <c r="F167" s="45" t="str">
        <f>IF(Master[[#This Row],[Accession Name Cooperator (Identifier 1) -name, organization]]="","",Master[[#This Row],[Accession Name Cooperator (Identifier 1) -name, organization]])</f>
        <v/>
      </c>
      <c r="G167" s="7" t="str">
        <f t="shared" si="5"/>
        <v>Y</v>
      </c>
    </row>
    <row r="168" spans="2:7" x14ac:dyDescent="0.25">
      <c r="B168" s="7" t="str">
        <f>Master[[#This Row],[Accession Prefix (NPGS)]]&amp;" "&amp;Master[[#This Row],[Accession Number -Assigned]]</f>
        <v xml:space="preserve"> </v>
      </c>
      <c r="C168" s="7" t="str">
        <f>Master[[#This Row],[Accession Prefix (NPGS)]]&amp;" "&amp;Master[[#This Row],[Accession Number -Assigned]]&amp;" **"</f>
        <v xml:space="preserve">  **</v>
      </c>
      <c r="D168" s="76" t="str">
        <f>IF(Master[[#This Row],[Accession Name Category (Identifier 1) -Lookup Picker]]="","",Master[[#This Row],[Accession Name Category (Identifier 1) -Lookup Picker]])</f>
        <v/>
      </c>
      <c r="E168" s="76" t="str">
        <f>IF(Master[[#This Row],[Accession Name (Identifier 1)]]="","",Master[[#This Row],[Accession Name (Identifier 1)]])</f>
        <v xml:space="preserve"> </v>
      </c>
      <c r="F168" s="45" t="str">
        <f>IF(Master[[#This Row],[Accession Name Cooperator (Identifier 1) -name, organization]]="","",Master[[#This Row],[Accession Name Cooperator (Identifier 1) -name, organization]])</f>
        <v/>
      </c>
      <c r="G168" s="7" t="str">
        <f t="shared" si="5"/>
        <v>Y</v>
      </c>
    </row>
    <row r="169" spans="2:7" x14ac:dyDescent="0.25">
      <c r="B169" s="7" t="str">
        <f>Master[[#This Row],[Accession Prefix (NPGS)]]&amp;" "&amp;Master[[#This Row],[Accession Number -Assigned]]</f>
        <v xml:space="preserve"> </v>
      </c>
      <c r="C169" s="7" t="str">
        <f>Master[[#This Row],[Accession Prefix (NPGS)]]&amp;" "&amp;Master[[#This Row],[Accession Number -Assigned]]&amp;" **"</f>
        <v xml:space="preserve">  **</v>
      </c>
      <c r="D169" s="76" t="str">
        <f>IF(Master[[#This Row],[Accession Name Category (Identifier 1) -Lookup Picker]]="","",Master[[#This Row],[Accession Name Category (Identifier 1) -Lookup Picker]])</f>
        <v/>
      </c>
      <c r="E169" s="76" t="str">
        <f>IF(Master[[#This Row],[Accession Name (Identifier 1)]]="","",Master[[#This Row],[Accession Name (Identifier 1)]])</f>
        <v xml:space="preserve"> </v>
      </c>
      <c r="F169" s="45" t="str">
        <f>IF(Master[[#This Row],[Accession Name Cooperator (Identifier 1) -name, organization]]="","",Master[[#This Row],[Accession Name Cooperator (Identifier 1) -name, organization]])</f>
        <v/>
      </c>
      <c r="G169" s="7" t="str">
        <f t="shared" si="5"/>
        <v>Y</v>
      </c>
    </row>
    <row r="170" spans="2:7" x14ac:dyDescent="0.25">
      <c r="B170" s="7" t="str">
        <f>Master[[#This Row],[Accession Prefix (NPGS)]]&amp;" "&amp;Master[[#This Row],[Accession Number -Assigned]]</f>
        <v xml:space="preserve"> </v>
      </c>
      <c r="C170" s="7" t="str">
        <f>Master[[#This Row],[Accession Prefix (NPGS)]]&amp;" "&amp;Master[[#This Row],[Accession Number -Assigned]]&amp;" **"</f>
        <v xml:space="preserve">  **</v>
      </c>
      <c r="D170" s="76" t="str">
        <f>IF(Master[[#This Row],[Accession Name Category (Identifier 1) -Lookup Picker]]="","",Master[[#This Row],[Accession Name Category (Identifier 1) -Lookup Picker]])</f>
        <v/>
      </c>
      <c r="E170" s="76" t="str">
        <f>IF(Master[[#This Row],[Accession Name (Identifier 1)]]="","",Master[[#This Row],[Accession Name (Identifier 1)]])</f>
        <v xml:space="preserve"> </v>
      </c>
      <c r="F170" s="45" t="str">
        <f>IF(Master[[#This Row],[Accession Name Cooperator (Identifier 1) -name, organization]]="","",Master[[#This Row],[Accession Name Cooperator (Identifier 1) -name, organization]])</f>
        <v/>
      </c>
      <c r="G170" s="7" t="str">
        <f t="shared" si="5"/>
        <v>Y</v>
      </c>
    </row>
    <row r="171" spans="2:7" x14ac:dyDescent="0.25">
      <c r="B171" s="7" t="str">
        <f>Master[[#This Row],[Accession Prefix (NPGS)]]&amp;" "&amp;Master[[#This Row],[Accession Number -Assigned]]</f>
        <v xml:space="preserve"> </v>
      </c>
      <c r="C171" s="7" t="str">
        <f>Master[[#This Row],[Accession Prefix (NPGS)]]&amp;" "&amp;Master[[#This Row],[Accession Number -Assigned]]&amp;" **"</f>
        <v xml:space="preserve">  **</v>
      </c>
      <c r="D171" s="76" t="str">
        <f>IF(Master[[#This Row],[Accession Name Category (Identifier 1) -Lookup Picker]]="","",Master[[#This Row],[Accession Name Category (Identifier 1) -Lookup Picker]])</f>
        <v/>
      </c>
      <c r="E171" s="76" t="str">
        <f>IF(Master[[#This Row],[Accession Name (Identifier 1)]]="","",Master[[#This Row],[Accession Name (Identifier 1)]])</f>
        <v xml:space="preserve"> </v>
      </c>
      <c r="F171" s="45" t="str">
        <f>IF(Master[[#This Row],[Accession Name Cooperator (Identifier 1) -name, organization]]="","",Master[[#This Row],[Accession Name Cooperator (Identifier 1) -name, organization]])</f>
        <v/>
      </c>
      <c r="G171" s="7" t="str">
        <f t="shared" si="5"/>
        <v>Y</v>
      </c>
    </row>
    <row r="172" spans="2:7" x14ac:dyDescent="0.25">
      <c r="B172" s="7" t="str">
        <f>Master[[#This Row],[Accession Prefix (NPGS)]]&amp;" "&amp;Master[[#This Row],[Accession Number -Assigned]]</f>
        <v xml:space="preserve"> </v>
      </c>
      <c r="C172" s="7" t="str">
        <f>Master[[#This Row],[Accession Prefix (NPGS)]]&amp;" "&amp;Master[[#This Row],[Accession Number -Assigned]]&amp;" **"</f>
        <v xml:space="preserve">  **</v>
      </c>
      <c r="D172" s="76" t="str">
        <f>IF(Master[[#This Row],[Accession Name Category (Identifier 1) -Lookup Picker]]="","",Master[[#This Row],[Accession Name Category (Identifier 1) -Lookup Picker]])</f>
        <v/>
      </c>
      <c r="E172" s="76" t="str">
        <f>IF(Master[[#This Row],[Accession Name (Identifier 1)]]="","",Master[[#This Row],[Accession Name (Identifier 1)]])</f>
        <v xml:space="preserve"> </v>
      </c>
      <c r="F172" s="45" t="str">
        <f>IF(Master[[#This Row],[Accession Name Cooperator (Identifier 1) -name, organization]]="","",Master[[#This Row],[Accession Name Cooperator (Identifier 1) -name, organization]])</f>
        <v/>
      </c>
      <c r="G172" s="7" t="str">
        <f t="shared" si="5"/>
        <v>Y</v>
      </c>
    </row>
    <row r="173" spans="2:7" x14ac:dyDescent="0.25">
      <c r="B173" s="7" t="str">
        <f>Master[[#This Row],[Accession Prefix (NPGS)]]&amp;" "&amp;Master[[#This Row],[Accession Number -Assigned]]</f>
        <v xml:space="preserve"> </v>
      </c>
      <c r="C173" s="7" t="str">
        <f>Master[[#This Row],[Accession Prefix (NPGS)]]&amp;" "&amp;Master[[#This Row],[Accession Number -Assigned]]&amp;" **"</f>
        <v xml:space="preserve">  **</v>
      </c>
      <c r="D173" s="76" t="str">
        <f>IF(Master[[#This Row],[Accession Name Category (Identifier 1) -Lookup Picker]]="","",Master[[#This Row],[Accession Name Category (Identifier 1) -Lookup Picker]])</f>
        <v/>
      </c>
      <c r="E173" s="76" t="str">
        <f>IF(Master[[#This Row],[Accession Name (Identifier 1)]]="","",Master[[#This Row],[Accession Name (Identifier 1)]])</f>
        <v xml:space="preserve"> </v>
      </c>
      <c r="F173" s="45" t="str">
        <f>IF(Master[[#This Row],[Accession Name Cooperator (Identifier 1) -name, organization]]="","",Master[[#This Row],[Accession Name Cooperator (Identifier 1) -name, organization]])</f>
        <v/>
      </c>
      <c r="G173" s="7" t="str">
        <f t="shared" si="5"/>
        <v>Y</v>
      </c>
    </row>
    <row r="174" spans="2:7" x14ac:dyDescent="0.25">
      <c r="B174" s="7" t="str">
        <f>Master[[#This Row],[Accession Prefix (NPGS)]]&amp;" "&amp;Master[[#This Row],[Accession Number -Assigned]]</f>
        <v xml:space="preserve"> </v>
      </c>
      <c r="C174" s="7" t="str">
        <f>Master[[#This Row],[Accession Prefix (NPGS)]]&amp;" "&amp;Master[[#This Row],[Accession Number -Assigned]]&amp;" **"</f>
        <v xml:space="preserve">  **</v>
      </c>
      <c r="D174" s="76" t="str">
        <f>IF(Master[[#This Row],[Accession Name Category (Identifier 1) -Lookup Picker]]="","",Master[[#This Row],[Accession Name Category (Identifier 1) -Lookup Picker]])</f>
        <v/>
      </c>
      <c r="E174" s="76" t="str">
        <f>IF(Master[[#This Row],[Accession Name (Identifier 1)]]="","",Master[[#This Row],[Accession Name (Identifier 1)]])</f>
        <v xml:space="preserve"> </v>
      </c>
      <c r="F174" s="45" t="str">
        <f>IF(Master[[#This Row],[Accession Name Cooperator (Identifier 1) -name, organization]]="","",Master[[#This Row],[Accession Name Cooperator (Identifier 1) -name, organization]])</f>
        <v/>
      </c>
      <c r="G174" s="7" t="str">
        <f t="shared" si="5"/>
        <v>Y</v>
      </c>
    </row>
    <row r="175" spans="2:7" x14ac:dyDescent="0.25">
      <c r="B175" s="7" t="str">
        <f>Master[[#This Row],[Accession Prefix (NPGS)]]&amp;" "&amp;Master[[#This Row],[Accession Number -Assigned]]</f>
        <v xml:space="preserve"> </v>
      </c>
      <c r="C175" s="7" t="str">
        <f>Master[[#This Row],[Accession Prefix (NPGS)]]&amp;" "&amp;Master[[#This Row],[Accession Number -Assigned]]&amp;" **"</f>
        <v xml:space="preserve">  **</v>
      </c>
      <c r="D175" s="76" t="str">
        <f>IF(Master[[#This Row],[Accession Name Category (Identifier 1) -Lookup Picker]]="","",Master[[#This Row],[Accession Name Category (Identifier 1) -Lookup Picker]])</f>
        <v/>
      </c>
      <c r="E175" s="76" t="str">
        <f>IF(Master[[#This Row],[Accession Name (Identifier 1)]]="","",Master[[#This Row],[Accession Name (Identifier 1)]])</f>
        <v xml:space="preserve"> </v>
      </c>
      <c r="F175" s="45" t="str">
        <f>IF(Master[[#This Row],[Accession Name Cooperator (Identifier 1) -name, organization]]="","",Master[[#This Row],[Accession Name Cooperator (Identifier 1) -name, organization]])</f>
        <v/>
      </c>
      <c r="G175" s="7" t="str">
        <f t="shared" si="5"/>
        <v>Y</v>
      </c>
    </row>
    <row r="176" spans="2:7" x14ac:dyDescent="0.25">
      <c r="B176" s="7" t="str">
        <f>Master[[#This Row],[Accession Prefix (NPGS)]]&amp;" "&amp;Master[[#This Row],[Accession Number -Assigned]]</f>
        <v xml:space="preserve"> </v>
      </c>
      <c r="C176" s="7" t="str">
        <f>Master[[#This Row],[Accession Prefix (NPGS)]]&amp;" "&amp;Master[[#This Row],[Accession Number -Assigned]]&amp;" **"</f>
        <v xml:space="preserve">  **</v>
      </c>
      <c r="D176" s="76" t="str">
        <f>IF(Master[[#This Row],[Accession Name Category (Identifier 1) -Lookup Picker]]="","",Master[[#This Row],[Accession Name Category (Identifier 1) -Lookup Picker]])</f>
        <v/>
      </c>
      <c r="E176" s="76" t="str">
        <f>IF(Master[[#This Row],[Accession Name (Identifier 1)]]="","",Master[[#This Row],[Accession Name (Identifier 1)]])</f>
        <v xml:space="preserve"> </v>
      </c>
      <c r="F176" s="45" t="str">
        <f>IF(Master[[#This Row],[Accession Name Cooperator (Identifier 1) -name, organization]]="","",Master[[#This Row],[Accession Name Cooperator (Identifier 1) -name, organization]])</f>
        <v/>
      </c>
      <c r="G176" s="7" t="str">
        <f t="shared" si="5"/>
        <v>Y</v>
      </c>
    </row>
    <row r="177" spans="2:7" x14ac:dyDescent="0.25">
      <c r="B177" s="7" t="str">
        <f>Master[[#This Row],[Accession Prefix (NPGS)]]&amp;" "&amp;Master[[#This Row],[Accession Number -Assigned]]</f>
        <v xml:space="preserve"> </v>
      </c>
      <c r="C177" s="7" t="str">
        <f>Master[[#This Row],[Accession Prefix (NPGS)]]&amp;" "&amp;Master[[#This Row],[Accession Number -Assigned]]&amp;" **"</f>
        <v xml:space="preserve">  **</v>
      </c>
      <c r="D177" s="76" t="str">
        <f>IF(Master[[#This Row],[Accession Name Category (Identifier 1) -Lookup Picker]]="","",Master[[#This Row],[Accession Name Category (Identifier 1) -Lookup Picker]])</f>
        <v/>
      </c>
      <c r="E177" s="76" t="str">
        <f>IF(Master[[#This Row],[Accession Name (Identifier 1)]]="","",Master[[#This Row],[Accession Name (Identifier 1)]])</f>
        <v xml:space="preserve"> </v>
      </c>
      <c r="F177" s="45" t="str">
        <f>IF(Master[[#This Row],[Accession Name Cooperator (Identifier 1) -name, organization]]="","",Master[[#This Row],[Accession Name Cooperator (Identifier 1) -name, organization]])</f>
        <v/>
      </c>
      <c r="G177" s="7" t="str">
        <f t="shared" si="5"/>
        <v>Y</v>
      </c>
    </row>
    <row r="178" spans="2:7" x14ac:dyDescent="0.25">
      <c r="B178" s="7" t="str">
        <f>Master[[#This Row],[Accession Prefix (NPGS)]]&amp;" "&amp;Master[[#This Row],[Accession Number -Assigned]]</f>
        <v xml:space="preserve"> </v>
      </c>
      <c r="C178" s="7" t="str">
        <f>Master[[#This Row],[Accession Prefix (NPGS)]]&amp;" "&amp;Master[[#This Row],[Accession Number -Assigned]]&amp;" **"</f>
        <v xml:space="preserve">  **</v>
      </c>
      <c r="D178" s="76" t="str">
        <f>IF(Master[[#This Row],[Accession Name Category (Identifier 1) -Lookup Picker]]="","",Master[[#This Row],[Accession Name Category (Identifier 1) -Lookup Picker]])</f>
        <v/>
      </c>
      <c r="E178" s="76" t="str">
        <f>IF(Master[[#This Row],[Accession Name (Identifier 1)]]="","",Master[[#This Row],[Accession Name (Identifier 1)]])</f>
        <v xml:space="preserve"> </v>
      </c>
      <c r="F178" s="45" t="str">
        <f>IF(Master[[#This Row],[Accession Name Cooperator (Identifier 1) -name, organization]]="","",Master[[#This Row],[Accession Name Cooperator (Identifier 1) -name, organization]])</f>
        <v/>
      </c>
      <c r="G178" s="7" t="str">
        <f t="shared" si="5"/>
        <v>Y</v>
      </c>
    </row>
    <row r="179" spans="2:7" x14ac:dyDescent="0.25">
      <c r="B179" s="7" t="str">
        <f>Master[[#This Row],[Accession Prefix (NPGS)]]&amp;" "&amp;Master[[#This Row],[Accession Number -Assigned]]</f>
        <v xml:space="preserve"> </v>
      </c>
      <c r="C179" s="7" t="str">
        <f>Master[[#This Row],[Accession Prefix (NPGS)]]&amp;" "&amp;Master[[#This Row],[Accession Number -Assigned]]&amp;" **"</f>
        <v xml:space="preserve">  **</v>
      </c>
      <c r="D179" s="76" t="str">
        <f>IF(Master[[#This Row],[Accession Name Category (Identifier 1) -Lookup Picker]]="","",Master[[#This Row],[Accession Name Category (Identifier 1) -Lookup Picker]])</f>
        <v/>
      </c>
      <c r="E179" s="76" t="str">
        <f>IF(Master[[#This Row],[Accession Name (Identifier 1)]]="","",Master[[#This Row],[Accession Name (Identifier 1)]])</f>
        <v xml:space="preserve"> </v>
      </c>
      <c r="F179" s="45" t="str">
        <f>IF(Master[[#This Row],[Accession Name Cooperator (Identifier 1) -name, organization]]="","",Master[[#This Row],[Accession Name Cooperator (Identifier 1) -name, organization]])</f>
        <v/>
      </c>
      <c r="G179" s="7" t="str">
        <f t="shared" si="5"/>
        <v>Y</v>
      </c>
    </row>
    <row r="180" spans="2:7" x14ac:dyDescent="0.25">
      <c r="B180" s="7" t="str">
        <f>Master[[#This Row],[Accession Prefix (NPGS)]]&amp;" "&amp;Master[[#This Row],[Accession Number -Assigned]]</f>
        <v xml:space="preserve"> </v>
      </c>
      <c r="C180" s="7" t="str">
        <f>Master[[#This Row],[Accession Prefix (NPGS)]]&amp;" "&amp;Master[[#This Row],[Accession Number -Assigned]]&amp;" **"</f>
        <v xml:space="preserve">  **</v>
      </c>
      <c r="D180" s="76" t="str">
        <f>IF(Master[[#This Row],[Accession Name Category (Identifier 1) -Lookup Picker]]="","",Master[[#This Row],[Accession Name Category (Identifier 1) -Lookup Picker]])</f>
        <v/>
      </c>
      <c r="E180" s="76" t="str">
        <f>IF(Master[[#This Row],[Accession Name (Identifier 1)]]="","",Master[[#This Row],[Accession Name (Identifier 1)]])</f>
        <v xml:space="preserve"> </v>
      </c>
      <c r="F180" s="45" t="str">
        <f>IF(Master[[#This Row],[Accession Name Cooperator (Identifier 1) -name, organization]]="","",Master[[#This Row],[Accession Name Cooperator (Identifier 1) -name, organization]])</f>
        <v/>
      </c>
      <c r="G180" s="7" t="str">
        <f t="shared" si="5"/>
        <v>Y</v>
      </c>
    </row>
    <row r="181" spans="2:7" x14ac:dyDescent="0.25">
      <c r="B181" s="7" t="str">
        <f>Master[[#This Row],[Accession Prefix (NPGS)]]&amp;" "&amp;Master[[#This Row],[Accession Number -Assigned]]</f>
        <v xml:space="preserve"> </v>
      </c>
      <c r="C181" s="7" t="str">
        <f>Master[[#This Row],[Accession Prefix (NPGS)]]&amp;" "&amp;Master[[#This Row],[Accession Number -Assigned]]&amp;" **"</f>
        <v xml:space="preserve">  **</v>
      </c>
      <c r="D181" s="76" t="str">
        <f>IF(Master[[#This Row],[Accession Name Category (Identifier 1) -Lookup Picker]]="","",Master[[#This Row],[Accession Name Category (Identifier 1) -Lookup Picker]])</f>
        <v/>
      </c>
      <c r="E181" s="76" t="str">
        <f>IF(Master[[#This Row],[Accession Name (Identifier 1)]]="","",Master[[#This Row],[Accession Name (Identifier 1)]])</f>
        <v xml:space="preserve"> </v>
      </c>
      <c r="F181" s="45" t="str">
        <f>IF(Master[[#This Row],[Accession Name Cooperator (Identifier 1) -name, organization]]="","",Master[[#This Row],[Accession Name Cooperator (Identifier 1) -name, organization]])</f>
        <v/>
      </c>
      <c r="G181" s="7" t="str">
        <f t="shared" si="5"/>
        <v>Y</v>
      </c>
    </row>
    <row r="182" spans="2:7" x14ac:dyDescent="0.25">
      <c r="B182" s="7" t="str">
        <f>Master[[#This Row],[Accession Prefix (NPGS)]]&amp;" "&amp;Master[[#This Row],[Accession Number -Assigned]]</f>
        <v xml:space="preserve"> </v>
      </c>
      <c r="C182" s="7" t="str">
        <f>Master[[#This Row],[Accession Prefix (NPGS)]]&amp;" "&amp;Master[[#This Row],[Accession Number -Assigned]]&amp;" **"</f>
        <v xml:space="preserve">  **</v>
      </c>
      <c r="D182" s="76" t="str">
        <f>IF(Master[[#This Row],[Accession Name Category (Identifier 1) -Lookup Picker]]="","",Master[[#This Row],[Accession Name Category (Identifier 1) -Lookup Picker]])</f>
        <v/>
      </c>
      <c r="E182" s="76" t="str">
        <f>IF(Master[[#This Row],[Accession Name (Identifier 1)]]="","",Master[[#This Row],[Accession Name (Identifier 1)]])</f>
        <v xml:space="preserve"> </v>
      </c>
      <c r="F182" s="45" t="str">
        <f>IF(Master[[#This Row],[Accession Name Cooperator (Identifier 1) -name, organization]]="","",Master[[#This Row],[Accession Name Cooperator (Identifier 1) -name, organization]])</f>
        <v/>
      </c>
      <c r="G182" s="7" t="str">
        <f t="shared" ref="G182:G201" si="6">"Y"</f>
        <v>Y</v>
      </c>
    </row>
    <row r="183" spans="2:7" x14ac:dyDescent="0.25">
      <c r="B183" s="7" t="str">
        <f>Master[[#This Row],[Accession Prefix (NPGS)]]&amp;" "&amp;Master[[#This Row],[Accession Number -Assigned]]</f>
        <v xml:space="preserve"> </v>
      </c>
      <c r="C183" s="7" t="str">
        <f>Master[[#This Row],[Accession Prefix (NPGS)]]&amp;" "&amp;Master[[#This Row],[Accession Number -Assigned]]&amp;" **"</f>
        <v xml:space="preserve">  **</v>
      </c>
      <c r="D183" s="76" t="str">
        <f>IF(Master[[#This Row],[Accession Name Category (Identifier 1) -Lookup Picker]]="","",Master[[#This Row],[Accession Name Category (Identifier 1) -Lookup Picker]])</f>
        <v/>
      </c>
      <c r="E183" s="76" t="str">
        <f>IF(Master[[#This Row],[Accession Name (Identifier 1)]]="","",Master[[#This Row],[Accession Name (Identifier 1)]])</f>
        <v xml:space="preserve"> </v>
      </c>
      <c r="F183" s="45" t="str">
        <f>IF(Master[[#This Row],[Accession Name Cooperator (Identifier 1) -name, organization]]="","",Master[[#This Row],[Accession Name Cooperator (Identifier 1) -name, organization]])</f>
        <v/>
      </c>
      <c r="G183" s="7" t="str">
        <f t="shared" si="6"/>
        <v>Y</v>
      </c>
    </row>
    <row r="184" spans="2:7" x14ac:dyDescent="0.25">
      <c r="B184" s="7" t="str">
        <f>Master[[#This Row],[Accession Prefix (NPGS)]]&amp;" "&amp;Master[[#This Row],[Accession Number -Assigned]]</f>
        <v xml:space="preserve"> </v>
      </c>
      <c r="C184" s="7" t="str">
        <f>Master[[#This Row],[Accession Prefix (NPGS)]]&amp;" "&amp;Master[[#This Row],[Accession Number -Assigned]]&amp;" **"</f>
        <v xml:space="preserve">  **</v>
      </c>
      <c r="D184" s="76" t="str">
        <f>IF(Master[[#This Row],[Accession Name Category (Identifier 1) -Lookup Picker]]="","",Master[[#This Row],[Accession Name Category (Identifier 1) -Lookup Picker]])</f>
        <v/>
      </c>
      <c r="E184" s="76" t="str">
        <f>IF(Master[[#This Row],[Accession Name (Identifier 1)]]="","",Master[[#This Row],[Accession Name (Identifier 1)]])</f>
        <v xml:space="preserve"> </v>
      </c>
      <c r="F184" s="45" t="str">
        <f>IF(Master[[#This Row],[Accession Name Cooperator (Identifier 1) -name, organization]]="","",Master[[#This Row],[Accession Name Cooperator (Identifier 1) -name, organization]])</f>
        <v/>
      </c>
      <c r="G184" s="7" t="str">
        <f t="shared" si="6"/>
        <v>Y</v>
      </c>
    </row>
    <row r="185" spans="2:7" x14ac:dyDescent="0.25">
      <c r="B185" s="7" t="str">
        <f>Master[[#This Row],[Accession Prefix (NPGS)]]&amp;" "&amp;Master[[#This Row],[Accession Number -Assigned]]</f>
        <v xml:space="preserve"> </v>
      </c>
      <c r="C185" s="7" t="str">
        <f>Master[[#This Row],[Accession Prefix (NPGS)]]&amp;" "&amp;Master[[#This Row],[Accession Number -Assigned]]&amp;" **"</f>
        <v xml:space="preserve">  **</v>
      </c>
      <c r="D185" s="76" t="str">
        <f>IF(Master[[#This Row],[Accession Name Category (Identifier 1) -Lookup Picker]]="","",Master[[#This Row],[Accession Name Category (Identifier 1) -Lookup Picker]])</f>
        <v/>
      </c>
      <c r="E185" s="76" t="str">
        <f>IF(Master[[#This Row],[Accession Name (Identifier 1)]]="","",Master[[#This Row],[Accession Name (Identifier 1)]])</f>
        <v xml:space="preserve"> </v>
      </c>
      <c r="F185" s="45" t="str">
        <f>IF(Master[[#This Row],[Accession Name Cooperator (Identifier 1) -name, organization]]="","",Master[[#This Row],[Accession Name Cooperator (Identifier 1) -name, organization]])</f>
        <v/>
      </c>
      <c r="G185" s="7" t="str">
        <f t="shared" si="6"/>
        <v>Y</v>
      </c>
    </row>
    <row r="186" spans="2:7" x14ac:dyDescent="0.25">
      <c r="B186" s="7" t="str">
        <f>Master[[#This Row],[Accession Prefix (NPGS)]]&amp;" "&amp;Master[[#This Row],[Accession Number -Assigned]]</f>
        <v xml:space="preserve"> </v>
      </c>
      <c r="C186" s="7" t="str">
        <f>Master[[#This Row],[Accession Prefix (NPGS)]]&amp;" "&amp;Master[[#This Row],[Accession Number -Assigned]]&amp;" **"</f>
        <v xml:space="preserve">  **</v>
      </c>
      <c r="D186" s="76" t="str">
        <f>IF(Master[[#This Row],[Accession Name Category (Identifier 1) -Lookup Picker]]="","",Master[[#This Row],[Accession Name Category (Identifier 1) -Lookup Picker]])</f>
        <v/>
      </c>
      <c r="E186" s="76" t="str">
        <f>IF(Master[[#This Row],[Accession Name (Identifier 1)]]="","",Master[[#This Row],[Accession Name (Identifier 1)]])</f>
        <v xml:space="preserve"> </v>
      </c>
      <c r="F186" s="45" t="str">
        <f>IF(Master[[#This Row],[Accession Name Cooperator (Identifier 1) -name, organization]]="","",Master[[#This Row],[Accession Name Cooperator (Identifier 1) -name, organization]])</f>
        <v/>
      </c>
      <c r="G186" s="7" t="str">
        <f t="shared" si="6"/>
        <v>Y</v>
      </c>
    </row>
    <row r="187" spans="2:7" x14ac:dyDescent="0.25">
      <c r="B187" s="7" t="str">
        <f>Master[[#This Row],[Accession Prefix (NPGS)]]&amp;" "&amp;Master[[#This Row],[Accession Number -Assigned]]</f>
        <v xml:space="preserve"> </v>
      </c>
      <c r="C187" s="7" t="str">
        <f>Master[[#This Row],[Accession Prefix (NPGS)]]&amp;" "&amp;Master[[#This Row],[Accession Number -Assigned]]&amp;" **"</f>
        <v xml:space="preserve">  **</v>
      </c>
      <c r="D187" s="76" t="str">
        <f>IF(Master[[#This Row],[Accession Name Category (Identifier 1) -Lookup Picker]]="","",Master[[#This Row],[Accession Name Category (Identifier 1) -Lookup Picker]])</f>
        <v/>
      </c>
      <c r="E187" s="76" t="str">
        <f>IF(Master[[#This Row],[Accession Name (Identifier 1)]]="","",Master[[#This Row],[Accession Name (Identifier 1)]])</f>
        <v xml:space="preserve"> </v>
      </c>
      <c r="F187" s="45" t="str">
        <f>IF(Master[[#This Row],[Accession Name Cooperator (Identifier 1) -name, organization]]="","",Master[[#This Row],[Accession Name Cooperator (Identifier 1) -name, organization]])</f>
        <v/>
      </c>
      <c r="G187" s="7" t="str">
        <f t="shared" si="6"/>
        <v>Y</v>
      </c>
    </row>
    <row r="188" spans="2:7" x14ac:dyDescent="0.25">
      <c r="B188" s="7" t="str">
        <f>Master[[#This Row],[Accession Prefix (NPGS)]]&amp;" "&amp;Master[[#This Row],[Accession Number -Assigned]]</f>
        <v xml:space="preserve"> </v>
      </c>
      <c r="C188" s="7" t="str">
        <f>Master[[#This Row],[Accession Prefix (NPGS)]]&amp;" "&amp;Master[[#This Row],[Accession Number -Assigned]]&amp;" **"</f>
        <v xml:space="preserve">  **</v>
      </c>
      <c r="D188" s="76" t="str">
        <f>IF(Master[[#This Row],[Accession Name Category (Identifier 1) -Lookup Picker]]="","",Master[[#This Row],[Accession Name Category (Identifier 1) -Lookup Picker]])</f>
        <v/>
      </c>
      <c r="E188" s="76" t="str">
        <f>IF(Master[[#This Row],[Accession Name (Identifier 1)]]="","",Master[[#This Row],[Accession Name (Identifier 1)]])</f>
        <v xml:space="preserve"> </v>
      </c>
      <c r="F188" s="45" t="str">
        <f>IF(Master[[#This Row],[Accession Name Cooperator (Identifier 1) -name, organization]]="","",Master[[#This Row],[Accession Name Cooperator (Identifier 1) -name, organization]])</f>
        <v/>
      </c>
      <c r="G188" s="7" t="str">
        <f t="shared" si="6"/>
        <v>Y</v>
      </c>
    </row>
    <row r="189" spans="2:7" x14ac:dyDescent="0.25">
      <c r="B189" s="7" t="str">
        <f>Master[[#This Row],[Accession Prefix (NPGS)]]&amp;" "&amp;Master[[#This Row],[Accession Number -Assigned]]</f>
        <v xml:space="preserve"> </v>
      </c>
      <c r="C189" s="7" t="str">
        <f>Master[[#This Row],[Accession Prefix (NPGS)]]&amp;" "&amp;Master[[#This Row],[Accession Number -Assigned]]&amp;" **"</f>
        <v xml:space="preserve">  **</v>
      </c>
      <c r="D189" s="76" t="str">
        <f>IF(Master[[#This Row],[Accession Name Category (Identifier 1) -Lookup Picker]]="","",Master[[#This Row],[Accession Name Category (Identifier 1) -Lookup Picker]])</f>
        <v/>
      </c>
      <c r="E189" s="76" t="str">
        <f>IF(Master[[#This Row],[Accession Name (Identifier 1)]]="","",Master[[#This Row],[Accession Name (Identifier 1)]])</f>
        <v xml:space="preserve"> </v>
      </c>
      <c r="F189" s="45" t="str">
        <f>IF(Master[[#This Row],[Accession Name Cooperator (Identifier 1) -name, organization]]="","",Master[[#This Row],[Accession Name Cooperator (Identifier 1) -name, organization]])</f>
        <v/>
      </c>
      <c r="G189" s="7" t="str">
        <f t="shared" si="6"/>
        <v>Y</v>
      </c>
    </row>
    <row r="190" spans="2:7" x14ac:dyDescent="0.25">
      <c r="B190" s="7" t="str">
        <f>Master[[#This Row],[Accession Prefix (NPGS)]]&amp;" "&amp;Master[[#This Row],[Accession Number -Assigned]]</f>
        <v xml:space="preserve"> </v>
      </c>
      <c r="C190" s="7" t="str">
        <f>Master[[#This Row],[Accession Prefix (NPGS)]]&amp;" "&amp;Master[[#This Row],[Accession Number -Assigned]]&amp;" **"</f>
        <v xml:space="preserve">  **</v>
      </c>
      <c r="D190" s="76" t="str">
        <f>IF(Master[[#This Row],[Accession Name Category (Identifier 1) -Lookup Picker]]="","",Master[[#This Row],[Accession Name Category (Identifier 1) -Lookup Picker]])</f>
        <v/>
      </c>
      <c r="E190" s="76" t="str">
        <f>IF(Master[[#This Row],[Accession Name (Identifier 1)]]="","",Master[[#This Row],[Accession Name (Identifier 1)]])</f>
        <v xml:space="preserve"> </v>
      </c>
      <c r="F190" s="45" t="str">
        <f>IF(Master[[#This Row],[Accession Name Cooperator (Identifier 1) -name, organization]]="","",Master[[#This Row],[Accession Name Cooperator (Identifier 1) -name, organization]])</f>
        <v/>
      </c>
      <c r="G190" s="7" t="str">
        <f t="shared" si="6"/>
        <v>Y</v>
      </c>
    </row>
    <row r="191" spans="2:7" x14ac:dyDescent="0.25">
      <c r="B191" s="7" t="str">
        <f>Master[[#This Row],[Accession Prefix (NPGS)]]&amp;" "&amp;Master[[#This Row],[Accession Number -Assigned]]</f>
        <v xml:space="preserve"> </v>
      </c>
      <c r="C191" s="7" t="str">
        <f>Master[[#This Row],[Accession Prefix (NPGS)]]&amp;" "&amp;Master[[#This Row],[Accession Number -Assigned]]&amp;" **"</f>
        <v xml:space="preserve">  **</v>
      </c>
      <c r="D191" s="76" t="str">
        <f>IF(Master[[#This Row],[Accession Name Category (Identifier 1) -Lookup Picker]]="","",Master[[#This Row],[Accession Name Category (Identifier 1) -Lookup Picker]])</f>
        <v/>
      </c>
      <c r="E191" s="76" t="str">
        <f>IF(Master[[#This Row],[Accession Name (Identifier 1)]]="","",Master[[#This Row],[Accession Name (Identifier 1)]])</f>
        <v xml:space="preserve"> </v>
      </c>
      <c r="F191" s="45" t="str">
        <f>IF(Master[[#This Row],[Accession Name Cooperator (Identifier 1) -name, organization]]="","",Master[[#This Row],[Accession Name Cooperator (Identifier 1) -name, organization]])</f>
        <v/>
      </c>
      <c r="G191" s="7" t="str">
        <f t="shared" si="6"/>
        <v>Y</v>
      </c>
    </row>
    <row r="192" spans="2:7" x14ac:dyDescent="0.25">
      <c r="B192" s="7" t="str">
        <f>Master[[#This Row],[Accession Prefix (NPGS)]]&amp;" "&amp;Master[[#This Row],[Accession Number -Assigned]]</f>
        <v xml:space="preserve"> </v>
      </c>
      <c r="C192" s="7" t="str">
        <f>Master[[#This Row],[Accession Prefix (NPGS)]]&amp;" "&amp;Master[[#This Row],[Accession Number -Assigned]]&amp;" **"</f>
        <v xml:space="preserve">  **</v>
      </c>
      <c r="D192" s="76" t="str">
        <f>IF(Master[[#This Row],[Accession Name Category (Identifier 1) -Lookup Picker]]="","",Master[[#This Row],[Accession Name Category (Identifier 1) -Lookup Picker]])</f>
        <v/>
      </c>
      <c r="E192" s="76" t="str">
        <f>IF(Master[[#This Row],[Accession Name (Identifier 1)]]="","",Master[[#This Row],[Accession Name (Identifier 1)]])</f>
        <v xml:space="preserve"> </v>
      </c>
      <c r="F192" s="45" t="str">
        <f>IF(Master[[#This Row],[Accession Name Cooperator (Identifier 1) -name, organization]]="","",Master[[#This Row],[Accession Name Cooperator (Identifier 1) -name, organization]])</f>
        <v/>
      </c>
      <c r="G192" s="7" t="str">
        <f t="shared" si="6"/>
        <v>Y</v>
      </c>
    </row>
    <row r="193" spans="2:7" x14ac:dyDescent="0.25">
      <c r="B193" s="7" t="str">
        <f>Master[[#This Row],[Accession Prefix (NPGS)]]&amp;" "&amp;Master[[#This Row],[Accession Number -Assigned]]</f>
        <v xml:space="preserve"> </v>
      </c>
      <c r="C193" s="7" t="str">
        <f>Master[[#This Row],[Accession Prefix (NPGS)]]&amp;" "&amp;Master[[#This Row],[Accession Number -Assigned]]&amp;" **"</f>
        <v xml:space="preserve">  **</v>
      </c>
      <c r="D193" s="76" t="str">
        <f>IF(Master[[#This Row],[Accession Name Category (Identifier 1) -Lookup Picker]]="","",Master[[#This Row],[Accession Name Category (Identifier 1) -Lookup Picker]])</f>
        <v/>
      </c>
      <c r="E193" s="76" t="str">
        <f>IF(Master[[#This Row],[Accession Name (Identifier 1)]]="","",Master[[#This Row],[Accession Name (Identifier 1)]])</f>
        <v xml:space="preserve"> </v>
      </c>
      <c r="F193" s="45" t="str">
        <f>IF(Master[[#This Row],[Accession Name Cooperator (Identifier 1) -name, organization]]="","",Master[[#This Row],[Accession Name Cooperator (Identifier 1) -name, organization]])</f>
        <v/>
      </c>
      <c r="G193" s="7" t="str">
        <f t="shared" si="6"/>
        <v>Y</v>
      </c>
    </row>
    <row r="194" spans="2:7" x14ac:dyDescent="0.25">
      <c r="B194" s="7" t="str">
        <f>Master[[#This Row],[Accession Prefix (NPGS)]]&amp;" "&amp;Master[[#This Row],[Accession Number -Assigned]]</f>
        <v xml:space="preserve"> </v>
      </c>
      <c r="C194" s="7" t="str">
        <f>Master[[#This Row],[Accession Prefix (NPGS)]]&amp;" "&amp;Master[[#This Row],[Accession Number -Assigned]]&amp;" **"</f>
        <v xml:space="preserve">  **</v>
      </c>
      <c r="D194" s="76" t="str">
        <f>IF(Master[[#This Row],[Accession Name Category (Identifier 1) -Lookup Picker]]="","",Master[[#This Row],[Accession Name Category (Identifier 1) -Lookup Picker]])</f>
        <v/>
      </c>
      <c r="E194" s="76" t="str">
        <f>IF(Master[[#This Row],[Accession Name (Identifier 1)]]="","",Master[[#This Row],[Accession Name (Identifier 1)]])</f>
        <v xml:space="preserve"> </v>
      </c>
      <c r="F194" s="45" t="str">
        <f>IF(Master[[#This Row],[Accession Name Cooperator (Identifier 1) -name, organization]]="","",Master[[#This Row],[Accession Name Cooperator (Identifier 1) -name, organization]])</f>
        <v/>
      </c>
      <c r="G194" s="7" t="str">
        <f t="shared" si="6"/>
        <v>Y</v>
      </c>
    </row>
    <row r="195" spans="2:7" x14ac:dyDescent="0.25">
      <c r="B195" s="7" t="str">
        <f>Master[[#This Row],[Accession Prefix (NPGS)]]&amp;" "&amp;Master[[#This Row],[Accession Number -Assigned]]</f>
        <v xml:space="preserve"> </v>
      </c>
      <c r="C195" s="7" t="str">
        <f>Master[[#This Row],[Accession Prefix (NPGS)]]&amp;" "&amp;Master[[#This Row],[Accession Number -Assigned]]&amp;" **"</f>
        <v xml:space="preserve">  **</v>
      </c>
      <c r="D195" s="76" t="str">
        <f>IF(Master[[#This Row],[Accession Name Category (Identifier 1) -Lookup Picker]]="","",Master[[#This Row],[Accession Name Category (Identifier 1) -Lookup Picker]])</f>
        <v/>
      </c>
      <c r="E195" s="76" t="str">
        <f>IF(Master[[#This Row],[Accession Name (Identifier 1)]]="","",Master[[#This Row],[Accession Name (Identifier 1)]])</f>
        <v xml:space="preserve"> </v>
      </c>
      <c r="F195" s="45" t="str">
        <f>IF(Master[[#This Row],[Accession Name Cooperator (Identifier 1) -name, organization]]="","",Master[[#This Row],[Accession Name Cooperator (Identifier 1) -name, organization]])</f>
        <v/>
      </c>
      <c r="G195" s="7" t="str">
        <f t="shared" si="6"/>
        <v>Y</v>
      </c>
    </row>
    <row r="196" spans="2:7" x14ac:dyDescent="0.25">
      <c r="B196" s="7" t="str">
        <f>Master[[#This Row],[Accession Prefix (NPGS)]]&amp;" "&amp;Master[[#This Row],[Accession Number -Assigned]]</f>
        <v xml:space="preserve"> </v>
      </c>
      <c r="C196" s="7" t="str">
        <f>Master[[#This Row],[Accession Prefix (NPGS)]]&amp;" "&amp;Master[[#This Row],[Accession Number -Assigned]]&amp;" **"</f>
        <v xml:space="preserve">  **</v>
      </c>
      <c r="D196" s="76" t="str">
        <f>IF(Master[[#This Row],[Accession Name Category (Identifier 1) -Lookup Picker]]="","",Master[[#This Row],[Accession Name Category (Identifier 1) -Lookup Picker]])</f>
        <v/>
      </c>
      <c r="E196" s="76" t="str">
        <f>IF(Master[[#This Row],[Accession Name (Identifier 1)]]="","",Master[[#This Row],[Accession Name (Identifier 1)]])</f>
        <v xml:space="preserve"> </v>
      </c>
      <c r="F196" s="45" t="str">
        <f>IF(Master[[#This Row],[Accession Name Cooperator (Identifier 1) -name, organization]]="","",Master[[#This Row],[Accession Name Cooperator (Identifier 1) -name, organization]])</f>
        <v/>
      </c>
      <c r="G196" s="7" t="str">
        <f t="shared" si="6"/>
        <v>Y</v>
      </c>
    </row>
    <row r="197" spans="2:7" x14ac:dyDescent="0.25">
      <c r="B197" s="7" t="str">
        <f>Master[[#This Row],[Accession Prefix (NPGS)]]&amp;" "&amp;Master[[#This Row],[Accession Number -Assigned]]</f>
        <v xml:space="preserve"> </v>
      </c>
      <c r="C197" s="7" t="str">
        <f>Master[[#This Row],[Accession Prefix (NPGS)]]&amp;" "&amp;Master[[#This Row],[Accession Number -Assigned]]&amp;" **"</f>
        <v xml:space="preserve">  **</v>
      </c>
      <c r="D197" s="76" t="str">
        <f>IF(Master[[#This Row],[Accession Name Category (Identifier 1) -Lookup Picker]]="","",Master[[#This Row],[Accession Name Category (Identifier 1) -Lookup Picker]])</f>
        <v/>
      </c>
      <c r="E197" s="76" t="str">
        <f>IF(Master[[#This Row],[Accession Name (Identifier 1)]]="","",Master[[#This Row],[Accession Name (Identifier 1)]])</f>
        <v xml:space="preserve"> </v>
      </c>
      <c r="F197" s="45" t="str">
        <f>IF(Master[[#This Row],[Accession Name Cooperator (Identifier 1) -name, organization]]="","",Master[[#This Row],[Accession Name Cooperator (Identifier 1) -name, organization]])</f>
        <v/>
      </c>
      <c r="G197" s="7" t="str">
        <f t="shared" si="6"/>
        <v>Y</v>
      </c>
    </row>
    <row r="198" spans="2:7" x14ac:dyDescent="0.25">
      <c r="B198" s="7" t="str">
        <f>Master[[#This Row],[Accession Prefix (NPGS)]]&amp;" "&amp;Master[[#This Row],[Accession Number -Assigned]]</f>
        <v xml:space="preserve"> </v>
      </c>
      <c r="C198" s="7" t="str">
        <f>Master[[#This Row],[Accession Prefix (NPGS)]]&amp;" "&amp;Master[[#This Row],[Accession Number -Assigned]]&amp;" **"</f>
        <v xml:space="preserve">  **</v>
      </c>
      <c r="D198" s="76" t="str">
        <f>IF(Master[[#This Row],[Accession Name Category (Identifier 1) -Lookup Picker]]="","",Master[[#This Row],[Accession Name Category (Identifier 1) -Lookup Picker]])</f>
        <v/>
      </c>
      <c r="E198" s="76" t="str">
        <f>IF(Master[[#This Row],[Accession Name (Identifier 1)]]="","",Master[[#This Row],[Accession Name (Identifier 1)]])</f>
        <v xml:space="preserve"> </v>
      </c>
      <c r="F198" s="45" t="str">
        <f>IF(Master[[#This Row],[Accession Name Cooperator (Identifier 1) -name, organization]]="","",Master[[#This Row],[Accession Name Cooperator (Identifier 1) -name, organization]])</f>
        <v/>
      </c>
      <c r="G198" s="7" t="str">
        <f t="shared" si="6"/>
        <v>Y</v>
      </c>
    </row>
    <row r="199" spans="2:7" x14ac:dyDescent="0.25">
      <c r="B199" s="7" t="str">
        <f>Master[[#This Row],[Accession Prefix (NPGS)]]&amp;" "&amp;Master[[#This Row],[Accession Number -Assigned]]</f>
        <v xml:space="preserve"> </v>
      </c>
      <c r="C199" s="7" t="str">
        <f>Master[[#This Row],[Accession Prefix (NPGS)]]&amp;" "&amp;Master[[#This Row],[Accession Number -Assigned]]&amp;" **"</f>
        <v xml:space="preserve">  **</v>
      </c>
      <c r="D199" s="76" t="str">
        <f>IF(Master[[#This Row],[Accession Name Category (Identifier 1) -Lookup Picker]]="","",Master[[#This Row],[Accession Name Category (Identifier 1) -Lookup Picker]])</f>
        <v/>
      </c>
      <c r="E199" s="76" t="str">
        <f>IF(Master[[#This Row],[Accession Name (Identifier 1)]]="","",Master[[#This Row],[Accession Name (Identifier 1)]])</f>
        <v xml:space="preserve"> </v>
      </c>
      <c r="F199" s="45" t="str">
        <f>IF(Master[[#This Row],[Accession Name Cooperator (Identifier 1) -name, organization]]="","",Master[[#This Row],[Accession Name Cooperator (Identifier 1) -name, organization]])</f>
        <v/>
      </c>
      <c r="G199" s="7" t="str">
        <f t="shared" si="6"/>
        <v>Y</v>
      </c>
    </row>
    <row r="200" spans="2:7" x14ac:dyDescent="0.25">
      <c r="B200" s="7" t="str">
        <f>Master[[#This Row],[Accession Prefix (NPGS)]]&amp;" "&amp;Master[[#This Row],[Accession Number -Assigned]]</f>
        <v xml:space="preserve"> </v>
      </c>
      <c r="C200" s="7" t="str">
        <f>Master[[#This Row],[Accession Prefix (NPGS)]]&amp;" "&amp;Master[[#This Row],[Accession Number -Assigned]]&amp;" **"</f>
        <v xml:space="preserve">  **</v>
      </c>
      <c r="D200" s="76" t="str">
        <f>IF(Master[[#This Row],[Accession Name Category (Identifier 1) -Lookup Picker]]="","",Master[[#This Row],[Accession Name Category (Identifier 1) -Lookup Picker]])</f>
        <v/>
      </c>
      <c r="E200" s="76" t="str">
        <f>IF(Master[[#This Row],[Accession Name (Identifier 1)]]="","",Master[[#This Row],[Accession Name (Identifier 1)]])</f>
        <v xml:space="preserve"> </v>
      </c>
      <c r="F200" s="45" t="str">
        <f>IF(Master[[#This Row],[Accession Name Cooperator (Identifier 1) -name, organization]]="","",Master[[#This Row],[Accession Name Cooperator (Identifier 1) -name, organization]])</f>
        <v/>
      </c>
      <c r="G200" s="7" t="str">
        <f t="shared" si="6"/>
        <v>Y</v>
      </c>
    </row>
    <row r="201" spans="2:7" x14ac:dyDescent="0.25">
      <c r="B201" s="7" t="str">
        <f>Master[[#This Row],[Accession Prefix (NPGS)]]&amp;" "&amp;Master[[#This Row],[Accession Number -Assigned]]</f>
        <v xml:space="preserve"> </v>
      </c>
      <c r="C201" s="7" t="str">
        <f>Master[[#This Row],[Accession Prefix (NPGS)]]&amp;" "&amp;Master[[#This Row],[Accession Number -Assigned]]&amp;" **"</f>
        <v xml:space="preserve">  **</v>
      </c>
      <c r="D201" s="76" t="str">
        <f>IF(Master[[#This Row],[Accession Name Category (Identifier 1) -Lookup Picker]]="","",Master[[#This Row],[Accession Name Category (Identifier 1) -Lookup Picker]])</f>
        <v/>
      </c>
      <c r="E201" s="76" t="str">
        <f>IF(Master[[#This Row],[Accession Name (Identifier 1)]]="","",Master[[#This Row],[Accession Name (Identifier 1)]])</f>
        <v xml:space="preserve"> </v>
      </c>
      <c r="F201" s="45" t="str">
        <f>IF(Master[[#This Row],[Accession Name Cooperator (Identifier 1) -name, organization]]="","",Master[[#This Row],[Accession Name Cooperator (Identifier 1) -name, organization]])</f>
        <v/>
      </c>
      <c r="G201" s="7" t="str">
        <f t="shared" si="6"/>
        <v>Y</v>
      </c>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1">
    <tabColor theme="0" tint="-0.249977111117893"/>
  </sheetPr>
  <dimension ref="A1:M201"/>
  <sheetViews>
    <sheetView workbookViewId="0">
      <selection activeCell="C9" sqref="C9"/>
    </sheetView>
  </sheetViews>
  <sheetFormatPr defaultColWidth="9.140625" defaultRowHeight="15" x14ac:dyDescent="0.25"/>
  <cols>
    <col min="1" max="1" width="11.85546875" style="7" customWidth="1"/>
    <col min="2" max="2" width="12.85546875" style="7" bestFit="1" customWidth="1"/>
    <col min="3" max="3" width="23.140625" style="7" bestFit="1" customWidth="1"/>
    <col min="4" max="4" width="18.140625" style="7" bestFit="1" customWidth="1"/>
    <col min="5" max="5" width="20.140625" style="7" bestFit="1" customWidth="1"/>
    <col min="6" max="6" width="95.140625" style="7" bestFit="1" customWidth="1"/>
    <col min="7" max="7" width="8.140625" style="7" customWidth="1"/>
    <col min="8" max="8" width="17" style="7" customWidth="1"/>
    <col min="9" max="9" width="14.85546875" style="7" bestFit="1" customWidth="1"/>
    <col min="10" max="10" width="31.140625" style="7" bestFit="1" customWidth="1"/>
    <col min="11" max="11" width="13.85546875" style="7" bestFit="1" customWidth="1"/>
    <col min="12" max="12" width="11.7109375" style="7" bestFit="1" customWidth="1"/>
    <col min="13" max="13" width="14.85546875" style="7" bestFit="1" customWidth="1"/>
    <col min="14" max="14" width="23.5703125" style="7" bestFit="1" customWidth="1"/>
    <col min="15" max="16384" width="9.140625" style="7"/>
  </cols>
  <sheetData>
    <row r="1" spans="1:13" s="116" customFormat="1" ht="45" x14ac:dyDescent="0.25">
      <c r="A1" s="116" t="s">
        <v>67</v>
      </c>
      <c r="B1" s="116" t="s">
        <v>10</v>
      </c>
      <c r="C1" s="118" t="s">
        <v>31</v>
      </c>
      <c r="D1" s="118" t="s">
        <v>68</v>
      </c>
      <c r="E1" s="118" t="s">
        <v>69</v>
      </c>
      <c r="F1" s="116" t="s">
        <v>55</v>
      </c>
      <c r="G1" s="118" t="s">
        <v>54</v>
      </c>
      <c r="H1" s="116" t="s">
        <v>9</v>
      </c>
    </row>
    <row r="2" spans="1:13" ht="15.75" x14ac:dyDescent="0.25">
      <c r="A2" s="1"/>
      <c r="B2" s="7" t="str">
        <f>Master[[#This Row],[Accession Prefix (NPGS)]]&amp;" "&amp;Master[[#This Row],[Accession Number -Assigned]]</f>
        <v>W6 57036</v>
      </c>
      <c r="C2" s="7" t="str">
        <f>Master[[#This Row],[Accession Prefix (NPGS)]]&amp;" "&amp;Master[[#This Row],[Accession Number -Assigned]]&amp;" **"</f>
        <v>W6 57036 **</v>
      </c>
      <c r="D2" s="17" t="str">
        <f>IF(Master[[#This Row],[Accession Name Category (Identifier 2) -Lookup Picker]]="","",Master[[#This Row],[Accession Name Category (Identifier 2) -Lookup Picker]])</f>
        <v>Collector identifier</v>
      </c>
      <c r="E2" s="17" t="str">
        <f>IF(Master[[#This Row],[Accession Name (Identifier 2)]]="","",Master[[#This Row],[Accession Name (Identifier 2)]])</f>
        <v>WY050-182</v>
      </c>
      <c r="F2" s="7" t="str">
        <f>IF(Master[[#This Row],[Accession Name Cooperator (Identifier 2) -name, organization]]="","",Master[[#This Row],[Accession Name Cooperator (Identifier 2) -name, organization]])</f>
        <v>, , Bureau of Land Management, SOS project</v>
      </c>
      <c r="G2" s="7" t="str">
        <f>"Y"</f>
        <v>Y</v>
      </c>
      <c r="I2" s="8"/>
      <c r="M2" s="8"/>
    </row>
    <row r="3" spans="1:13" x14ac:dyDescent="0.25">
      <c r="B3" s="7" t="str">
        <f>Master[[#This Row],[Accession Prefix (NPGS)]]&amp;" "&amp;Master[[#This Row],[Accession Number -Assigned]]</f>
        <v xml:space="preserve">W6 </v>
      </c>
      <c r="C3" s="7" t="str">
        <f>Master[[#This Row],[Accession Prefix (NPGS)]]&amp;" "&amp;Master[[#This Row],[Accession Number -Assigned]]&amp;" **"</f>
        <v>W6  **</v>
      </c>
      <c r="D3" s="17" t="str">
        <f>IF(Master[[#This Row],[Accession Name Category (Identifier 2) -Lookup Picker]]="","",Master[[#This Row],[Accession Name Category (Identifier 2) -Lookup Picker]])</f>
        <v/>
      </c>
      <c r="E3" s="17" t="str">
        <f>IF(Master[[#This Row],[Accession Name (Identifier 2)]]="","",Master[[#This Row],[Accession Name (Identifier 2)]])</f>
        <v>ACC_NUM</v>
      </c>
      <c r="F3" s="7" t="str">
        <f>IF(Master[[#This Row],[Accession Name Cooperator (Identifier 2) -name, organization]]="","",Master[[#This Row],[Accession Name Cooperator (Identifier 2) -name, organization]])</f>
        <v/>
      </c>
      <c r="G3" s="7" t="str">
        <f t="shared" ref="G3:G21" si="0">"Y"</f>
        <v>Y</v>
      </c>
      <c r="I3" s="8"/>
      <c r="M3" s="8"/>
    </row>
    <row r="4" spans="1:13" x14ac:dyDescent="0.25">
      <c r="B4" s="7" t="str">
        <f>Master[[#This Row],[Accession Prefix (NPGS)]]&amp;" "&amp;Master[[#This Row],[Accession Number -Assigned]]</f>
        <v>W6 59590</v>
      </c>
      <c r="C4" s="7" t="str">
        <f>Master[[#This Row],[Accession Prefix (NPGS)]]&amp;" "&amp;Master[[#This Row],[Accession Number -Assigned]]&amp;" **"</f>
        <v>W6 59590 **</v>
      </c>
      <c r="D4" s="17" t="str">
        <f>IF(Master[[#This Row],[Accession Name Category (Identifier 2) -Lookup Picker]]="","",Master[[#This Row],[Accession Name Category (Identifier 2) -Lookup Picker]])</f>
        <v>Collector identifier</v>
      </c>
      <c r="E4" s="17" t="str">
        <f>IF(Master[[#This Row],[Accession Name (Identifier 2)]]="","",Master[[#This Row],[Accession Name (Identifier 2)]])</f>
        <v>CO932-397</v>
      </c>
      <c r="F4" s="7" t="str">
        <f>IF(Master[[#This Row],[Accession Name Cooperator (Identifier 2) -name, organization]]="","",Master[[#This Row],[Accession Name Cooperator (Identifier 2) -name, organization]])</f>
        <v/>
      </c>
      <c r="G4" s="7" t="str">
        <f t="shared" si="0"/>
        <v>Y</v>
      </c>
      <c r="I4" s="8"/>
      <c r="M4" s="8"/>
    </row>
    <row r="5" spans="1:13" x14ac:dyDescent="0.25">
      <c r="B5" s="7" t="str">
        <f>Master[[#This Row],[Accession Prefix (NPGS)]]&amp;" "&amp;Master[[#This Row],[Accession Number -Assigned]]</f>
        <v>W6 59591</v>
      </c>
      <c r="C5" s="7" t="str">
        <f>Master[[#This Row],[Accession Prefix (NPGS)]]&amp;" "&amp;Master[[#This Row],[Accession Number -Assigned]]&amp;" **"</f>
        <v>W6 59591 **</v>
      </c>
      <c r="D5" s="17" t="str">
        <f>IF(Master[[#This Row],[Accession Name Category (Identifier 2) -Lookup Picker]]="","",Master[[#This Row],[Accession Name Category (Identifier 2) -Lookup Picker]])</f>
        <v>Collector identifier</v>
      </c>
      <c r="E5" s="17" t="str">
        <f>IF(Master[[#This Row],[Accession Name (Identifier 2)]]="","",Master[[#This Row],[Accession Name (Identifier 2)]])</f>
        <v>CO932-398</v>
      </c>
      <c r="F5" s="7" t="str">
        <f>IF(Master[[#This Row],[Accession Name Cooperator (Identifier 2) -name, organization]]="","",Master[[#This Row],[Accession Name Cooperator (Identifier 2) -name, organization]])</f>
        <v/>
      </c>
      <c r="G5" s="7" t="str">
        <f t="shared" si="0"/>
        <v>Y</v>
      </c>
      <c r="I5" s="8"/>
      <c r="M5" s="8"/>
    </row>
    <row r="6" spans="1:13" x14ac:dyDescent="0.25">
      <c r="B6" s="7" t="str">
        <f>Master[[#This Row],[Accession Prefix (NPGS)]]&amp;" "&amp;Master[[#This Row],[Accession Number -Assigned]]</f>
        <v>W6 59592</v>
      </c>
      <c r="C6" s="7" t="str">
        <f>Master[[#This Row],[Accession Prefix (NPGS)]]&amp;" "&amp;Master[[#This Row],[Accession Number -Assigned]]&amp;" **"</f>
        <v>W6 59592 **</v>
      </c>
      <c r="D6" s="17" t="str">
        <f>IF(Master[[#This Row],[Accession Name Category (Identifier 2) -Lookup Picker]]="","",Master[[#This Row],[Accession Name Category (Identifier 2) -Lookup Picker]])</f>
        <v>Collector identifier</v>
      </c>
      <c r="E6" s="17" t="str">
        <f>IF(Master[[#This Row],[Accession Name (Identifier 2)]]="","",Master[[#This Row],[Accession Name (Identifier 2)]])</f>
        <v>CO932-399</v>
      </c>
      <c r="F6" s="7" t="str">
        <f>IF(Master[[#This Row],[Accession Name Cooperator (Identifier 2) -name, organization]]="","",Master[[#This Row],[Accession Name Cooperator (Identifier 2) -name, organization]])</f>
        <v/>
      </c>
      <c r="G6" s="7" t="str">
        <f t="shared" si="0"/>
        <v>Y</v>
      </c>
      <c r="I6" s="8"/>
      <c r="M6" s="8"/>
    </row>
    <row r="7" spans="1:13" x14ac:dyDescent="0.25">
      <c r="B7" s="7" t="str">
        <f>Master[[#This Row],[Accession Prefix (NPGS)]]&amp;" "&amp;Master[[#This Row],[Accession Number -Assigned]]</f>
        <v>W6 59593</v>
      </c>
      <c r="C7" s="7" t="str">
        <f>Master[[#This Row],[Accession Prefix (NPGS)]]&amp;" "&amp;Master[[#This Row],[Accession Number -Assigned]]&amp;" **"</f>
        <v>W6 59593 **</v>
      </c>
      <c r="D7" s="17" t="str">
        <f>IF(Master[[#This Row],[Accession Name Category (Identifier 2) -Lookup Picker]]="","",Master[[#This Row],[Accession Name Category (Identifier 2) -Lookup Picker]])</f>
        <v>Collector identifier</v>
      </c>
      <c r="E7" s="17" t="str">
        <f>IF(Master[[#This Row],[Accession Name (Identifier 2)]]="","",Master[[#This Row],[Accession Name (Identifier 2)]])</f>
        <v>CO932-401</v>
      </c>
      <c r="F7" s="7" t="str">
        <f>IF(Master[[#This Row],[Accession Name Cooperator (Identifier 2) -name, organization]]="","",Master[[#This Row],[Accession Name Cooperator (Identifier 2) -name, organization]])</f>
        <v/>
      </c>
      <c r="G7" s="7" t="str">
        <f t="shared" si="0"/>
        <v>Y</v>
      </c>
      <c r="I7" s="8"/>
      <c r="M7" s="8"/>
    </row>
    <row r="8" spans="1:13" x14ac:dyDescent="0.25">
      <c r="B8" s="7" t="str">
        <f>Master[[#This Row],[Accession Prefix (NPGS)]]&amp;" "&amp;Master[[#This Row],[Accession Number -Assigned]]</f>
        <v>W6 59594</v>
      </c>
      <c r="C8" s="7" t="str">
        <f>Master[[#This Row],[Accession Prefix (NPGS)]]&amp;" "&amp;Master[[#This Row],[Accession Number -Assigned]]&amp;" **"</f>
        <v>W6 59594 **</v>
      </c>
      <c r="D8" s="17" t="str">
        <f>IF(Master[[#This Row],[Accession Name Category (Identifier 2) -Lookup Picker]]="","",Master[[#This Row],[Accession Name Category (Identifier 2) -Lookup Picker]])</f>
        <v>Collector identifier</v>
      </c>
      <c r="E8" s="17" t="str">
        <f>IF(Master[[#This Row],[Accession Name (Identifier 2)]]="","",Master[[#This Row],[Accession Name (Identifier 2)]])</f>
        <v>CO932-402</v>
      </c>
      <c r="F8" s="7" t="str">
        <f>IF(Master[[#This Row],[Accession Name Cooperator (Identifier 2) -name, organization]]="","",Master[[#This Row],[Accession Name Cooperator (Identifier 2) -name, organization]])</f>
        <v/>
      </c>
      <c r="G8" s="7" t="str">
        <f t="shared" si="0"/>
        <v>Y</v>
      </c>
      <c r="I8" s="8"/>
      <c r="M8" s="8"/>
    </row>
    <row r="9" spans="1:13" x14ac:dyDescent="0.25">
      <c r="B9" s="7" t="str">
        <f>Master[[#This Row],[Accession Prefix (NPGS)]]&amp;" "&amp;Master[[#This Row],[Accession Number -Assigned]]</f>
        <v>W6 59595</v>
      </c>
      <c r="C9" s="7" t="str">
        <f>Master[[#This Row],[Accession Prefix (NPGS)]]&amp;" "&amp;Master[[#This Row],[Accession Number -Assigned]]&amp;" **"</f>
        <v>W6 59595 **</v>
      </c>
      <c r="D9" s="17" t="str">
        <f>IF(Master[[#This Row],[Accession Name Category (Identifier 2) -Lookup Picker]]="","",Master[[#This Row],[Accession Name Category (Identifier 2) -Lookup Picker]])</f>
        <v>Collector identifier</v>
      </c>
      <c r="E9" s="17" t="str">
        <f>IF(Master[[#This Row],[Accession Name (Identifier 2)]]="","",Master[[#This Row],[Accession Name (Identifier 2)]])</f>
        <v>CO932-403</v>
      </c>
      <c r="F9" s="7" t="str">
        <f>IF(Master[[#This Row],[Accession Name Cooperator (Identifier 2) -name, organization]]="","",Master[[#This Row],[Accession Name Cooperator (Identifier 2) -name, organization]])</f>
        <v/>
      </c>
      <c r="G9" s="7" t="str">
        <f t="shared" si="0"/>
        <v>Y</v>
      </c>
      <c r="I9" s="8"/>
      <c r="M9" s="8"/>
    </row>
    <row r="10" spans="1:13" x14ac:dyDescent="0.25">
      <c r="B10" s="7" t="str">
        <f>Master[[#This Row],[Accession Prefix (NPGS)]]&amp;" "&amp;Master[[#This Row],[Accession Number -Assigned]]</f>
        <v>W6 59596</v>
      </c>
      <c r="C10" s="7" t="str">
        <f>Master[[#This Row],[Accession Prefix (NPGS)]]&amp;" "&amp;Master[[#This Row],[Accession Number -Assigned]]&amp;" **"</f>
        <v>W6 59596 **</v>
      </c>
      <c r="D10" s="17" t="str">
        <f>IF(Master[[#This Row],[Accession Name Category (Identifier 2) -Lookup Picker]]="","",Master[[#This Row],[Accession Name Category (Identifier 2) -Lookup Picker]])</f>
        <v>Collector identifier</v>
      </c>
      <c r="E10" s="17" t="str">
        <f>IF(Master[[#This Row],[Accession Name (Identifier 2)]]="","",Master[[#This Row],[Accession Name (Identifier 2)]])</f>
        <v>CO932-404</v>
      </c>
      <c r="F10" s="7" t="str">
        <f>IF(Master[[#This Row],[Accession Name Cooperator (Identifier 2) -name, organization]]="","",Master[[#This Row],[Accession Name Cooperator (Identifier 2) -name, organization]])</f>
        <v/>
      </c>
      <c r="G10" s="7" t="str">
        <f t="shared" si="0"/>
        <v>Y</v>
      </c>
      <c r="I10" s="8"/>
      <c r="M10" s="8"/>
    </row>
    <row r="11" spans="1:13" x14ac:dyDescent="0.25">
      <c r="B11" s="7" t="str">
        <f>Master[[#This Row],[Accession Prefix (NPGS)]]&amp;" "&amp;Master[[#This Row],[Accession Number -Assigned]]</f>
        <v>W6 59597</v>
      </c>
      <c r="C11" s="7" t="str">
        <f>Master[[#This Row],[Accession Prefix (NPGS)]]&amp;" "&amp;Master[[#This Row],[Accession Number -Assigned]]&amp;" **"</f>
        <v>W6 59597 **</v>
      </c>
      <c r="D11" s="17" t="str">
        <f>IF(Master[[#This Row],[Accession Name Category (Identifier 2) -Lookup Picker]]="","",Master[[#This Row],[Accession Name Category (Identifier 2) -Lookup Picker]])</f>
        <v>Collector identifier</v>
      </c>
      <c r="E11" s="17" t="str">
        <f>IF(Master[[#This Row],[Accession Name (Identifier 2)]]="","",Master[[#This Row],[Accession Name (Identifier 2)]])</f>
        <v>CO932-405</v>
      </c>
      <c r="F11" s="7" t="str">
        <f>IF(Master[[#This Row],[Accession Name Cooperator (Identifier 2) -name, organization]]="","",Master[[#This Row],[Accession Name Cooperator (Identifier 2) -name, organization]])</f>
        <v/>
      </c>
      <c r="G11" s="7" t="str">
        <f t="shared" si="0"/>
        <v>Y</v>
      </c>
      <c r="I11" s="8"/>
      <c r="M11" s="8"/>
    </row>
    <row r="12" spans="1:13" x14ac:dyDescent="0.25">
      <c r="B12" s="7" t="str">
        <f>Master[[#This Row],[Accession Prefix (NPGS)]]&amp;" "&amp;Master[[#This Row],[Accession Number -Assigned]]</f>
        <v>W6 59598</v>
      </c>
      <c r="C12" s="7" t="str">
        <f>Master[[#This Row],[Accession Prefix (NPGS)]]&amp;" "&amp;Master[[#This Row],[Accession Number -Assigned]]&amp;" **"</f>
        <v>W6 59598 **</v>
      </c>
      <c r="D12" s="17" t="str">
        <f>IF(Master[[#This Row],[Accession Name Category (Identifier 2) -Lookup Picker]]="","",Master[[#This Row],[Accession Name Category (Identifier 2) -Lookup Picker]])</f>
        <v>Collector identifier</v>
      </c>
      <c r="E12" s="17" t="str">
        <f>IF(Master[[#This Row],[Accession Name (Identifier 2)]]="","",Master[[#This Row],[Accession Name (Identifier 2)]])</f>
        <v>CO932-406</v>
      </c>
      <c r="F12" s="7" t="str">
        <f>IF(Master[[#This Row],[Accession Name Cooperator (Identifier 2) -name, organization]]="","",Master[[#This Row],[Accession Name Cooperator (Identifier 2) -name, organization]])</f>
        <v/>
      </c>
      <c r="G12" s="7" t="str">
        <f t="shared" si="0"/>
        <v>Y</v>
      </c>
      <c r="I12" s="8"/>
      <c r="M12" s="8"/>
    </row>
    <row r="13" spans="1:13" x14ac:dyDescent="0.25">
      <c r="B13" s="7" t="str">
        <f>Master[[#This Row],[Accession Prefix (NPGS)]]&amp;" "&amp;Master[[#This Row],[Accession Number -Assigned]]</f>
        <v>W6 59599</v>
      </c>
      <c r="C13" s="7" t="str">
        <f>Master[[#This Row],[Accession Prefix (NPGS)]]&amp;" "&amp;Master[[#This Row],[Accession Number -Assigned]]&amp;" **"</f>
        <v>W6 59599 **</v>
      </c>
      <c r="D13" s="17" t="str">
        <f>IF(Master[[#This Row],[Accession Name Category (Identifier 2) -Lookup Picker]]="","",Master[[#This Row],[Accession Name Category (Identifier 2) -Lookup Picker]])</f>
        <v>Collector identifier</v>
      </c>
      <c r="E13" s="17" t="str">
        <f>IF(Master[[#This Row],[Accession Name (Identifier 2)]]="","",Master[[#This Row],[Accession Name (Identifier 2)]])</f>
        <v>CO932-407</v>
      </c>
      <c r="F13" s="7" t="str">
        <f>IF(Master[[#This Row],[Accession Name Cooperator (Identifier 2) -name, organization]]="","",Master[[#This Row],[Accession Name Cooperator (Identifier 2) -name, organization]])</f>
        <v/>
      </c>
      <c r="G13" s="7" t="str">
        <f t="shared" si="0"/>
        <v>Y</v>
      </c>
      <c r="I13" s="8"/>
      <c r="M13" s="8"/>
    </row>
    <row r="14" spans="1:13" x14ac:dyDescent="0.25">
      <c r="B14" s="7" t="str">
        <f>Master[[#This Row],[Accession Prefix (NPGS)]]&amp;" "&amp;Master[[#This Row],[Accession Number -Assigned]]</f>
        <v>W6 59600</v>
      </c>
      <c r="C14" s="7" t="str">
        <f>Master[[#This Row],[Accession Prefix (NPGS)]]&amp;" "&amp;Master[[#This Row],[Accession Number -Assigned]]&amp;" **"</f>
        <v>W6 59600 **</v>
      </c>
      <c r="D14" s="17" t="str">
        <f>IF(Master[[#This Row],[Accession Name Category (Identifier 2) -Lookup Picker]]="","",Master[[#This Row],[Accession Name Category (Identifier 2) -Lookup Picker]])</f>
        <v>Collector identifier</v>
      </c>
      <c r="E14" s="17" t="str">
        <f>IF(Master[[#This Row],[Accession Name (Identifier 2)]]="","",Master[[#This Row],[Accession Name (Identifier 2)]])</f>
        <v>CO932-408</v>
      </c>
      <c r="F14" s="7" t="str">
        <f>IF(Master[[#This Row],[Accession Name Cooperator (Identifier 2) -name, organization]]="","",Master[[#This Row],[Accession Name Cooperator (Identifier 2) -name, organization]])</f>
        <v/>
      </c>
      <c r="G14" s="7" t="str">
        <f t="shared" si="0"/>
        <v>Y</v>
      </c>
      <c r="I14" s="8"/>
      <c r="M14" s="8"/>
    </row>
    <row r="15" spans="1:13" x14ac:dyDescent="0.25">
      <c r="B15" s="7" t="str">
        <f>Master[[#This Row],[Accession Prefix (NPGS)]]&amp;" "&amp;Master[[#This Row],[Accession Number -Assigned]]</f>
        <v>W6 59601</v>
      </c>
      <c r="C15" s="7" t="str">
        <f>Master[[#This Row],[Accession Prefix (NPGS)]]&amp;" "&amp;Master[[#This Row],[Accession Number -Assigned]]&amp;" **"</f>
        <v>W6 59601 **</v>
      </c>
      <c r="D15" s="17" t="str">
        <f>IF(Master[[#This Row],[Accession Name Category (Identifier 2) -Lookup Picker]]="","",Master[[#This Row],[Accession Name Category (Identifier 2) -Lookup Picker]])</f>
        <v>Collector identifier</v>
      </c>
      <c r="E15" s="17" t="str">
        <f>IF(Master[[#This Row],[Accession Name (Identifier 2)]]="","",Master[[#This Row],[Accession Name (Identifier 2)]])</f>
        <v>CO932-409</v>
      </c>
      <c r="F15" s="7" t="str">
        <f>IF(Master[[#This Row],[Accession Name Cooperator (Identifier 2) -name, organization]]="","",Master[[#This Row],[Accession Name Cooperator (Identifier 2) -name, organization]])</f>
        <v/>
      </c>
      <c r="G15" s="7" t="str">
        <f t="shared" si="0"/>
        <v>Y</v>
      </c>
      <c r="I15" s="8"/>
      <c r="M15" s="8"/>
    </row>
    <row r="16" spans="1:13" x14ac:dyDescent="0.25">
      <c r="B16" s="7" t="str">
        <f>Master[[#This Row],[Accession Prefix (NPGS)]]&amp;" "&amp;Master[[#This Row],[Accession Number -Assigned]]</f>
        <v>W6 59602</v>
      </c>
      <c r="C16" s="7" t="str">
        <f>Master[[#This Row],[Accession Prefix (NPGS)]]&amp;" "&amp;Master[[#This Row],[Accession Number -Assigned]]&amp;" **"</f>
        <v>W6 59602 **</v>
      </c>
      <c r="D16" s="17" t="str">
        <f>IF(Master[[#This Row],[Accession Name Category (Identifier 2) -Lookup Picker]]="","",Master[[#This Row],[Accession Name Category (Identifier 2) -Lookup Picker]])</f>
        <v>Collector identifier</v>
      </c>
      <c r="E16" s="17" t="str">
        <f>IF(Master[[#This Row],[Accession Name (Identifier 2)]]="","",Master[[#This Row],[Accession Name (Identifier 2)]])</f>
        <v>CO932-410</v>
      </c>
      <c r="F16" s="7" t="str">
        <f>IF(Master[[#This Row],[Accession Name Cooperator (Identifier 2) -name, organization]]="","",Master[[#This Row],[Accession Name Cooperator (Identifier 2) -name, organization]])</f>
        <v/>
      </c>
      <c r="G16" s="7" t="str">
        <f t="shared" si="0"/>
        <v>Y</v>
      </c>
      <c r="I16" s="8"/>
      <c r="M16" s="8"/>
    </row>
    <row r="17" spans="2:13" x14ac:dyDescent="0.25">
      <c r="B17" s="7" t="str">
        <f>Master[[#This Row],[Accession Prefix (NPGS)]]&amp;" "&amp;Master[[#This Row],[Accession Number -Assigned]]</f>
        <v>W6 59603</v>
      </c>
      <c r="C17" s="7" t="str">
        <f>Master[[#This Row],[Accession Prefix (NPGS)]]&amp;" "&amp;Master[[#This Row],[Accession Number -Assigned]]&amp;" **"</f>
        <v>W6 59603 **</v>
      </c>
      <c r="D17" s="17" t="str">
        <f>IF(Master[[#This Row],[Accession Name Category (Identifier 2) -Lookup Picker]]="","",Master[[#This Row],[Accession Name Category (Identifier 2) -Lookup Picker]])</f>
        <v>Collector identifier</v>
      </c>
      <c r="E17" s="17" t="str">
        <f>IF(Master[[#This Row],[Accession Name (Identifier 2)]]="","",Master[[#This Row],[Accession Name (Identifier 2)]])</f>
        <v>CO932-411</v>
      </c>
      <c r="F17" s="7" t="str">
        <f>IF(Master[[#This Row],[Accession Name Cooperator (Identifier 2) -name, organization]]="","",Master[[#This Row],[Accession Name Cooperator (Identifier 2) -name, organization]])</f>
        <v/>
      </c>
      <c r="G17" s="7" t="str">
        <f t="shared" si="0"/>
        <v>Y</v>
      </c>
      <c r="I17" s="8"/>
      <c r="M17" s="8"/>
    </row>
    <row r="18" spans="2:13" x14ac:dyDescent="0.25">
      <c r="B18" s="7" t="str">
        <f>Master[[#This Row],[Accession Prefix (NPGS)]]&amp;" "&amp;Master[[#This Row],[Accession Number -Assigned]]</f>
        <v>W6 59604</v>
      </c>
      <c r="C18" s="7" t="str">
        <f>Master[[#This Row],[Accession Prefix (NPGS)]]&amp;" "&amp;Master[[#This Row],[Accession Number -Assigned]]&amp;" **"</f>
        <v>W6 59604 **</v>
      </c>
      <c r="D18" s="17" t="str">
        <f>IF(Master[[#This Row],[Accession Name Category (Identifier 2) -Lookup Picker]]="","",Master[[#This Row],[Accession Name Category (Identifier 2) -Lookup Picker]])</f>
        <v>Collector identifier</v>
      </c>
      <c r="E18" s="17" t="str">
        <f>IF(Master[[#This Row],[Accession Name (Identifier 2)]]="","",Master[[#This Row],[Accession Name (Identifier 2)]])</f>
        <v>CO932-412</v>
      </c>
      <c r="F18" s="7" t="str">
        <f>IF(Master[[#This Row],[Accession Name Cooperator (Identifier 2) -name, organization]]="","",Master[[#This Row],[Accession Name Cooperator (Identifier 2) -name, organization]])</f>
        <v/>
      </c>
      <c r="G18" s="7" t="str">
        <f t="shared" si="0"/>
        <v>Y</v>
      </c>
      <c r="I18" s="8"/>
      <c r="M18" s="8"/>
    </row>
    <row r="19" spans="2:13" x14ac:dyDescent="0.25">
      <c r="B19" s="7" t="str">
        <f>Master[[#This Row],[Accession Prefix (NPGS)]]&amp;" "&amp;Master[[#This Row],[Accession Number -Assigned]]</f>
        <v>W6 59605</v>
      </c>
      <c r="C19" s="7" t="str">
        <f>Master[[#This Row],[Accession Prefix (NPGS)]]&amp;" "&amp;Master[[#This Row],[Accession Number -Assigned]]&amp;" **"</f>
        <v>W6 59605 **</v>
      </c>
      <c r="D19" s="17" t="str">
        <f>IF(Master[[#This Row],[Accession Name Category (Identifier 2) -Lookup Picker]]="","",Master[[#This Row],[Accession Name Category (Identifier 2) -Lookup Picker]])</f>
        <v>Collector identifier</v>
      </c>
      <c r="E19" s="17" t="str">
        <f>IF(Master[[#This Row],[Accession Name (Identifier 2)]]="","",Master[[#This Row],[Accession Name (Identifier 2)]])</f>
        <v>CO932-413</v>
      </c>
      <c r="F19" s="7" t="str">
        <f>IF(Master[[#This Row],[Accession Name Cooperator (Identifier 2) -name, organization]]="","",Master[[#This Row],[Accession Name Cooperator (Identifier 2) -name, organization]])</f>
        <v/>
      </c>
      <c r="G19" s="7" t="str">
        <f t="shared" si="0"/>
        <v>Y</v>
      </c>
      <c r="I19" s="8"/>
      <c r="M19" s="8"/>
    </row>
    <row r="20" spans="2:13" x14ac:dyDescent="0.25">
      <c r="B20" s="7" t="str">
        <f>Master[[#This Row],[Accession Prefix (NPGS)]]&amp;" "&amp;Master[[#This Row],[Accession Number -Assigned]]</f>
        <v>W6 59606</v>
      </c>
      <c r="C20" s="7" t="str">
        <f>Master[[#This Row],[Accession Prefix (NPGS)]]&amp;" "&amp;Master[[#This Row],[Accession Number -Assigned]]&amp;" **"</f>
        <v>W6 59606 **</v>
      </c>
      <c r="D20" s="17" t="str">
        <f>IF(Master[[#This Row],[Accession Name Category (Identifier 2) -Lookup Picker]]="","",Master[[#This Row],[Accession Name Category (Identifier 2) -Lookup Picker]])</f>
        <v>Collector identifier</v>
      </c>
      <c r="E20" s="17" t="str">
        <f>IF(Master[[#This Row],[Accession Name (Identifier 2)]]="","",Master[[#This Row],[Accession Name (Identifier 2)]])</f>
        <v>CO932-414</v>
      </c>
      <c r="F20" s="7" t="str">
        <f>IF(Master[[#This Row],[Accession Name Cooperator (Identifier 2) -name, organization]]="","",Master[[#This Row],[Accession Name Cooperator (Identifier 2) -name, organization]])</f>
        <v/>
      </c>
      <c r="G20" s="7" t="str">
        <f t="shared" si="0"/>
        <v>Y</v>
      </c>
      <c r="I20" s="8"/>
      <c r="M20" s="8"/>
    </row>
    <row r="21" spans="2:13" x14ac:dyDescent="0.25">
      <c r="B21" s="7" t="str">
        <f>Master[[#This Row],[Accession Prefix (NPGS)]]&amp;" "&amp;Master[[#This Row],[Accession Number -Assigned]]</f>
        <v>W6 59607</v>
      </c>
      <c r="C21" s="7" t="str">
        <f>Master[[#This Row],[Accession Prefix (NPGS)]]&amp;" "&amp;Master[[#This Row],[Accession Number -Assigned]]&amp;" **"</f>
        <v>W6 59607 **</v>
      </c>
      <c r="D21" s="17" t="str">
        <f>IF(Master[[#This Row],[Accession Name Category (Identifier 2) -Lookup Picker]]="","",Master[[#This Row],[Accession Name Category (Identifier 2) -Lookup Picker]])</f>
        <v>Collector identifier</v>
      </c>
      <c r="E21" s="17" t="str">
        <f>IF(Master[[#This Row],[Accession Name (Identifier 2)]]="","",Master[[#This Row],[Accession Name (Identifier 2)]])</f>
        <v>CO932-415</v>
      </c>
      <c r="F21" s="7" t="str">
        <f>IF(Master[[#This Row],[Accession Name Cooperator (Identifier 2) -name, organization]]="","",Master[[#This Row],[Accession Name Cooperator (Identifier 2) -name, organization]])</f>
        <v/>
      </c>
      <c r="G21" s="7" t="str">
        <f t="shared" si="0"/>
        <v>Y</v>
      </c>
      <c r="I21" s="8"/>
      <c r="M21" s="8"/>
    </row>
    <row r="22" spans="2:13" x14ac:dyDescent="0.25">
      <c r="B22" s="7" t="str">
        <f>Master[[#This Row],[Accession Prefix (NPGS)]]&amp;" "&amp;Master[[#This Row],[Accession Number -Assigned]]</f>
        <v>W6 59608</v>
      </c>
      <c r="C22" s="7" t="str">
        <f>Master[[#This Row],[Accession Prefix (NPGS)]]&amp;" "&amp;Master[[#This Row],[Accession Number -Assigned]]&amp;" **"</f>
        <v>W6 59608 **</v>
      </c>
      <c r="D22" s="76" t="str">
        <f>IF(Master[[#This Row],[Accession Name Category (Identifier 2) -Lookup Picker]]="","",Master[[#This Row],[Accession Name Category (Identifier 2) -Lookup Picker]])</f>
        <v>Collector identifier</v>
      </c>
      <c r="E22" s="76" t="str">
        <f>IF(Master[[#This Row],[Accession Name (Identifier 2)]]="","",Master[[#This Row],[Accession Name (Identifier 2)]])</f>
        <v>CO932-416</v>
      </c>
      <c r="F22" s="45" t="str">
        <f>IF(Master[[#This Row],[Accession Name Cooperator (Identifier 2) -name, organization]]="","",Master[[#This Row],[Accession Name Cooperator (Identifier 2) -name, organization]])</f>
        <v/>
      </c>
      <c r="G22" s="7" t="str">
        <f t="shared" ref="G22:G53" si="1">"Y"</f>
        <v>Y</v>
      </c>
      <c r="I22" s="8"/>
      <c r="M22" s="8"/>
    </row>
    <row r="23" spans="2:13" x14ac:dyDescent="0.25">
      <c r="B23" s="7" t="str">
        <f>Master[[#This Row],[Accession Prefix (NPGS)]]&amp;" "&amp;Master[[#This Row],[Accession Number -Assigned]]</f>
        <v>W6 59609</v>
      </c>
      <c r="C23" s="7" t="str">
        <f>Master[[#This Row],[Accession Prefix (NPGS)]]&amp;" "&amp;Master[[#This Row],[Accession Number -Assigned]]&amp;" **"</f>
        <v>W6 59609 **</v>
      </c>
      <c r="D23" s="76" t="str">
        <f>IF(Master[[#This Row],[Accession Name Category (Identifier 2) -Lookup Picker]]="","",Master[[#This Row],[Accession Name Category (Identifier 2) -Lookup Picker]])</f>
        <v>Collector identifier</v>
      </c>
      <c r="E23" s="76" t="str">
        <f>IF(Master[[#This Row],[Accession Name (Identifier 2)]]="","",Master[[#This Row],[Accession Name (Identifier 2)]])</f>
        <v>CO932-417</v>
      </c>
      <c r="F23" s="45" t="str">
        <f>IF(Master[[#This Row],[Accession Name Cooperator (Identifier 2) -name, organization]]="","",Master[[#This Row],[Accession Name Cooperator (Identifier 2) -name, organization]])</f>
        <v/>
      </c>
      <c r="G23" s="7" t="str">
        <f t="shared" si="1"/>
        <v>Y</v>
      </c>
      <c r="I23" s="8"/>
      <c r="M23" s="8"/>
    </row>
    <row r="24" spans="2:13" x14ac:dyDescent="0.25">
      <c r="B24" s="7" t="str">
        <f>Master[[#This Row],[Accession Prefix (NPGS)]]&amp;" "&amp;Master[[#This Row],[Accession Number -Assigned]]</f>
        <v>W6 59610</v>
      </c>
      <c r="C24" s="7" t="str">
        <f>Master[[#This Row],[Accession Prefix (NPGS)]]&amp;" "&amp;Master[[#This Row],[Accession Number -Assigned]]&amp;" **"</f>
        <v>W6 59610 **</v>
      </c>
      <c r="D24" s="76" t="str">
        <f>IF(Master[[#This Row],[Accession Name Category (Identifier 2) -Lookup Picker]]="","",Master[[#This Row],[Accession Name Category (Identifier 2) -Lookup Picker]])</f>
        <v>Collector identifier</v>
      </c>
      <c r="E24" s="76" t="str">
        <f>IF(Master[[#This Row],[Accession Name (Identifier 2)]]="","",Master[[#This Row],[Accession Name (Identifier 2)]])</f>
        <v>CO932-419</v>
      </c>
      <c r="F24" s="45" t="str">
        <f>IF(Master[[#This Row],[Accession Name Cooperator (Identifier 2) -name, organization]]="","",Master[[#This Row],[Accession Name Cooperator (Identifier 2) -name, organization]])</f>
        <v/>
      </c>
      <c r="G24" s="7" t="str">
        <f t="shared" si="1"/>
        <v>Y</v>
      </c>
      <c r="I24" s="8"/>
      <c r="M24" s="8"/>
    </row>
    <row r="25" spans="2:13" x14ac:dyDescent="0.25">
      <c r="B25" s="7" t="str">
        <f>Master[[#This Row],[Accession Prefix (NPGS)]]&amp;" "&amp;Master[[#This Row],[Accession Number -Assigned]]</f>
        <v>W6 59611</v>
      </c>
      <c r="C25" s="7" t="str">
        <f>Master[[#This Row],[Accession Prefix (NPGS)]]&amp;" "&amp;Master[[#This Row],[Accession Number -Assigned]]&amp;" **"</f>
        <v>W6 59611 **</v>
      </c>
      <c r="D25" s="76" t="str">
        <f>IF(Master[[#This Row],[Accession Name Category (Identifier 2) -Lookup Picker]]="","",Master[[#This Row],[Accession Name Category (Identifier 2) -Lookup Picker]])</f>
        <v>Collector identifier</v>
      </c>
      <c r="E25" s="76" t="str">
        <f>IF(Master[[#This Row],[Accession Name (Identifier 2)]]="","",Master[[#This Row],[Accession Name (Identifier 2)]])</f>
        <v>CO932-423</v>
      </c>
      <c r="F25" s="45" t="str">
        <f>IF(Master[[#This Row],[Accession Name Cooperator (Identifier 2) -name, organization]]="","",Master[[#This Row],[Accession Name Cooperator (Identifier 2) -name, organization]])</f>
        <v/>
      </c>
      <c r="G25" s="7" t="str">
        <f t="shared" si="1"/>
        <v>Y</v>
      </c>
      <c r="I25" s="8"/>
      <c r="M25" s="8"/>
    </row>
    <row r="26" spans="2:13" x14ac:dyDescent="0.25">
      <c r="B26" s="7" t="str">
        <f>Master[[#This Row],[Accession Prefix (NPGS)]]&amp;" "&amp;Master[[#This Row],[Accession Number -Assigned]]</f>
        <v>W6 59612</v>
      </c>
      <c r="C26" s="7" t="str">
        <f>Master[[#This Row],[Accession Prefix (NPGS)]]&amp;" "&amp;Master[[#This Row],[Accession Number -Assigned]]&amp;" **"</f>
        <v>W6 59612 **</v>
      </c>
      <c r="D26" s="76" t="str">
        <f>IF(Master[[#This Row],[Accession Name Category (Identifier 2) -Lookup Picker]]="","",Master[[#This Row],[Accession Name Category (Identifier 2) -Lookup Picker]])</f>
        <v>Collector identifier</v>
      </c>
      <c r="E26" s="76" t="str">
        <f>IF(Master[[#This Row],[Accession Name (Identifier 2)]]="","",Master[[#This Row],[Accession Name (Identifier 2)]])</f>
        <v>CO932-424</v>
      </c>
      <c r="F26" s="45" t="str">
        <f>IF(Master[[#This Row],[Accession Name Cooperator (Identifier 2) -name, organization]]="","",Master[[#This Row],[Accession Name Cooperator (Identifier 2) -name, organization]])</f>
        <v/>
      </c>
      <c r="G26" s="7" t="str">
        <f t="shared" si="1"/>
        <v>Y</v>
      </c>
      <c r="I26" s="8"/>
      <c r="M26" s="8"/>
    </row>
    <row r="27" spans="2:13" x14ac:dyDescent="0.25">
      <c r="B27" s="7" t="str">
        <f>Master[[#This Row],[Accession Prefix (NPGS)]]&amp;" "&amp;Master[[#This Row],[Accession Number -Assigned]]</f>
        <v>W6 59613</v>
      </c>
      <c r="C27" s="7" t="str">
        <f>Master[[#This Row],[Accession Prefix (NPGS)]]&amp;" "&amp;Master[[#This Row],[Accession Number -Assigned]]&amp;" **"</f>
        <v>W6 59613 **</v>
      </c>
      <c r="D27" s="76" t="str">
        <f>IF(Master[[#This Row],[Accession Name Category (Identifier 2) -Lookup Picker]]="","",Master[[#This Row],[Accession Name Category (Identifier 2) -Lookup Picker]])</f>
        <v>Collector identifier</v>
      </c>
      <c r="E27" s="76" t="str">
        <f>IF(Master[[#This Row],[Accession Name (Identifier 2)]]="","",Master[[#This Row],[Accession Name (Identifier 2)]])</f>
        <v>CO932-425</v>
      </c>
      <c r="F27" s="45" t="str">
        <f>IF(Master[[#This Row],[Accession Name Cooperator (Identifier 2) -name, organization]]="","",Master[[#This Row],[Accession Name Cooperator (Identifier 2) -name, organization]])</f>
        <v/>
      </c>
      <c r="G27" s="7" t="str">
        <f t="shared" si="1"/>
        <v>Y</v>
      </c>
      <c r="I27" s="8"/>
      <c r="M27" s="8"/>
    </row>
    <row r="28" spans="2:13" x14ac:dyDescent="0.25">
      <c r="B28" s="7" t="str">
        <f>Master[[#This Row],[Accession Prefix (NPGS)]]&amp;" "&amp;Master[[#This Row],[Accession Number -Assigned]]</f>
        <v>W6 59614</v>
      </c>
      <c r="C28" s="7" t="str">
        <f>Master[[#This Row],[Accession Prefix (NPGS)]]&amp;" "&amp;Master[[#This Row],[Accession Number -Assigned]]&amp;" **"</f>
        <v>W6 59614 **</v>
      </c>
      <c r="D28" s="76" t="str">
        <f>IF(Master[[#This Row],[Accession Name Category (Identifier 2) -Lookup Picker]]="","",Master[[#This Row],[Accession Name Category (Identifier 2) -Lookup Picker]])</f>
        <v>Collector identifier</v>
      </c>
      <c r="E28" s="76" t="str">
        <f>IF(Master[[#This Row],[Accession Name (Identifier 2)]]="","",Master[[#This Row],[Accession Name (Identifier 2)]])</f>
        <v>CO932-426</v>
      </c>
      <c r="F28" s="45" t="str">
        <f>IF(Master[[#This Row],[Accession Name Cooperator (Identifier 2) -name, organization]]="","",Master[[#This Row],[Accession Name Cooperator (Identifier 2) -name, organization]])</f>
        <v/>
      </c>
      <c r="G28" s="7" t="str">
        <f t="shared" si="1"/>
        <v>Y</v>
      </c>
      <c r="I28" s="8"/>
      <c r="M28" s="8"/>
    </row>
    <row r="29" spans="2:13" x14ac:dyDescent="0.25">
      <c r="B29" s="7" t="str">
        <f>Master[[#This Row],[Accession Prefix (NPGS)]]&amp;" "&amp;Master[[#This Row],[Accession Number -Assigned]]</f>
        <v>W6 59615</v>
      </c>
      <c r="C29" s="7" t="str">
        <f>Master[[#This Row],[Accession Prefix (NPGS)]]&amp;" "&amp;Master[[#This Row],[Accession Number -Assigned]]&amp;" **"</f>
        <v>W6 59615 **</v>
      </c>
      <c r="D29" s="76" t="str">
        <f>IF(Master[[#This Row],[Accession Name Category (Identifier 2) -Lookup Picker]]="","",Master[[#This Row],[Accession Name Category (Identifier 2) -Lookup Picker]])</f>
        <v>Collector identifier</v>
      </c>
      <c r="E29" s="76" t="str">
        <f>IF(Master[[#This Row],[Accession Name (Identifier 2)]]="","",Master[[#This Row],[Accession Name (Identifier 2)]])</f>
        <v>CO932-427</v>
      </c>
      <c r="F29" s="45" t="str">
        <f>IF(Master[[#This Row],[Accession Name Cooperator (Identifier 2) -name, organization]]="","",Master[[#This Row],[Accession Name Cooperator (Identifier 2) -name, organization]])</f>
        <v/>
      </c>
      <c r="G29" s="7" t="str">
        <f t="shared" si="1"/>
        <v>Y</v>
      </c>
      <c r="I29" s="8"/>
      <c r="M29" s="8"/>
    </row>
    <row r="30" spans="2:13" x14ac:dyDescent="0.25">
      <c r="B30" s="7" t="str">
        <f>Master[[#This Row],[Accession Prefix (NPGS)]]&amp;" "&amp;Master[[#This Row],[Accession Number -Assigned]]</f>
        <v>W6 59616</v>
      </c>
      <c r="C30" s="7" t="str">
        <f>Master[[#This Row],[Accession Prefix (NPGS)]]&amp;" "&amp;Master[[#This Row],[Accession Number -Assigned]]&amp;" **"</f>
        <v>W6 59616 **</v>
      </c>
      <c r="D30" s="76" t="str">
        <f>IF(Master[[#This Row],[Accession Name Category (Identifier 2) -Lookup Picker]]="","",Master[[#This Row],[Accession Name Category (Identifier 2) -Lookup Picker]])</f>
        <v>Collector identifier</v>
      </c>
      <c r="E30" s="76" t="str">
        <f>IF(Master[[#This Row],[Accession Name (Identifier 2)]]="","",Master[[#This Row],[Accession Name (Identifier 2)]])</f>
        <v>CO932-428</v>
      </c>
      <c r="F30" s="45" t="str">
        <f>IF(Master[[#This Row],[Accession Name Cooperator (Identifier 2) -name, organization]]="","",Master[[#This Row],[Accession Name Cooperator (Identifier 2) -name, organization]])</f>
        <v/>
      </c>
      <c r="G30" s="7" t="str">
        <f t="shared" si="1"/>
        <v>Y</v>
      </c>
      <c r="I30" s="8"/>
      <c r="M30" s="8"/>
    </row>
    <row r="31" spans="2:13" x14ac:dyDescent="0.25">
      <c r="B31" s="7" t="str">
        <f>Master[[#This Row],[Accession Prefix (NPGS)]]&amp;" "&amp;Master[[#This Row],[Accession Number -Assigned]]</f>
        <v>W6 59617</v>
      </c>
      <c r="C31" s="7" t="str">
        <f>Master[[#This Row],[Accession Prefix (NPGS)]]&amp;" "&amp;Master[[#This Row],[Accession Number -Assigned]]&amp;" **"</f>
        <v>W6 59617 **</v>
      </c>
      <c r="D31" s="76" t="str">
        <f>IF(Master[[#This Row],[Accession Name Category (Identifier 2) -Lookup Picker]]="","",Master[[#This Row],[Accession Name Category (Identifier 2) -Lookup Picker]])</f>
        <v>Collector identifier</v>
      </c>
      <c r="E31" s="76" t="str">
        <f>IF(Master[[#This Row],[Accession Name (Identifier 2)]]="","",Master[[#This Row],[Accession Name (Identifier 2)]])</f>
        <v>NV030-1506</v>
      </c>
      <c r="F31" s="45" t="str">
        <f>IF(Master[[#This Row],[Accession Name Cooperator (Identifier 2) -name, organization]]="","",Master[[#This Row],[Accession Name Cooperator (Identifier 2) -name, organization]])</f>
        <v/>
      </c>
      <c r="G31" s="7" t="str">
        <f t="shared" si="1"/>
        <v>Y</v>
      </c>
      <c r="I31" s="8"/>
      <c r="M31" s="8"/>
    </row>
    <row r="32" spans="2:13" x14ac:dyDescent="0.25">
      <c r="B32" s="7" t="str">
        <f>Master[[#This Row],[Accession Prefix (NPGS)]]&amp;" "&amp;Master[[#This Row],[Accession Number -Assigned]]</f>
        <v>W6 59618</v>
      </c>
      <c r="C32" s="7" t="str">
        <f>Master[[#This Row],[Accession Prefix (NPGS)]]&amp;" "&amp;Master[[#This Row],[Accession Number -Assigned]]&amp;" **"</f>
        <v>W6 59618 **</v>
      </c>
      <c r="D32" s="76" t="str">
        <f>IF(Master[[#This Row],[Accession Name Category (Identifier 2) -Lookup Picker]]="","",Master[[#This Row],[Accession Name Category (Identifier 2) -Lookup Picker]])</f>
        <v>Collector identifier</v>
      </c>
      <c r="E32" s="76" t="str">
        <f>IF(Master[[#This Row],[Accession Name (Identifier 2)]]="","",Master[[#This Row],[Accession Name (Identifier 2)]])</f>
        <v>NV030-1507</v>
      </c>
      <c r="F32" s="45" t="str">
        <f>IF(Master[[#This Row],[Accession Name Cooperator (Identifier 2) -name, organization]]="","",Master[[#This Row],[Accession Name Cooperator (Identifier 2) -name, organization]])</f>
        <v/>
      </c>
      <c r="G32" s="7" t="str">
        <f t="shared" si="1"/>
        <v>Y</v>
      </c>
      <c r="I32" s="8"/>
      <c r="M32" s="8"/>
    </row>
    <row r="33" spans="2:13" x14ac:dyDescent="0.25">
      <c r="B33" s="7" t="str">
        <f>Master[[#This Row],[Accession Prefix (NPGS)]]&amp;" "&amp;Master[[#This Row],[Accession Number -Assigned]]</f>
        <v>W6 59619</v>
      </c>
      <c r="C33" s="7" t="str">
        <f>Master[[#This Row],[Accession Prefix (NPGS)]]&amp;" "&amp;Master[[#This Row],[Accession Number -Assigned]]&amp;" **"</f>
        <v>W6 59619 **</v>
      </c>
      <c r="D33" s="76" t="str">
        <f>IF(Master[[#This Row],[Accession Name Category (Identifier 2) -Lookup Picker]]="","",Master[[#This Row],[Accession Name Category (Identifier 2) -Lookup Picker]])</f>
        <v>Collector identifier</v>
      </c>
      <c r="E33" s="76" t="str">
        <f>IF(Master[[#This Row],[Accession Name (Identifier 2)]]="","",Master[[#This Row],[Accession Name (Identifier 2)]])</f>
        <v>NV030-1508</v>
      </c>
      <c r="F33" s="45" t="str">
        <f>IF(Master[[#This Row],[Accession Name Cooperator (Identifier 2) -name, organization]]="","",Master[[#This Row],[Accession Name Cooperator (Identifier 2) -name, organization]])</f>
        <v/>
      </c>
      <c r="G33" s="7" t="str">
        <f t="shared" si="1"/>
        <v>Y</v>
      </c>
      <c r="I33" s="8"/>
      <c r="M33" s="8"/>
    </row>
    <row r="34" spans="2:13" x14ac:dyDescent="0.25">
      <c r="B34" s="7" t="str">
        <f>Master[[#This Row],[Accession Prefix (NPGS)]]&amp;" "&amp;Master[[#This Row],[Accession Number -Assigned]]</f>
        <v>W6 59620</v>
      </c>
      <c r="C34" s="7" t="str">
        <f>Master[[#This Row],[Accession Prefix (NPGS)]]&amp;" "&amp;Master[[#This Row],[Accession Number -Assigned]]&amp;" **"</f>
        <v>W6 59620 **</v>
      </c>
      <c r="D34" s="76" t="str">
        <f>IF(Master[[#This Row],[Accession Name Category (Identifier 2) -Lookup Picker]]="","",Master[[#This Row],[Accession Name Category (Identifier 2) -Lookup Picker]])</f>
        <v>Collector identifier</v>
      </c>
      <c r="E34" s="76" t="str">
        <f>IF(Master[[#This Row],[Accession Name (Identifier 2)]]="","",Master[[#This Row],[Accession Name (Identifier 2)]])</f>
        <v>NV030-1509</v>
      </c>
      <c r="F34" s="45" t="str">
        <f>IF(Master[[#This Row],[Accession Name Cooperator (Identifier 2) -name, organization]]="","",Master[[#This Row],[Accession Name Cooperator (Identifier 2) -name, organization]])</f>
        <v/>
      </c>
      <c r="G34" s="7" t="str">
        <f t="shared" si="1"/>
        <v>Y</v>
      </c>
      <c r="I34" s="8"/>
      <c r="M34" s="8"/>
    </row>
    <row r="35" spans="2:13" x14ac:dyDescent="0.25">
      <c r="B35" s="7" t="str">
        <f>Master[[#This Row],[Accession Prefix (NPGS)]]&amp;" "&amp;Master[[#This Row],[Accession Number -Assigned]]</f>
        <v>W6 59621</v>
      </c>
      <c r="C35" s="7" t="str">
        <f>Master[[#This Row],[Accession Prefix (NPGS)]]&amp;" "&amp;Master[[#This Row],[Accession Number -Assigned]]&amp;" **"</f>
        <v>W6 59621 **</v>
      </c>
      <c r="D35" s="76" t="str">
        <f>IF(Master[[#This Row],[Accession Name Category (Identifier 2) -Lookup Picker]]="","",Master[[#This Row],[Accession Name Category (Identifier 2) -Lookup Picker]])</f>
        <v>Collector identifier</v>
      </c>
      <c r="E35" s="76" t="str">
        <f>IF(Master[[#This Row],[Accession Name (Identifier 2)]]="","",Master[[#This Row],[Accession Name (Identifier 2)]])</f>
        <v>NV030-1510</v>
      </c>
      <c r="F35" s="45" t="str">
        <f>IF(Master[[#This Row],[Accession Name Cooperator (Identifier 2) -name, organization]]="","",Master[[#This Row],[Accession Name Cooperator (Identifier 2) -name, organization]])</f>
        <v/>
      </c>
      <c r="G35" s="7" t="str">
        <f t="shared" si="1"/>
        <v>Y</v>
      </c>
      <c r="I35" s="8"/>
      <c r="M35" s="8"/>
    </row>
    <row r="36" spans="2:13" x14ac:dyDescent="0.25">
      <c r="B36" s="7" t="str">
        <f>Master[[#This Row],[Accession Prefix (NPGS)]]&amp;" "&amp;Master[[#This Row],[Accession Number -Assigned]]</f>
        <v>W6 59622</v>
      </c>
      <c r="C36" s="7" t="str">
        <f>Master[[#This Row],[Accession Prefix (NPGS)]]&amp;" "&amp;Master[[#This Row],[Accession Number -Assigned]]&amp;" **"</f>
        <v>W6 59622 **</v>
      </c>
      <c r="D36" s="76" t="str">
        <f>IF(Master[[#This Row],[Accession Name Category (Identifier 2) -Lookup Picker]]="","",Master[[#This Row],[Accession Name Category (Identifier 2) -Lookup Picker]])</f>
        <v>Collector identifier</v>
      </c>
      <c r="E36" s="76" t="str">
        <f>IF(Master[[#This Row],[Accession Name (Identifier 2)]]="","",Master[[#This Row],[Accession Name (Identifier 2)]])</f>
        <v>NV030-1511</v>
      </c>
      <c r="F36" s="45" t="str">
        <f>IF(Master[[#This Row],[Accession Name Cooperator (Identifier 2) -name, organization]]="","",Master[[#This Row],[Accession Name Cooperator (Identifier 2) -name, organization]])</f>
        <v/>
      </c>
      <c r="G36" s="7" t="str">
        <f t="shared" si="1"/>
        <v>Y</v>
      </c>
      <c r="I36" s="8"/>
      <c r="M36" s="8"/>
    </row>
    <row r="37" spans="2:13" x14ac:dyDescent="0.25">
      <c r="B37" s="7" t="str">
        <f>Master[[#This Row],[Accession Prefix (NPGS)]]&amp;" "&amp;Master[[#This Row],[Accession Number -Assigned]]</f>
        <v>W6 59623</v>
      </c>
      <c r="C37" s="7" t="str">
        <f>Master[[#This Row],[Accession Prefix (NPGS)]]&amp;" "&amp;Master[[#This Row],[Accession Number -Assigned]]&amp;" **"</f>
        <v>W6 59623 **</v>
      </c>
      <c r="D37" s="76" t="str">
        <f>IF(Master[[#This Row],[Accession Name Category (Identifier 2) -Lookup Picker]]="","",Master[[#This Row],[Accession Name Category (Identifier 2) -Lookup Picker]])</f>
        <v>Collector identifier</v>
      </c>
      <c r="E37" s="76" t="str">
        <f>IF(Master[[#This Row],[Accession Name (Identifier 2)]]="","",Master[[#This Row],[Accession Name (Identifier 2)]])</f>
        <v>NV030-1513</v>
      </c>
      <c r="F37" s="45" t="str">
        <f>IF(Master[[#This Row],[Accession Name Cooperator (Identifier 2) -name, organization]]="","",Master[[#This Row],[Accession Name Cooperator (Identifier 2) -name, organization]])</f>
        <v/>
      </c>
      <c r="G37" s="7" t="str">
        <f t="shared" si="1"/>
        <v>Y</v>
      </c>
      <c r="I37" s="8"/>
      <c r="M37" s="8"/>
    </row>
    <row r="38" spans="2:13" x14ac:dyDescent="0.25">
      <c r="B38" s="7" t="str">
        <f>Master[[#This Row],[Accession Prefix (NPGS)]]&amp;" "&amp;Master[[#This Row],[Accession Number -Assigned]]</f>
        <v>W6 59624</v>
      </c>
      <c r="C38" s="7" t="str">
        <f>Master[[#This Row],[Accession Prefix (NPGS)]]&amp;" "&amp;Master[[#This Row],[Accession Number -Assigned]]&amp;" **"</f>
        <v>W6 59624 **</v>
      </c>
      <c r="D38" s="76" t="str">
        <f>IF(Master[[#This Row],[Accession Name Category (Identifier 2) -Lookup Picker]]="","",Master[[#This Row],[Accession Name Category (Identifier 2) -Lookup Picker]])</f>
        <v>Collector identifier</v>
      </c>
      <c r="E38" s="76" t="str">
        <f>IF(Master[[#This Row],[Accession Name (Identifier 2)]]="","",Master[[#This Row],[Accession Name (Identifier 2)]])</f>
        <v>NV030-1515</v>
      </c>
      <c r="F38" s="45" t="str">
        <f>IF(Master[[#This Row],[Accession Name Cooperator (Identifier 2) -name, organization]]="","",Master[[#This Row],[Accession Name Cooperator (Identifier 2) -name, organization]])</f>
        <v/>
      </c>
      <c r="G38" s="7" t="str">
        <f t="shared" si="1"/>
        <v>Y</v>
      </c>
      <c r="I38" s="8"/>
      <c r="M38" s="8"/>
    </row>
    <row r="39" spans="2:13" x14ac:dyDescent="0.25">
      <c r="B39" s="7" t="str">
        <f>Master[[#This Row],[Accession Prefix (NPGS)]]&amp;" "&amp;Master[[#This Row],[Accession Number -Assigned]]</f>
        <v>W6 59625</v>
      </c>
      <c r="C39" s="7" t="str">
        <f>Master[[#This Row],[Accession Prefix (NPGS)]]&amp;" "&amp;Master[[#This Row],[Accession Number -Assigned]]&amp;" **"</f>
        <v>W6 59625 **</v>
      </c>
      <c r="D39" s="76" t="str">
        <f>IF(Master[[#This Row],[Accession Name Category (Identifier 2) -Lookup Picker]]="","",Master[[#This Row],[Accession Name Category (Identifier 2) -Lookup Picker]])</f>
        <v>Collector identifier</v>
      </c>
      <c r="E39" s="76" t="str">
        <f>IF(Master[[#This Row],[Accession Name (Identifier 2)]]="","",Master[[#This Row],[Accession Name (Identifier 2)]])</f>
        <v>NV030-1517</v>
      </c>
      <c r="F39" s="45" t="str">
        <f>IF(Master[[#This Row],[Accession Name Cooperator (Identifier 2) -name, organization]]="","",Master[[#This Row],[Accession Name Cooperator (Identifier 2) -name, organization]])</f>
        <v/>
      </c>
      <c r="G39" s="7" t="str">
        <f t="shared" si="1"/>
        <v>Y</v>
      </c>
      <c r="I39" s="8"/>
      <c r="M39" s="8"/>
    </row>
    <row r="40" spans="2:13" x14ac:dyDescent="0.25">
      <c r="B40" s="7" t="str">
        <f>Master[[#This Row],[Accession Prefix (NPGS)]]&amp;" "&amp;Master[[#This Row],[Accession Number -Assigned]]</f>
        <v>W6 59626</v>
      </c>
      <c r="C40" s="7" t="str">
        <f>Master[[#This Row],[Accession Prefix (NPGS)]]&amp;" "&amp;Master[[#This Row],[Accession Number -Assigned]]&amp;" **"</f>
        <v>W6 59626 **</v>
      </c>
      <c r="D40" s="76" t="str">
        <f>IF(Master[[#This Row],[Accession Name Category (Identifier 2) -Lookup Picker]]="","",Master[[#This Row],[Accession Name Category (Identifier 2) -Lookup Picker]])</f>
        <v>Collector identifier</v>
      </c>
      <c r="E40" s="76" t="str">
        <f>IF(Master[[#This Row],[Accession Name (Identifier 2)]]="","",Master[[#This Row],[Accession Name (Identifier 2)]])</f>
        <v>NV030-1519</v>
      </c>
      <c r="F40" s="45" t="str">
        <f>IF(Master[[#This Row],[Accession Name Cooperator (Identifier 2) -name, organization]]="","",Master[[#This Row],[Accession Name Cooperator (Identifier 2) -name, organization]])</f>
        <v/>
      </c>
      <c r="G40" s="7" t="str">
        <f t="shared" si="1"/>
        <v>Y</v>
      </c>
      <c r="I40" s="8"/>
      <c r="M40" s="8"/>
    </row>
    <row r="41" spans="2:13" x14ac:dyDescent="0.25">
      <c r="B41" s="7" t="str">
        <f>Master[[#This Row],[Accession Prefix (NPGS)]]&amp;" "&amp;Master[[#This Row],[Accession Number -Assigned]]</f>
        <v>W6 59627</v>
      </c>
      <c r="C41" s="7" t="str">
        <f>Master[[#This Row],[Accession Prefix (NPGS)]]&amp;" "&amp;Master[[#This Row],[Accession Number -Assigned]]&amp;" **"</f>
        <v>W6 59627 **</v>
      </c>
      <c r="D41" s="76" t="str">
        <f>IF(Master[[#This Row],[Accession Name Category (Identifier 2) -Lookup Picker]]="","",Master[[#This Row],[Accession Name Category (Identifier 2) -Lookup Picker]])</f>
        <v>Collector identifier</v>
      </c>
      <c r="E41" s="76" t="str">
        <f>IF(Master[[#This Row],[Accession Name (Identifier 2)]]="","",Master[[#This Row],[Accession Name (Identifier 2)]])</f>
        <v>NV030-1520</v>
      </c>
      <c r="F41" s="45" t="str">
        <f>IF(Master[[#This Row],[Accession Name Cooperator (Identifier 2) -name, organization]]="","",Master[[#This Row],[Accession Name Cooperator (Identifier 2) -name, organization]])</f>
        <v/>
      </c>
      <c r="G41" s="7" t="str">
        <f t="shared" si="1"/>
        <v>Y</v>
      </c>
      <c r="I41" s="8"/>
      <c r="M41" s="8"/>
    </row>
    <row r="42" spans="2:13" x14ac:dyDescent="0.25">
      <c r="B42" s="7" t="str">
        <f>Master[[#This Row],[Accession Prefix (NPGS)]]&amp;" "&amp;Master[[#This Row],[Accession Number -Assigned]]</f>
        <v>W6 59628</v>
      </c>
      <c r="C42" s="7" t="str">
        <f>Master[[#This Row],[Accession Prefix (NPGS)]]&amp;" "&amp;Master[[#This Row],[Accession Number -Assigned]]&amp;" **"</f>
        <v>W6 59628 **</v>
      </c>
      <c r="D42" s="76" t="str">
        <f>IF(Master[[#This Row],[Accession Name Category (Identifier 2) -Lookup Picker]]="","",Master[[#This Row],[Accession Name Category (Identifier 2) -Lookup Picker]])</f>
        <v>Collector identifier</v>
      </c>
      <c r="E42" s="76" t="str">
        <f>IF(Master[[#This Row],[Accession Name (Identifier 2)]]="","",Master[[#This Row],[Accession Name (Identifier 2)]])</f>
        <v>NV030-1521</v>
      </c>
      <c r="F42" s="45" t="str">
        <f>IF(Master[[#This Row],[Accession Name Cooperator (Identifier 2) -name, organization]]="","",Master[[#This Row],[Accession Name Cooperator (Identifier 2) -name, organization]])</f>
        <v/>
      </c>
      <c r="G42" s="7" t="str">
        <f t="shared" si="1"/>
        <v>Y</v>
      </c>
      <c r="I42" s="8"/>
      <c r="M42" s="8"/>
    </row>
    <row r="43" spans="2:13" x14ac:dyDescent="0.25">
      <c r="B43" s="7" t="str">
        <f>Master[[#This Row],[Accession Prefix (NPGS)]]&amp;" "&amp;Master[[#This Row],[Accession Number -Assigned]]</f>
        <v>W6 59629</v>
      </c>
      <c r="C43" s="7" t="str">
        <f>Master[[#This Row],[Accession Prefix (NPGS)]]&amp;" "&amp;Master[[#This Row],[Accession Number -Assigned]]&amp;" **"</f>
        <v>W6 59629 **</v>
      </c>
      <c r="D43" s="76" t="str">
        <f>IF(Master[[#This Row],[Accession Name Category (Identifier 2) -Lookup Picker]]="","",Master[[#This Row],[Accession Name Category (Identifier 2) -Lookup Picker]])</f>
        <v>Collector identifier</v>
      </c>
      <c r="E43" s="76" t="str">
        <f>IF(Master[[#This Row],[Accession Name (Identifier 2)]]="","",Master[[#This Row],[Accession Name (Identifier 2)]])</f>
        <v>NV030-1522</v>
      </c>
      <c r="F43" s="45" t="str">
        <f>IF(Master[[#This Row],[Accession Name Cooperator (Identifier 2) -name, organization]]="","",Master[[#This Row],[Accession Name Cooperator (Identifier 2) -name, organization]])</f>
        <v/>
      </c>
      <c r="G43" s="7" t="str">
        <f t="shared" si="1"/>
        <v>Y</v>
      </c>
      <c r="I43" s="8"/>
      <c r="M43" s="8"/>
    </row>
    <row r="44" spans="2:13" x14ac:dyDescent="0.25">
      <c r="B44" s="7" t="str">
        <f>Master[[#This Row],[Accession Prefix (NPGS)]]&amp;" "&amp;Master[[#This Row],[Accession Number -Assigned]]</f>
        <v>W6 59630</v>
      </c>
      <c r="C44" s="7" t="str">
        <f>Master[[#This Row],[Accession Prefix (NPGS)]]&amp;" "&amp;Master[[#This Row],[Accession Number -Assigned]]&amp;" **"</f>
        <v>W6 59630 **</v>
      </c>
      <c r="D44" s="76" t="str">
        <f>IF(Master[[#This Row],[Accession Name Category (Identifier 2) -Lookup Picker]]="","",Master[[#This Row],[Accession Name Category (Identifier 2) -Lookup Picker]])</f>
        <v>Collector identifier</v>
      </c>
      <c r="E44" s="76" t="str">
        <f>IF(Master[[#This Row],[Accession Name (Identifier 2)]]="","",Master[[#This Row],[Accession Name (Identifier 2)]])</f>
        <v>NV030-1523</v>
      </c>
      <c r="F44" s="45" t="str">
        <f>IF(Master[[#This Row],[Accession Name Cooperator (Identifier 2) -name, organization]]="","",Master[[#This Row],[Accession Name Cooperator (Identifier 2) -name, organization]])</f>
        <v/>
      </c>
      <c r="G44" s="7" t="str">
        <f t="shared" si="1"/>
        <v>Y</v>
      </c>
      <c r="I44" s="8"/>
      <c r="M44" s="8"/>
    </row>
    <row r="45" spans="2:13" x14ac:dyDescent="0.25">
      <c r="B45" s="7" t="str">
        <f>Master[[#This Row],[Accession Prefix (NPGS)]]&amp;" "&amp;Master[[#This Row],[Accession Number -Assigned]]</f>
        <v>W6 59631</v>
      </c>
      <c r="C45" s="7" t="str">
        <f>Master[[#This Row],[Accession Prefix (NPGS)]]&amp;" "&amp;Master[[#This Row],[Accession Number -Assigned]]&amp;" **"</f>
        <v>W6 59631 **</v>
      </c>
      <c r="D45" s="76" t="str">
        <f>IF(Master[[#This Row],[Accession Name Category (Identifier 2) -Lookup Picker]]="","",Master[[#This Row],[Accession Name Category (Identifier 2) -Lookup Picker]])</f>
        <v>Collector identifier</v>
      </c>
      <c r="E45" s="76" t="str">
        <f>IF(Master[[#This Row],[Accession Name (Identifier 2)]]="","",Master[[#This Row],[Accession Name (Identifier 2)]])</f>
        <v>NV030-1524</v>
      </c>
      <c r="F45" s="45" t="str">
        <f>IF(Master[[#This Row],[Accession Name Cooperator (Identifier 2) -name, organization]]="","",Master[[#This Row],[Accession Name Cooperator (Identifier 2) -name, organization]])</f>
        <v/>
      </c>
      <c r="G45" s="7" t="str">
        <f t="shared" si="1"/>
        <v>Y</v>
      </c>
      <c r="I45" s="8"/>
      <c r="M45" s="8"/>
    </row>
    <row r="46" spans="2:13" x14ac:dyDescent="0.25">
      <c r="B46" s="7" t="str">
        <f>Master[[#This Row],[Accession Prefix (NPGS)]]&amp;" "&amp;Master[[#This Row],[Accession Number -Assigned]]</f>
        <v>W6 59632</v>
      </c>
      <c r="C46" s="7" t="str">
        <f>Master[[#This Row],[Accession Prefix (NPGS)]]&amp;" "&amp;Master[[#This Row],[Accession Number -Assigned]]&amp;" **"</f>
        <v>W6 59632 **</v>
      </c>
      <c r="D46" s="76" t="str">
        <f>IF(Master[[#This Row],[Accession Name Category (Identifier 2) -Lookup Picker]]="","",Master[[#This Row],[Accession Name Category (Identifier 2) -Lookup Picker]])</f>
        <v>Collector identifier</v>
      </c>
      <c r="E46" s="76" t="str">
        <f>IF(Master[[#This Row],[Accession Name (Identifier 2)]]="","",Master[[#This Row],[Accession Name (Identifier 2)]])</f>
        <v>NV030-1525</v>
      </c>
      <c r="F46" s="45" t="str">
        <f>IF(Master[[#This Row],[Accession Name Cooperator (Identifier 2) -name, organization]]="","",Master[[#This Row],[Accession Name Cooperator (Identifier 2) -name, organization]])</f>
        <v/>
      </c>
      <c r="G46" s="7" t="str">
        <f t="shared" si="1"/>
        <v>Y</v>
      </c>
      <c r="I46" s="8"/>
      <c r="M46" s="8"/>
    </row>
    <row r="47" spans="2:13" x14ac:dyDescent="0.25">
      <c r="B47" s="7" t="str">
        <f>Master[[#This Row],[Accession Prefix (NPGS)]]&amp;" "&amp;Master[[#This Row],[Accession Number -Assigned]]</f>
        <v>W6 59633</v>
      </c>
      <c r="C47" s="7" t="str">
        <f>Master[[#This Row],[Accession Prefix (NPGS)]]&amp;" "&amp;Master[[#This Row],[Accession Number -Assigned]]&amp;" **"</f>
        <v>W6 59633 **</v>
      </c>
      <c r="D47" s="76" t="str">
        <f>IF(Master[[#This Row],[Accession Name Category (Identifier 2) -Lookup Picker]]="","",Master[[#This Row],[Accession Name Category (Identifier 2) -Lookup Picker]])</f>
        <v>Collector identifier</v>
      </c>
      <c r="E47" s="76" t="str">
        <f>IF(Master[[#This Row],[Accession Name (Identifier 2)]]="","",Master[[#This Row],[Accession Name (Identifier 2)]])</f>
        <v>NV030-1526</v>
      </c>
      <c r="F47" s="45" t="str">
        <f>IF(Master[[#This Row],[Accession Name Cooperator (Identifier 2) -name, organization]]="","",Master[[#This Row],[Accession Name Cooperator (Identifier 2) -name, organization]])</f>
        <v/>
      </c>
      <c r="G47" s="7" t="str">
        <f t="shared" si="1"/>
        <v>Y</v>
      </c>
      <c r="I47" s="8"/>
      <c r="M47" s="8"/>
    </row>
    <row r="48" spans="2:13" x14ac:dyDescent="0.25">
      <c r="B48" s="7" t="str">
        <f>Master[[#This Row],[Accession Prefix (NPGS)]]&amp;" "&amp;Master[[#This Row],[Accession Number -Assigned]]</f>
        <v>W6 59634</v>
      </c>
      <c r="C48" s="7" t="str">
        <f>Master[[#This Row],[Accession Prefix (NPGS)]]&amp;" "&amp;Master[[#This Row],[Accession Number -Assigned]]&amp;" **"</f>
        <v>W6 59634 **</v>
      </c>
      <c r="D48" s="76" t="str">
        <f>IF(Master[[#This Row],[Accession Name Category (Identifier 2) -Lookup Picker]]="","",Master[[#This Row],[Accession Name Category (Identifier 2) -Lookup Picker]])</f>
        <v>Collector identifier</v>
      </c>
      <c r="E48" s="76" t="str">
        <f>IF(Master[[#This Row],[Accession Name (Identifier 2)]]="","",Master[[#This Row],[Accession Name (Identifier 2)]])</f>
        <v>NV030-1527</v>
      </c>
      <c r="F48" s="45" t="str">
        <f>IF(Master[[#This Row],[Accession Name Cooperator (Identifier 2) -name, organization]]="","",Master[[#This Row],[Accession Name Cooperator (Identifier 2) -name, organization]])</f>
        <v/>
      </c>
      <c r="G48" s="7" t="str">
        <f t="shared" si="1"/>
        <v>Y</v>
      </c>
      <c r="I48" s="8"/>
      <c r="M48" s="8"/>
    </row>
    <row r="49" spans="2:13" x14ac:dyDescent="0.25">
      <c r="B49" s="7" t="str">
        <f>Master[[#This Row],[Accession Prefix (NPGS)]]&amp;" "&amp;Master[[#This Row],[Accession Number -Assigned]]</f>
        <v>W6 59635</v>
      </c>
      <c r="C49" s="7" t="str">
        <f>Master[[#This Row],[Accession Prefix (NPGS)]]&amp;" "&amp;Master[[#This Row],[Accession Number -Assigned]]&amp;" **"</f>
        <v>W6 59635 **</v>
      </c>
      <c r="D49" s="76" t="str">
        <f>IF(Master[[#This Row],[Accession Name Category (Identifier 2) -Lookup Picker]]="","",Master[[#This Row],[Accession Name Category (Identifier 2) -Lookup Picker]])</f>
        <v>Collector identifier</v>
      </c>
      <c r="E49" s="76" t="str">
        <f>IF(Master[[#This Row],[Accession Name (Identifier 2)]]="","",Master[[#This Row],[Accession Name (Identifier 2)]])</f>
        <v>NV030-1528</v>
      </c>
      <c r="F49" s="45" t="str">
        <f>IF(Master[[#This Row],[Accession Name Cooperator (Identifier 2) -name, organization]]="","",Master[[#This Row],[Accession Name Cooperator (Identifier 2) -name, organization]])</f>
        <v/>
      </c>
      <c r="G49" s="7" t="str">
        <f t="shared" si="1"/>
        <v>Y</v>
      </c>
      <c r="I49" s="8"/>
      <c r="M49" s="8"/>
    </row>
    <row r="50" spans="2:13" x14ac:dyDescent="0.25">
      <c r="B50" s="7" t="str">
        <f>Master[[#This Row],[Accession Prefix (NPGS)]]&amp;" "&amp;Master[[#This Row],[Accession Number -Assigned]]</f>
        <v>W6 59636</v>
      </c>
      <c r="C50" s="7" t="str">
        <f>Master[[#This Row],[Accession Prefix (NPGS)]]&amp;" "&amp;Master[[#This Row],[Accession Number -Assigned]]&amp;" **"</f>
        <v>W6 59636 **</v>
      </c>
      <c r="D50" s="76" t="str">
        <f>IF(Master[[#This Row],[Accession Name Category (Identifier 2) -Lookup Picker]]="","",Master[[#This Row],[Accession Name Category (Identifier 2) -Lookup Picker]])</f>
        <v>Collector identifier</v>
      </c>
      <c r="E50" s="76" t="str">
        <f>IF(Master[[#This Row],[Accession Name (Identifier 2)]]="","",Master[[#This Row],[Accession Name (Identifier 2)]])</f>
        <v>NV030-1529</v>
      </c>
      <c r="F50" s="45" t="str">
        <f>IF(Master[[#This Row],[Accession Name Cooperator (Identifier 2) -name, organization]]="","",Master[[#This Row],[Accession Name Cooperator (Identifier 2) -name, organization]])</f>
        <v/>
      </c>
      <c r="G50" s="7" t="str">
        <f t="shared" si="1"/>
        <v>Y</v>
      </c>
      <c r="I50" s="8"/>
      <c r="M50" s="8"/>
    </row>
    <row r="51" spans="2:13" x14ac:dyDescent="0.25">
      <c r="B51" s="7" t="str">
        <f>Master[[#This Row],[Accession Prefix (NPGS)]]&amp;" "&amp;Master[[#This Row],[Accession Number -Assigned]]</f>
        <v>W6 59637</v>
      </c>
      <c r="C51" s="7" t="str">
        <f>Master[[#This Row],[Accession Prefix (NPGS)]]&amp;" "&amp;Master[[#This Row],[Accession Number -Assigned]]&amp;" **"</f>
        <v>W6 59637 **</v>
      </c>
      <c r="D51" s="76" t="str">
        <f>IF(Master[[#This Row],[Accession Name Category (Identifier 2) -Lookup Picker]]="","",Master[[#This Row],[Accession Name Category (Identifier 2) -Lookup Picker]])</f>
        <v>Collector identifier</v>
      </c>
      <c r="E51" s="76" t="str">
        <f>IF(Master[[#This Row],[Accession Name (Identifier 2)]]="","",Master[[#This Row],[Accession Name (Identifier 2)]])</f>
        <v>NV030-1530</v>
      </c>
      <c r="F51" s="45" t="str">
        <f>IF(Master[[#This Row],[Accession Name Cooperator (Identifier 2) -name, organization]]="","",Master[[#This Row],[Accession Name Cooperator (Identifier 2) -name, organization]])</f>
        <v/>
      </c>
      <c r="G51" s="7" t="str">
        <f t="shared" si="1"/>
        <v>Y</v>
      </c>
      <c r="I51" s="8"/>
      <c r="M51" s="8"/>
    </row>
    <row r="52" spans="2:13" x14ac:dyDescent="0.25">
      <c r="B52" s="7" t="str">
        <f>Master[[#This Row],[Accession Prefix (NPGS)]]&amp;" "&amp;Master[[#This Row],[Accession Number -Assigned]]</f>
        <v>W6 59638</v>
      </c>
      <c r="C52" s="7" t="str">
        <f>Master[[#This Row],[Accession Prefix (NPGS)]]&amp;" "&amp;Master[[#This Row],[Accession Number -Assigned]]&amp;" **"</f>
        <v>W6 59638 **</v>
      </c>
      <c r="D52" s="76" t="str">
        <f>IF(Master[[#This Row],[Accession Name Category (Identifier 2) -Lookup Picker]]="","",Master[[#This Row],[Accession Name Category (Identifier 2) -Lookup Picker]])</f>
        <v>Collector identifier</v>
      </c>
      <c r="E52" s="76" t="str">
        <f>IF(Master[[#This Row],[Accession Name (Identifier 2)]]="","",Master[[#This Row],[Accession Name (Identifier 2)]])</f>
        <v>NV030-1531</v>
      </c>
      <c r="F52" s="45" t="str">
        <f>IF(Master[[#This Row],[Accession Name Cooperator (Identifier 2) -name, organization]]="","",Master[[#This Row],[Accession Name Cooperator (Identifier 2) -name, organization]])</f>
        <v/>
      </c>
      <c r="G52" s="7" t="str">
        <f t="shared" si="1"/>
        <v>Y</v>
      </c>
      <c r="I52" s="8"/>
      <c r="M52" s="8"/>
    </row>
    <row r="53" spans="2:13" x14ac:dyDescent="0.25">
      <c r="B53" s="7" t="str">
        <f>Master[[#This Row],[Accession Prefix (NPGS)]]&amp;" "&amp;Master[[#This Row],[Accession Number -Assigned]]</f>
        <v>W6 59639</v>
      </c>
      <c r="C53" s="7" t="str">
        <f>Master[[#This Row],[Accession Prefix (NPGS)]]&amp;" "&amp;Master[[#This Row],[Accession Number -Assigned]]&amp;" **"</f>
        <v>W6 59639 **</v>
      </c>
      <c r="D53" s="76" t="str">
        <f>IF(Master[[#This Row],[Accession Name Category (Identifier 2) -Lookup Picker]]="","",Master[[#This Row],[Accession Name Category (Identifier 2) -Lookup Picker]])</f>
        <v>Collector identifier</v>
      </c>
      <c r="E53" s="76" t="str">
        <f>IF(Master[[#This Row],[Accession Name (Identifier 2)]]="","",Master[[#This Row],[Accession Name (Identifier 2)]])</f>
        <v>NV030-1532</v>
      </c>
      <c r="F53" s="45" t="str">
        <f>IF(Master[[#This Row],[Accession Name Cooperator (Identifier 2) -name, organization]]="","",Master[[#This Row],[Accession Name Cooperator (Identifier 2) -name, organization]])</f>
        <v/>
      </c>
      <c r="G53" s="7" t="str">
        <f t="shared" si="1"/>
        <v>Y</v>
      </c>
      <c r="I53" s="8"/>
      <c r="M53" s="8"/>
    </row>
    <row r="54" spans="2:13" x14ac:dyDescent="0.25">
      <c r="B54" s="7" t="str">
        <f>Master[[#This Row],[Accession Prefix (NPGS)]]&amp;" "&amp;Master[[#This Row],[Accession Number -Assigned]]</f>
        <v>W6 59640</v>
      </c>
      <c r="C54" s="7" t="str">
        <f>Master[[#This Row],[Accession Prefix (NPGS)]]&amp;" "&amp;Master[[#This Row],[Accession Number -Assigned]]&amp;" **"</f>
        <v>W6 59640 **</v>
      </c>
      <c r="D54" s="76" t="str">
        <f>IF(Master[[#This Row],[Accession Name Category (Identifier 2) -Lookup Picker]]="","",Master[[#This Row],[Accession Name Category (Identifier 2) -Lookup Picker]])</f>
        <v>Collector identifier</v>
      </c>
      <c r="E54" s="76" t="str">
        <f>IF(Master[[#This Row],[Accession Name (Identifier 2)]]="","",Master[[#This Row],[Accession Name (Identifier 2)]])</f>
        <v>NV030-1534</v>
      </c>
      <c r="F54" s="45" t="str">
        <f>IF(Master[[#This Row],[Accession Name Cooperator (Identifier 2) -name, organization]]="","",Master[[#This Row],[Accession Name Cooperator (Identifier 2) -name, organization]])</f>
        <v/>
      </c>
      <c r="G54" s="7" t="str">
        <f t="shared" ref="G54:G85" si="2">"Y"</f>
        <v>Y</v>
      </c>
      <c r="I54" s="8"/>
      <c r="M54" s="8"/>
    </row>
    <row r="55" spans="2:13" x14ac:dyDescent="0.25">
      <c r="B55" s="7" t="str">
        <f>Master[[#This Row],[Accession Prefix (NPGS)]]&amp;" "&amp;Master[[#This Row],[Accession Number -Assigned]]</f>
        <v>W6 59641</v>
      </c>
      <c r="C55" s="7" t="str">
        <f>Master[[#This Row],[Accession Prefix (NPGS)]]&amp;" "&amp;Master[[#This Row],[Accession Number -Assigned]]&amp;" **"</f>
        <v>W6 59641 **</v>
      </c>
      <c r="D55" s="76" t="str">
        <f>IF(Master[[#This Row],[Accession Name Category (Identifier 2) -Lookup Picker]]="","",Master[[#This Row],[Accession Name Category (Identifier 2) -Lookup Picker]])</f>
        <v>Collector identifier</v>
      </c>
      <c r="E55" s="76" t="str">
        <f>IF(Master[[#This Row],[Accession Name (Identifier 2)]]="","",Master[[#This Row],[Accession Name (Identifier 2)]])</f>
        <v>NV030-1535</v>
      </c>
      <c r="F55" s="45" t="str">
        <f>IF(Master[[#This Row],[Accession Name Cooperator (Identifier 2) -name, organization]]="","",Master[[#This Row],[Accession Name Cooperator (Identifier 2) -name, organization]])</f>
        <v/>
      </c>
      <c r="G55" s="7" t="str">
        <f t="shared" si="2"/>
        <v>Y</v>
      </c>
      <c r="I55" s="8"/>
      <c r="M55" s="8"/>
    </row>
    <row r="56" spans="2:13" x14ac:dyDescent="0.25">
      <c r="B56" s="7" t="str">
        <f>Master[[#This Row],[Accession Prefix (NPGS)]]&amp;" "&amp;Master[[#This Row],[Accession Number -Assigned]]</f>
        <v>W6 59642</v>
      </c>
      <c r="C56" s="7" t="str">
        <f>Master[[#This Row],[Accession Prefix (NPGS)]]&amp;" "&amp;Master[[#This Row],[Accession Number -Assigned]]&amp;" **"</f>
        <v>W6 59642 **</v>
      </c>
      <c r="D56" s="76" t="str">
        <f>IF(Master[[#This Row],[Accession Name Category (Identifier 2) -Lookup Picker]]="","",Master[[#This Row],[Accession Name Category (Identifier 2) -Lookup Picker]])</f>
        <v>Collector identifier</v>
      </c>
      <c r="E56" s="76" t="str">
        <f>IF(Master[[#This Row],[Accession Name (Identifier 2)]]="","",Master[[#This Row],[Accession Name (Identifier 2)]])</f>
        <v>NV030-1536</v>
      </c>
      <c r="F56" s="45" t="str">
        <f>IF(Master[[#This Row],[Accession Name Cooperator (Identifier 2) -name, organization]]="","",Master[[#This Row],[Accession Name Cooperator (Identifier 2) -name, organization]])</f>
        <v/>
      </c>
      <c r="G56" s="7" t="str">
        <f t="shared" si="2"/>
        <v>Y</v>
      </c>
      <c r="I56" s="8"/>
      <c r="M56" s="8"/>
    </row>
    <row r="57" spans="2:13" x14ac:dyDescent="0.25">
      <c r="B57" s="7" t="str">
        <f>Master[[#This Row],[Accession Prefix (NPGS)]]&amp;" "&amp;Master[[#This Row],[Accession Number -Assigned]]</f>
        <v>W6 59643</v>
      </c>
      <c r="C57" s="7" t="str">
        <f>Master[[#This Row],[Accession Prefix (NPGS)]]&amp;" "&amp;Master[[#This Row],[Accession Number -Assigned]]&amp;" **"</f>
        <v>W6 59643 **</v>
      </c>
      <c r="D57" s="76" t="str">
        <f>IF(Master[[#This Row],[Accession Name Category (Identifier 2) -Lookup Picker]]="","",Master[[#This Row],[Accession Name Category (Identifier 2) -Lookup Picker]])</f>
        <v>Collector identifier</v>
      </c>
      <c r="E57" s="76" t="str">
        <f>IF(Master[[#This Row],[Accession Name (Identifier 2)]]="","",Master[[#This Row],[Accession Name (Identifier 2)]])</f>
        <v>UT020-85</v>
      </c>
      <c r="F57" s="45" t="str">
        <f>IF(Master[[#This Row],[Accession Name Cooperator (Identifier 2) -name, organization]]="","",Master[[#This Row],[Accession Name Cooperator (Identifier 2) -name, organization]])</f>
        <v/>
      </c>
      <c r="G57" s="7" t="str">
        <f t="shared" si="2"/>
        <v>Y</v>
      </c>
      <c r="I57" s="8"/>
      <c r="M57" s="8"/>
    </row>
    <row r="58" spans="2:13" x14ac:dyDescent="0.25">
      <c r="B58" s="7" t="str">
        <f>Master[[#This Row],[Accession Prefix (NPGS)]]&amp;" "&amp;Master[[#This Row],[Accession Number -Assigned]]</f>
        <v>W6 59644</v>
      </c>
      <c r="C58" s="7" t="str">
        <f>Master[[#This Row],[Accession Prefix (NPGS)]]&amp;" "&amp;Master[[#This Row],[Accession Number -Assigned]]&amp;" **"</f>
        <v>W6 59644 **</v>
      </c>
      <c r="D58" s="76" t="str">
        <f>IF(Master[[#This Row],[Accession Name Category (Identifier 2) -Lookup Picker]]="","",Master[[#This Row],[Accession Name Category (Identifier 2) -Lookup Picker]])</f>
        <v>Collector identifier</v>
      </c>
      <c r="E58" s="76" t="str">
        <f>IF(Master[[#This Row],[Accession Name (Identifier 2)]]="","",Master[[#This Row],[Accession Name (Identifier 2)]])</f>
        <v>UT020-86</v>
      </c>
      <c r="F58" s="45" t="str">
        <f>IF(Master[[#This Row],[Accession Name Cooperator (Identifier 2) -name, organization]]="","",Master[[#This Row],[Accession Name Cooperator (Identifier 2) -name, organization]])</f>
        <v/>
      </c>
      <c r="G58" s="7" t="str">
        <f t="shared" si="2"/>
        <v>Y</v>
      </c>
      <c r="I58" s="8"/>
      <c r="M58" s="8"/>
    </row>
    <row r="59" spans="2:13" x14ac:dyDescent="0.25">
      <c r="B59" s="7" t="str">
        <f>Master[[#This Row],[Accession Prefix (NPGS)]]&amp;" "&amp;Master[[#This Row],[Accession Number -Assigned]]</f>
        <v>W6 59645</v>
      </c>
      <c r="C59" s="7" t="str">
        <f>Master[[#This Row],[Accession Prefix (NPGS)]]&amp;" "&amp;Master[[#This Row],[Accession Number -Assigned]]&amp;" **"</f>
        <v>W6 59645 **</v>
      </c>
      <c r="D59" s="76" t="str">
        <f>IF(Master[[#This Row],[Accession Name Category (Identifier 2) -Lookup Picker]]="","",Master[[#This Row],[Accession Name Category (Identifier 2) -Lookup Picker]])</f>
        <v>Collector identifier</v>
      </c>
      <c r="E59" s="76" t="str">
        <f>IF(Master[[#This Row],[Accession Name (Identifier 2)]]="","",Master[[#This Row],[Accession Name (Identifier 2)]])</f>
        <v>UT020-87</v>
      </c>
      <c r="F59" s="45" t="str">
        <f>IF(Master[[#This Row],[Accession Name Cooperator (Identifier 2) -name, organization]]="","",Master[[#This Row],[Accession Name Cooperator (Identifier 2) -name, organization]])</f>
        <v/>
      </c>
      <c r="G59" s="7" t="str">
        <f t="shared" si="2"/>
        <v>Y</v>
      </c>
      <c r="I59" s="8"/>
      <c r="M59" s="8"/>
    </row>
    <row r="60" spans="2:13" x14ac:dyDescent="0.25">
      <c r="B60" s="7" t="str">
        <f>Master[[#This Row],[Accession Prefix (NPGS)]]&amp;" "&amp;Master[[#This Row],[Accession Number -Assigned]]</f>
        <v>W6 59646</v>
      </c>
      <c r="C60" s="7" t="str">
        <f>Master[[#This Row],[Accession Prefix (NPGS)]]&amp;" "&amp;Master[[#This Row],[Accession Number -Assigned]]&amp;" **"</f>
        <v>W6 59646 **</v>
      </c>
      <c r="D60" s="76" t="str">
        <f>IF(Master[[#This Row],[Accession Name Category (Identifier 2) -Lookup Picker]]="","",Master[[#This Row],[Accession Name Category (Identifier 2) -Lookup Picker]])</f>
        <v>Collector identifier</v>
      </c>
      <c r="E60" s="76" t="str">
        <f>IF(Master[[#This Row],[Accession Name (Identifier 2)]]="","",Master[[#This Row],[Accession Name (Identifier 2)]])</f>
        <v>UT020-88</v>
      </c>
      <c r="F60" s="45" t="str">
        <f>IF(Master[[#This Row],[Accession Name Cooperator (Identifier 2) -name, organization]]="","",Master[[#This Row],[Accession Name Cooperator (Identifier 2) -name, organization]])</f>
        <v/>
      </c>
      <c r="G60" s="7" t="str">
        <f t="shared" si="2"/>
        <v>Y</v>
      </c>
      <c r="I60" s="8"/>
      <c r="M60" s="8"/>
    </row>
    <row r="61" spans="2:13" x14ac:dyDescent="0.25">
      <c r="B61" s="7" t="str">
        <f>Master[[#This Row],[Accession Prefix (NPGS)]]&amp;" "&amp;Master[[#This Row],[Accession Number -Assigned]]</f>
        <v>W6 59647</v>
      </c>
      <c r="C61" s="7" t="str">
        <f>Master[[#This Row],[Accession Prefix (NPGS)]]&amp;" "&amp;Master[[#This Row],[Accession Number -Assigned]]&amp;" **"</f>
        <v>W6 59647 **</v>
      </c>
      <c r="D61" s="76" t="str">
        <f>IF(Master[[#This Row],[Accession Name Category (Identifier 2) -Lookup Picker]]="","",Master[[#This Row],[Accession Name Category (Identifier 2) -Lookup Picker]])</f>
        <v>Collector identifier</v>
      </c>
      <c r="E61" s="76" t="str">
        <f>IF(Master[[#This Row],[Accession Name (Identifier 2)]]="","",Master[[#This Row],[Accession Name (Identifier 2)]])</f>
        <v>UT020-89</v>
      </c>
      <c r="F61" s="45" t="str">
        <f>IF(Master[[#This Row],[Accession Name Cooperator (Identifier 2) -name, organization]]="","",Master[[#This Row],[Accession Name Cooperator (Identifier 2) -name, organization]])</f>
        <v/>
      </c>
      <c r="G61" s="7" t="str">
        <f t="shared" si="2"/>
        <v>Y</v>
      </c>
      <c r="I61" s="8"/>
      <c r="M61" s="8"/>
    </row>
    <row r="62" spans="2:13" x14ac:dyDescent="0.25">
      <c r="B62" s="7" t="str">
        <f>Master[[#This Row],[Accession Prefix (NPGS)]]&amp;" "&amp;Master[[#This Row],[Accession Number -Assigned]]</f>
        <v>W6 59648</v>
      </c>
      <c r="C62" s="7" t="str">
        <f>Master[[#This Row],[Accession Prefix (NPGS)]]&amp;" "&amp;Master[[#This Row],[Accession Number -Assigned]]&amp;" **"</f>
        <v>W6 59648 **</v>
      </c>
      <c r="D62" s="76" t="str">
        <f>IF(Master[[#This Row],[Accession Name Category (Identifier 2) -Lookup Picker]]="","",Master[[#This Row],[Accession Name Category (Identifier 2) -Lookup Picker]])</f>
        <v>Collector identifier</v>
      </c>
      <c r="E62" s="76" t="str">
        <f>IF(Master[[#This Row],[Accession Name (Identifier 2)]]="","",Master[[#This Row],[Accession Name (Identifier 2)]])</f>
        <v>UT020-90</v>
      </c>
      <c r="F62" s="45" t="str">
        <f>IF(Master[[#This Row],[Accession Name Cooperator (Identifier 2) -name, organization]]="","",Master[[#This Row],[Accession Name Cooperator (Identifier 2) -name, organization]])</f>
        <v/>
      </c>
      <c r="G62" s="7" t="str">
        <f t="shared" si="2"/>
        <v>Y</v>
      </c>
      <c r="I62" s="8"/>
      <c r="M62" s="8"/>
    </row>
    <row r="63" spans="2:13" x14ac:dyDescent="0.25">
      <c r="B63" s="7" t="str">
        <f>Master[[#This Row],[Accession Prefix (NPGS)]]&amp;" "&amp;Master[[#This Row],[Accession Number -Assigned]]</f>
        <v>W6 59649</v>
      </c>
      <c r="C63" s="7" t="str">
        <f>Master[[#This Row],[Accession Prefix (NPGS)]]&amp;" "&amp;Master[[#This Row],[Accession Number -Assigned]]&amp;" **"</f>
        <v>W6 59649 **</v>
      </c>
      <c r="D63" s="76" t="str">
        <f>IF(Master[[#This Row],[Accession Name Category (Identifier 2) -Lookup Picker]]="","",Master[[#This Row],[Accession Name Category (Identifier 2) -Lookup Picker]])</f>
        <v>Collector identifier</v>
      </c>
      <c r="E63" s="76" t="str">
        <f>IF(Master[[#This Row],[Accession Name (Identifier 2)]]="","",Master[[#This Row],[Accession Name (Identifier 2)]])</f>
        <v>UT020-91</v>
      </c>
      <c r="F63" s="45" t="str">
        <f>IF(Master[[#This Row],[Accession Name Cooperator (Identifier 2) -name, organization]]="","",Master[[#This Row],[Accession Name Cooperator (Identifier 2) -name, organization]])</f>
        <v/>
      </c>
      <c r="G63" s="7" t="str">
        <f t="shared" si="2"/>
        <v>Y</v>
      </c>
      <c r="I63" s="8"/>
      <c r="M63" s="8"/>
    </row>
    <row r="64" spans="2:13" x14ac:dyDescent="0.25">
      <c r="B64" s="7" t="str">
        <f>Master[[#This Row],[Accession Prefix (NPGS)]]&amp;" "&amp;Master[[#This Row],[Accession Number -Assigned]]</f>
        <v>W6 59650</v>
      </c>
      <c r="C64" s="7" t="str">
        <f>Master[[#This Row],[Accession Prefix (NPGS)]]&amp;" "&amp;Master[[#This Row],[Accession Number -Assigned]]&amp;" **"</f>
        <v>W6 59650 **</v>
      </c>
      <c r="D64" s="76" t="str">
        <f>IF(Master[[#This Row],[Accession Name Category (Identifier 2) -Lookup Picker]]="","",Master[[#This Row],[Accession Name Category (Identifier 2) -Lookup Picker]])</f>
        <v>Collector identifier</v>
      </c>
      <c r="E64" s="76" t="str">
        <f>IF(Master[[#This Row],[Accession Name (Identifier 2)]]="","",Master[[#This Row],[Accession Name (Identifier 2)]])</f>
        <v>UT020-92</v>
      </c>
      <c r="F64" s="45" t="str">
        <f>IF(Master[[#This Row],[Accession Name Cooperator (Identifier 2) -name, organization]]="","",Master[[#This Row],[Accession Name Cooperator (Identifier 2) -name, organization]])</f>
        <v/>
      </c>
      <c r="G64" s="7" t="str">
        <f t="shared" si="2"/>
        <v>Y</v>
      </c>
      <c r="I64" s="8"/>
      <c r="M64" s="8"/>
    </row>
    <row r="65" spans="2:13" x14ac:dyDescent="0.25">
      <c r="B65" s="7" t="str">
        <f>Master[[#This Row],[Accession Prefix (NPGS)]]&amp;" "&amp;Master[[#This Row],[Accession Number -Assigned]]</f>
        <v>W6 59651</v>
      </c>
      <c r="C65" s="7" t="str">
        <f>Master[[#This Row],[Accession Prefix (NPGS)]]&amp;" "&amp;Master[[#This Row],[Accession Number -Assigned]]&amp;" **"</f>
        <v>W6 59651 **</v>
      </c>
      <c r="D65" s="76" t="str">
        <f>IF(Master[[#This Row],[Accession Name Category (Identifier 2) -Lookup Picker]]="","",Master[[#This Row],[Accession Name Category (Identifier 2) -Lookup Picker]])</f>
        <v>Collector identifier</v>
      </c>
      <c r="E65" s="76" t="str">
        <f>IF(Master[[#This Row],[Accession Name (Identifier 2)]]="","",Master[[#This Row],[Accession Name (Identifier 2)]])</f>
        <v>UT020-93</v>
      </c>
      <c r="F65" s="45" t="str">
        <f>IF(Master[[#This Row],[Accession Name Cooperator (Identifier 2) -name, organization]]="","",Master[[#This Row],[Accession Name Cooperator (Identifier 2) -name, organization]])</f>
        <v/>
      </c>
      <c r="G65" s="7" t="str">
        <f t="shared" si="2"/>
        <v>Y</v>
      </c>
      <c r="I65" s="8"/>
      <c r="M65" s="8"/>
    </row>
    <row r="66" spans="2:13" x14ac:dyDescent="0.25">
      <c r="B66" s="7" t="str">
        <f>Master[[#This Row],[Accession Prefix (NPGS)]]&amp;" "&amp;Master[[#This Row],[Accession Number -Assigned]]</f>
        <v>W6 59652</v>
      </c>
      <c r="C66" s="7" t="str">
        <f>Master[[#This Row],[Accession Prefix (NPGS)]]&amp;" "&amp;Master[[#This Row],[Accession Number -Assigned]]&amp;" **"</f>
        <v>W6 59652 **</v>
      </c>
      <c r="D66" s="76" t="str">
        <f>IF(Master[[#This Row],[Accession Name Category (Identifier 2) -Lookup Picker]]="","",Master[[#This Row],[Accession Name Category (Identifier 2) -Lookup Picker]])</f>
        <v>Collector identifier</v>
      </c>
      <c r="E66" s="76" t="str">
        <f>IF(Master[[#This Row],[Accession Name (Identifier 2)]]="","",Master[[#This Row],[Accession Name (Identifier 2)]])</f>
        <v>UT020-94</v>
      </c>
      <c r="F66" s="45" t="str">
        <f>IF(Master[[#This Row],[Accession Name Cooperator (Identifier 2) -name, organization]]="","",Master[[#This Row],[Accession Name Cooperator (Identifier 2) -name, organization]])</f>
        <v/>
      </c>
      <c r="G66" s="7" t="str">
        <f t="shared" si="2"/>
        <v>Y</v>
      </c>
      <c r="I66" s="8"/>
      <c r="M66" s="8"/>
    </row>
    <row r="67" spans="2:13" x14ac:dyDescent="0.25">
      <c r="B67" s="7" t="str">
        <f>Master[[#This Row],[Accession Prefix (NPGS)]]&amp;" "&amp;Master[[#This Row],[Accession Number -Assigned]]</f>
        <v>W6 59653</v>
      </c>
      <c r="C67" s="7" t="str">
        <f>Master[[#This Row],[Accession Prefix (NPGS)]]&amp;" "&amp;Master[[#This Row],[Accession Number -Assigned]]&amp;" **"</f>
        <v>W6 59653 **</v>
      </c>
      <c r="D67" s="76" t="str">
        <f>IF(Master[[#This Row],[Accession Name Category (Identifier 2) -Lookup Picker]]="","",Master[[#This Row],[Accession Name Category (Identifier 2) -Lookup Picker]])</f>
        <v>Collector identifier</v>
      </c>
      <c r="E67" s="76" t="str">
        <f>IF(Master[[#This Row],[Accession Name (Identifier 2)]]="","",Master[[#This Row],[Accession Name (Identifier 2)]])</f>
        <v>UT020-95</v>
      </c>
      <c r="F67" s="45" t="str">
        <f>IF(Master[[#This Row],[Accession Name Cooperator (Identifier 2) -name, organization]]="","",Master[[#This Row],[Accession Name Cooperator (Identifier 2) -name, organization]])</f>
        <v/>
      </c>
      <c r="G67" s="7" t="str">
        <f t="shared" si="2"/>
        <v>Y</v>
      </c>
      <c r="I67" s="8"/>
      <c r="M67" s="8"/>
    </row>
    <row r="68" spans="2:13" x14ac:dyDescent="0.25">
      <c r="B68" s="7" t="str">
        <f>Master[[#This Row],[Accession Prefix (NPGS)]]&amp;" "&amp;Master[[#This Row],[Accession Number -Assigned]]</f>
        <v>W6 59654</v>
      </c>
      <c r="C68" s="7" t="str">
        <f>Master[[#This Row],[Accession Prefix (NPGS)]]&amp;" "&amp;Master[[#This Row],[Accession Number -Assigned]]&amp;" **"</f>
        <v>W6 59654 **</v>
      </c>
      <c r="D68" s="76" t="str">
        <f>IF(Master[[#This Row],[Accession Name Category (Identifier 2) -Lookup Picker]]="","",Master[[#This Row],[Accession Name Category (Identifier 2) -Lookup Picker]])</f>
        <v>Collector identifier</v>
      </c>
      <c r="E68" s="76" t="str">
        <f>IF(Master[[#This Row],[Accession Name (Identifier 2)]]="","",Master[[#This Row],[Accession Name (Identifier 2)]])</f>
        <v>UT020-96</v>
      </c>
      <c r="F68" s="45" t="str">
        <f>IF(Master[[#This Row],[Accession Name Cooperator (Identifier 2) -name, organization]]="","",Master[[#This Row],[Accession Name Cooperator (Identifier 2) -name, organization]])</f>
        <v/>
      </c>
      <c r="G68" s="7" t="str">
        <f t="shared" si="2"/>
        <v>Y</v>
      </c>
      <c r="I68" s="8"/>
      <c r="M68" s="8"/>
    </row>
    <row r="69" spans="2:13" x14ac:dyDescent="0.25">
      <c r="B69" s="7" t="str">
        <f>Master[[#This Row],[Accession Prefix (NPGS)]]&amp;" "&amp;Master[[#This Row],[Accession Number -Assigned]]</f>
        <v>W6 59655</v>
      </c>
      <c r="C69" s="7" t="str">
        <f>Master[[#This Row],[Accession Prefix (NPGS)]]&amp;" "&amp;Master[[#This Row],[Accession Number -Assigned]]&amp;" **"</f>
        <v>W6 59655 **</v>
      </c>
      <c r="D69" s="76" t="str">
        <f>IF(Master[[#This Row],[Accession Name Category (Identifier 2) -Lookup Picker]]="","",Master[[#This Row],[Accession Name Category (Identifier 2) -Lookup Picker]])</f>
        <v>Collector identifier</v>
      </c>
      <c r="E69" s="76" t="str">
        <f>IF(Master[[#This Row],[Accession Name (Identifier 2)]]="","",Master[[#This Row],[Accession Name (Identifier 2)]])</f>
        <v>UT080-309</v>
      </c>
      <c r="F69" s="45" t="str">
        <f>IF(Master[[#This Row],[Accession Name Cooperator (Identifier 2) -name, organization]]="","",Master[[#This Row],[Accession Name Cooperator (Identifier 2) -name, organization]])</f>
        <v/>
      </c>
      <c r="G69" s="7" t="str">
        <f t="shared" si="2"/>
        <v>Y</v>
      </c>
      <c r="I69" s="8"/>
      <c r="M69" s="8"/>
    </row>
    <row r="70" spans="2:13" x14ac:dyDescent="0.25">
      <c r="B70" s="7" t="str">
        <f>Master[[#This Row],[Accession Prefix (NPGS)]]&amp;" "&amp;Master[[#This Row],[Accession Number -Assigned]]</f>
        <v>W6 59656</v>
      </c>
      <c r="C70" s="7" t="str">
        <f>Master[[#This Row],[Accession Prefix (NPGS)]]&amp;" "&amp;Master[[#This Row],[Accession Number -Assigned]]&amp;" **"</f>
        <v>W6 59656 **</v>
      </c>
      <c r="D70" s="76" t="str">
        <f>IF(Master[[#This Row],[Accession Name Category (Identifier 2) -Lookup Picker]]="","",Master[[#This Row],[Accession Name Category (Identifier 2) -Lookup Picker]])</f>
        <v>Collector identifier</v>
      </c>
      <c r="E70" s="76" t="str">
        <f>IF(Master[[#This Row],[Accession Name (Identifier 2)]]="","",Master[[#This Row],[Accession Name (Identifier 2)]])</f>
        <v>UT080-310</v>
      </c>
      <c r="F70" s="45" t="str">
        <f>IF(Master[[#This Row],[Accession Name Cooperator (Identifier 2) -name, organization]]="","",Master[[#This Row],[Accession Name Cooperator (Identifier 2) -name, organization]])</f>
        <v/>
      </c>
      <c r="G70" s="7" t="str">
        <f t="shared" si="2"/>
        <v>Y</v>
      </c>
      <c r="I70" s="8"/>
      <c r="M70" s="8"/>
    </row>
    <row r="71" spans="2:13" x14ac:dyDescent="0.25">
      <c r="B71" s="7" t="str">
        <f>Master[[#This Row],[Accession Prefix (NPGS)]]&amp;" "&amp;Master[[#This Row],[Accession Number -Assigned]]</f>
        <v>W6 59657</v>
      </c>
      <c r="C71" s="7" t="str">
        <f>Master[[#This Row],[Accession Prefix (NPGS)]]&amp;" "&amp;Master[[#This Row],[Accession Number -Assigned]]&amp;" **"</f>
        <v>W6 59657 **</v>
      </c>
      <c r="D71" s="76" t="str">
        <f>IF(Master[[#This Row],[Accession Name Category (Identifier 2) -Lookup Picker]]="","",Master[[#This Row],[Accession Name Category (Identifier 2) -Lookup Picker]])</f>
        <v>Collector identifier</v>
      </c>
      <c r="E71" s="76" t="str">
        <f>IF(Master[[#This Row],[Accession Name (Identifier 2)]]="","",Master[[#This Row],[Accession Name (Identifier 2)]])</f>
        <v>UT080-311</v>
      </c>
      <c r="F71" s="45" t="str">
        <f>IF(Master[[#This Row],[Accession Name Cooperator (Identifier 2) -name, organization]]="","",Master[[#This Row],[Accession Name Cooperator (Identifier 2) -name, organization]])</f>
        <v/>
      </c>
      <c r="G71" s="7" t="str">
        <f t="shared" si="2"/>
        <v>Y</v>
      </c>
      <c r="I71" s="8"/>
      <c r="M71" s="8"/>
    </row>
    <row r="72" spans="2:13" x14ac:dyDescent="0.25">
      <c r="B72" s="7" t="str">
        <f>Master[[#This Row],[Accession Prefix (NPGS)]]&amp;" "&amp;Master[[#This Row],[Accession Number -Assigned]]</f>
        <v>W6 59658</v>
      </c>
      <c r="C72" s="7" t="str">
        <f>Master[[#This Row],[Accession Prefix (NPGS)]]&amp;" "&amp;Master[[#This Row],[Accession Number -Assigned]]&amp;" **"</f>
        <v>W6 59658 **</v>
      </c>
      <c r="D72" s="76" t="str">
        <f>IF(Master[[#This Row],[Accession Name Category (Identifier 2) -Lookup Picker]]="","",Master[[#This Row],[Accession Name Category (Identifier 2) -Lookup Picker]])</f>
        <v>Collector identifier</v>
      </c>
      <c r="E72" s="76" t="str">
        <f>IF(Master[[#This Row],[Accession Name (Identifier 2)]]="","",Master[[#This Row],[Accession Name (Identifier 2)]])</f>
        <v>UT080-313</v>
      </c>
      <c r="F72" s="45" t="str">
        <f>IF(Master[[#This Row],[Accession Name Cooperator (Identifier 2) -name, organization]]="","",Master[[#This Row],[Accession Name Cooperator (Identifier 2) -name, organization]])</f>
        <v/>
      </c>
      <c r="G72" s="7" t="str">
        <f t="shared" si="2"/>
        <v>Y</v>
      </c>
      <c r="I72" s="8"/>
      <c r="M72" s="8"/>
    </row>
    <row r="73" spans="2:13" x14ac:dyDescent="0.25">
      <c r="B73" s="7" t="str">
        <f>Master[[#This Row],[Accession Prefix (NPGS)]]&amp;" "&amp;Master[[#This Row],[Accession Number -Assigned]]</f>
        <v>W6 59659</v>
      </c>
      <c r="C73" s="7" t="str">
        <f>Master[[#This Row],[Accession Prefix (NPGS)]]&amp;" "&amp;Master[[#This Row],[Accession Number -Assigned]]&amp;" **"</f>
        <v>W6 59659 **</v>
      </c>
      <c r="D73" s="76" t="str">
        <f>IF(Master[[#This Row],[Accession Name Category (Identifier 2) -Lookup Picker]]="","",Master[[#This Row],[Accession Name Category (Identifier 2) -Lookup Picker]])</f>
        <v>Collector identifier</v>
      </c>
      <c r="E73" s="76" t="str">
        <f>IF(Master[[#This Row],[Accession Name (Identifier 2)]]="","",Master[[#This Row],[Accession Name (Identifier 2)]])</f>
        <v>UT080-314</v>
      </c>
      <c r="F73" s="45" t="str">
        <f>IF(Master[[#This Row],[Accession Name Cooperator (Identifier 2) -name, organization]]="","",Master[[#This Row],[Accession Name Cooperator (Identifier 2) -name, organization]])</f>
        <v/>
      </c>
      <c r="G73" s="7" t="str">
        <f t="shared" si="2"/>
        <v>Y</v>
      </c>
      <c r="I73" s="8"/>
      <c r="M73" s="8"/>
    </row>
    <row r="74" spans="2:13" x14ac:dyDescent="0.25">
      <c r="B74" s="7" t="str">
        <f>Master[[#This Row],[Accession Prefix (NPGS)]]&amp;" "&amp;Master[[#This Row],[Accession Number -Assigned]]</f>
        <v>W6 59660</v>
      </c>
      <c r="C74" s="7" t="str">
        <f>Master[[#This Row],[Accession Prefix (NPGS)]]&amp;" "&amp;Master[[#This Row],[Accession Number -Assigned]]&amp;" **"</f>
        <v>W6 59660 **</v>
      </c>
      <c r="D74" s="76" t="str">
        <f>IF(Master[[#This Row],[Accession Name Category (Identifier 2) -Lookup Picker]]="","",Master[[#This Row],[Accession Name Category (Identifier 2) -Lookup Picker]])</f>
        <v>Collector identifier</v>
      </c>
      <c r="E74" s="76" t="str">
        <f>IF(Master[[#This Row],[Accession Name (Identifier 2)]]="","",Master[[#This Row],[Accession Name (Identifier 2)]])</f>
        <v>UT080-317</v>
      </c>
      <c r="F74" s="45" t="str">
        <f>IF(Master[[#This Row],[Accession Name Cooperator (Identifier 2) -name, organization]]="","",Master[[#This Row],[Accession Name Cooperator (Identifier 2) -name, organization]])</f>
        <v/>
      </c>
      <c r="G74" s="7" t="str">
        <f t="shared" si="2"/>
        <v>Y</v>
      </c>
      <c r="I74" s="8"/>
      <c r="M74" s="8"/>
    </row>
    <row r="75" spans="2:13" x14ac:dyDescent="0.25">
      <c r="B75" s="7" t="str">
        <f>Master[[#This Row],[Accession Prefix (NPGS)]]&amp;" "&amp;Master[[#This Row],[Accession Number -Assigned]]</f>
        <v>W6 59661</v>
      </c>
      <c r="C75" s="7" t="str">
        <f>Master[[#This Row],[Accession Prefix (NPGS)]]&amp;" "&amp;Master[[#This Row],[Accession Number -Assigned]]&amp;" **"</f>
        <v>W6 59661 **</v>
      </c>
      <c r="D75" s="76" t="str">
        <f>IF(Master[[#This Row],[Accession Name Category (Identifier 2) -Lookup Picker]]="","",Master[[#This Row],[Accession Name Category (Identifier 2) -Lookup Picker]])</f>
        <v>Collector identifier</v>
      </c>
      <c r="E75" s="76" t="str">
        <f>IF(Master[[#This Row],[Accession Name (Identifier 2)]]="","",Master[[#This Row],[Accession Name (Identifier 2)]])</f>
        <v>UT080-319</v>
      </c>
      <c r="F75" s="45" t="str">
        <f>IF(Master[[#This Row],[Accession Name Cooperator (Identifier 2) -name, organization]]="","",Master[[#This Row],[Accession Name Cooperator (Identifier 2) -name, organization]])</f>
        <v/>
      </c>
      <c r="G75" s="7" t="str">
        <f t="shared" si="2"/>
        <v>Y</v>
      </c>
      <c r="I75" s="8"/>
      <c r="M75" s="8"/>
    </row>
    <row r="76" spans="2:13" x14ac:dyDescent="0.25">
      <c r="B76" s="7" t="str">
        <f>Master[[#This Row],[Accession Prefix (NPGS)]]&amp;" "&amp;Master[[#This Row],[Accession Number -Assigned]]</f>
        <v>W6 59662</v>
      </c>
      <c r="C76" s="7" t="str">
        <f>Master[[#This Row],[Accession Prefix (NPGS)]]&amp;" "&amp;Master[[#This Row],[Accession Number -Assigned]]&amp;" **"</f>
        <v>W6 59662 **</v>
      </c>
      <c r="D76" s="76" t="str">
        <f>IF(Master[[#This Row],[Accession Name Category (Identifier 2) -Lookup Picker]]="","",Master[[#This Row],[Accession Name Category (Identifier 2) -Lookup Picker]])</f>
        <v>Collector identifier</v>
      </c>
      <c r="E76" s="76" t="str">
        <f>IF(Master[[#This Row],[Accession Name (Identifier 2)]]="","",Master[[#This Row],[Accession Name (Identifier 2)]])</f>
        <v>UT080-320</v>
      </c>
      <c r="F76" s="45" t="str">
        <f>IF(Master[[#This Row],[Accession Name Cooperator (Identifier 2) -name, organization]]="","",Master[[#This Row],[Accession Name Cooperator (Identifier 2) -name, organization]])</f>
        <v/>
      </c>
      <c r="G76" s="7" t="str">
        <f t="shared" si="2"/>
        <v>Y</v>
      </c>
      <c r="I76" s="8"/>
      <c r="M76" s="8"/>
    </row>
    <row r="77" spans="2:13" x14ac:dyDescent="0.25">
      <c r="B77" s="7" t="str">
        <f>Master[[#This Row],[Accession Prefix (NPGS)]]&amp;" "&amp;Master[[#This Row],[Accession Number -Assigned]]</f>
        <v>W6 59663</v>
      </c>
      <c r="C77" s="7" t="str">
        <f>Master[[#This Row],[Accession Prefix (NPGS)]]&amp;" "&amp;Master[[#This Row],[Accession Number -Assigned]]&amp;" **"</f>
        <v>W6 59663 **</v>
      </c>
      <c r="D77" s="76" t="str">
        <f>IF(Master[[#This Row],[Accession Name Category (Identifier 2) -Lookup Picker]]="","",Master[[#This Row],[Accession Name Category (Identifier 2) -Lookup Picker]])</f>
        <v>Collector identifier</v>
      </c>
      <c r="E77" s="76" t="str">
        <f>IF(Master[[#This Row],[Accession Name (Identifier 2)]]="","",Master[[#This Row],[Accession Name (Identifier 2)]])</f>
        <v>UT080-321</v>
      </c>
      <c r="F77" s="45" t="str">
        <f>IF(Master[[#This Row],[Accession Name Cooperator (Identifier 2) -name, organization]]="","",Master[[#This Row],[Accession Name Cooperator (Identifier 2) -name, organization]])</f>
        <v/>
      </c>
      <c r="G77" s="7" t="str">
        <f t="shared" si="2"/>
        <v>Y</v>
      </c>
      <c r="I77" s="8"/>
      <c r="M77" s="8"/>
    </row>
    <row r="78" spans="2:13" x14ac:dyDescent="0.25">
      <c r="B78" s="7" t="str">
        <f>Master[[#This Row],[Accession Prefix (NPGS)]]&amp;" "&amp;Master[[#This Row],[Accession Number -Assigned]]</f>
        <v>W6 59664</v>
      </c>
      <c r="C78" s="7" t="str">
        <f>Master[[#This Row],[Accession Prefix (NPGS)]]&amp;" "&amp;Master[[#This Row],[Accession Number -Assigned]]&amp;" **"</f>
        <v>W6 59664 **</v>
      </c>
      <c r="D78" s="76" t="str">
        <f>IF(Master[[#This Row],[Accession Name Category (Identifier 2) -Lookup Picker]]="","",Master[[#This Row],[Accession Name Category (Identifier 2) -Lookup Picker]])</f>
        <v>Collector identifier</v>
      </c>
      <c r="E78" s="76" t="str">
        <f>IF(Master[[#This Row],[Accession Name (Identifier 2)]]="","",Master[[#This Row],[Accession Name (Identifier 2)]])</f>
        <v>UT080-322</v>
      </c>
      <c r="F78" s="45" t="str">
        <f>IF(Master[[#This Row],[Accession Name Cooperator (Identifier 2) -name, organization]]="","",Master[[#This Row],[Accession Name Cooperator (Identifier 2) -name, organization]])</f>
        <v/>
      </c>
      <c r="G78" s="7" t="str">
        <f t="shared" si="2"/>
        <v>Y</v>
      </c>
      <c r="I78" s="8"/>
      <c r="M78" s="8"/>
    </row>
    <row r="79" spans="2:13" x14ac:dyDescent="0.25">
      <c r="B79" s="7" t="str">
        <f>Master[[#This Row],[Accession Prefix (NPGS)]]&amp;" "&amp;Master[[#This Row],[Accession Number -Assigned]]</f>
        <v>W6 59665</v>
      </c>
      <c r="C79" s="7" t="str">
        <f>Master[[#This Row],[Accession Prefix (NPGS)]]&amp;" "&amp;Master[[#This Row],[Accession Number -Assigned]]&amp;" **"</f>
        <v>W6 59665 **</v>
      </c>
      <c r="D79" s="76" t="str">
        <f>IF(Master[[#This Row],[Accession Name Category (Identifier 2) -Lookup Picker]]="","",Master[[#This Row],[Accession Name Category (Identifier 2) -Lookup Picker]])</f>
        <v>Collector identifier</v>
      </c>
      <c r="E79" s="76" t="str">
        <f>IF(Master[[#This Row],[Accession Name (Identifier 2)]]="","",Master[[#This Row],[Accession Name (Identifier 2)]])</f>
        <v>UT080-323</v>
      </c>
      <c r="F79" s="45" t="str">
        <f>IF(Master[[#This Row],[Accession Name Cooperator (Identifier 2) -name, organization]]="","",Master[[#This Row],[Accession Name Cooperator (Identifier 2) -name, organization]])</f>
        <v/>
      </c>
      <c r="G79" s="7" t="str">
        <f t="shared" si="2"/>
        <v>Y</v>
      </c>
      <c r="I79" s="8"/>
      <c r="M79" s="8"/>
    </row>
    <row r="80" spans="2:13" x14ac:dyDescent="0.25">
      <c r="B80" s="7" t="str">
        <f>Master[[#This Row],[Accession Prefix (NPGS)]]&amp;" "&amp;Master[[#This Row],[Accession Number -Assigned]]</f>
        <v>W6 59666</v>
      </c>
      <c r="C80" s="7" t="str">
        <f>Master[[#This Row],[Accession Prefix (NPGS)]]&amp;" "&amp;Master[[#This Row],[Accession Number -Assigned]]&amp;" **"</f>
        <v>W6 59666 **</v>
      </c>
      <c r="D80" s="76" t="str">
        <f>IF(Master[[#This Row],[Accession Name Category (Identifier 2) -Lookup Picker]]="","",Master[[#This Row],[Accession Name Category (Identifier 2) -Lookup Picker]])</f>
        <v>Collector identifier</v>
      </c>
      <c r="E80" s="76" t="str">
        <f>IF(Master[[#This Row],[Accession Name (Identifier 2)]]="","",Master[[#This Row],[Accession Name (Identifier 2)]])</f>
        <v>UT080-324</v>
      </c>
      <c r="F80" s="45" t="str">
        <f>IF(Master[[#This Row],[Accession Name Cooperator (Identifier 2) -name, organization]]="","",Master[[#This Row],[Accession Name Cooperator (Identifier 2) -name, organization]])</f>
        <v/>
      </c>
      <c r="G80" s="7" t="str">
        <f t="shared" si="2"/>
        <v>Y</v>
      </c>
      <c r="I80" s="8"/>
      <c r="M80" s="8"/>
    </row>
    <row r="81" spans="2:13" x14ac:dyDescent="0.25">
      <c r="B81" s="7" t="str">
        <f>Master[[#This Row],[Accession Prefix (NPGS)]]&amp;" "&amp;Master[[#This Row],[Accession Number -Assigned]]</f>
        <v>W6 59667</v>
      </c>
      <c r="C81" s="7" t="str">
        <f>Master[[#This Row],[Accession Prefix (NPGS)]]&amp;" "&amp;Master[[#This Row],[Accession Number -Assigned]]&amp;" **"</f>
        <v>W6 59667 **</v>
      </c>
      <c r="D81" s="76" t="str">
        <f>IF(Master[[#This Row],[Accession Name Category (Identifier 2) -Lookup Picker]]="","",Master[[#This Row],[Accession Name Category (Identifier 2) -Lookup Picker]])</f>
        <v>Collector identifier</v>
      </c>
      <c r="E81" s="76" t="str">
        <f>IF(Master[[#This Row],[Accession Name (Identifier 2)]]="","",Master[[#This Row],[Accession Name (Identifier 2)]])</f>
        <v>UT080-325</v>
      </c>
      <c r="F81" s="45" t="str">
        <f>IF(Master[[#This Row],[Accession Name Cooperator (Identifier 2) -name, organization]]="","",Master[[#This Row],[Accession Name Cooperator (Identifier 2) -name, organization]])</f>
        <v/>
      </c>
      <c r="G81" s="7" t="str">
        <f t="shared" si="2"/>
        <v>Y</v>
      </c>
      <c r="I81" s="8"/>
      <c r="M81" s="8"/>
    </row>
    <row r="82" spans="2:13" x14ac:dyDescent="0.25">
      <c r="B82" s="7" t="str">
        <f>Master[[#This Row],[Accession Prefix (NPGS)]]&amp;" "&amp;Master[[#This Row],[Accession Number -Assigned]]</f>
        <v>W6 59668</v>
      </c>
      <c r="C82" s="7" t="str">
        <f>Master[[#This Row],[Accession Prefix (NPGS)]]&amp;" "&amp;Master[[#This Row],[Accession Number -Assigned]]&amp;" **"</f>
        <v>W6 59668 **</v>
      </c>
      <c r="D82" s="76" t="str">
        <f>IF(Master[[#This Row],[Accession Name Category (Identifier 2) -Lookup Picker]]="","",Master[[#This Row],[Accession Name Category (Identifier 2) -Lookup Picker]])</f>
        <v>Collector identifier</v>
      </c>
      <c r="E82" s="76" t="str">
        <f>IF(Master[[#This Row],[Accession Name (Identifier 2)]]="","",Master[[#This Row],[Accession Name (Identifier 2)]])</f>
        <v>UT080-326</v>
      </c>
      <c r="F82" s="45" t="str">
        <f>IF(Master[[#This Row],[Accession Name Cooperator (Identifier 2) -name, organization]]="","",Master[[#This Row],[Accession Name Cooperator (Identifier 2) -name, organization]])</f>
        <v/>
      </c>
      <c r="G82" s="7" t="str">
        <f t="shared" si="2"/>
        <v>Y</v>
      </c>
      <c r="I82" s="8"/>
      <c r="M82" s="8"/>
    </row>
    <row r="83" spans="2:13" x14ac:dyDescent="0.25">
      <c r="B83" s="7" t="str">
        <f>Master[[#This Row],[Accession Prefix (NPGS)]]&amp;" "&amp;Master[[#This Row],[Accession Number -Assigned]]</f>
        <v>W6 59669</v>
      </c>
      <c r="C83" s="7" t="str">
        <f>Master[[#This Row],[Accession Prefix (NPGS)]]&amp;" "&amp;Master[[#This Row],[Accession Number -Assigned]]&amp;" **"</f>
        <v>W6 59669 **</v>
      </c>
      <c r="D83" s="76" t="str">
        <f>IF(Master[[#This Row],[Accession Name Category (Identifier 2) -Lookup Picker]]="","",Master[[#This Row],[Accession Name Category (Identifier 2) -Lookup Picker]])</f>
        <v>Collector identifier</v>
      </c>
      <c r="E83" s="76" t="str">
        <f>IF(Master[[#This Row],[Accession Name (Identifier 2)]]="","",Master[[#This Row],[Accession Name (Identifier 2)]])</f>
        <v>UT080-327</v>
      </c>
      <c r="F83" s="45" t="str">
        <f>IF(Master[[#This Row],[Accession Name Cooperator (Identifier 2) -name, organization]]="","",Master[[#This Row],[Accession Name Cooperator (Identifier 2) -name, organization]])</f>
        <v/>
      </c>
      <c r="G83" s="7" t="str">
        <f t="shared" si="2"/>
        <v>Y</v>
      </c>
      <c r="I83" s="8"/>
      <c r="M83" s="8"/>
    </row>
    <row r="84" spans="2:13" x14ac:dyDescent="0.25">
      <c r="B84" s="7" t="str">
        <f>Master[[#This Row],[Accession Prefix (NPGS)]]&amp;" "&amp;Master[[#This Row],[Accession Number -Assigned]]</f>
        <v>W6 59670</v>
      </c>
      <c r="C84" s="7" t="str">
        <f>Master[[#This Row],[Accession Prefix (NPGS)]]&amp;" "&amp;Master[[#This Row],[Accession Number -Assigned]]&amp;" **"</f>
        <v>W6 59670 **</v>
      </c>
      <c r="D84" s="76" t="str">
        <f>IF(Master[[#This Row],[Accession Name Category (Identifier 2) -Lookup Picker]]="","",Master[[#This Row],[Accession Name Category (Identifier 2) -Lookup Picker]])</f>
        <v>Collector identifier</v>
      </c>
      <c r="E84" s="76" t="str">
        <f>IF(Master[[#This Row],[Accession Name (Identifier 2)]]="","",Master[[#This Row],[Accession Name (Identifier 2)]])</f>
        <v>UT080-329</v>
      </c>
      <c r="F84" s="45" t="str">
        <f>IF(Master[[#This Row],[Accession Name Cooperator (Identifier 2) -name, organization]]="","",Master[[#This Row],[Accession Name Cooperator (Identifier 2) -name, organization]])</f>
        <v/>
      </c>
      <c r="G84" s="7" t="str">
        <f t="shared" si="2"/>
        <v>Y</v>
      </c>
      <c r="I84" s="8"/>
      <c r="M84" s="8"/>
    </row>
    <row r="85" spans="2:13" x14ac:dyDescent="0.25">
      <c r="B85" s="7" t="str">
        <f>Master[[#This Row],[Accession Prefix (NPGS)]]&amp;" "&amp;Master[[#This Row],[Accession Number -Assigned]]</f>
        <v>W6 59671</v>
      </c>
      <c r="C85" s="7" t="str">
        <f>Master[[#This Row],[Accession Prefix (NPGS)]]&amp;" "&amp;Master[[#This Row],[Accession Number -Assigned]]&amp;" **"</f>
        <v>W6 59671 **</v>
      </c>
      <c r="D85" s="76" t="str">
        <f>IF(Master[[#This Row],[Accession Name Category (Identifier 2) -Lookup Picker]]="","",Master[[#This Row],[Accession Name Category (Identifier 2) -Lookup Picker]])</f>
        <v>Collector identifier</v>
      </c>
      <c r="E85" s="76" t="str">
        <f>IF(Master[[#This Row],[Accession Name (Identifier 2)]]="","",Master[[#This Row],[Accession Name (Identifier 2)]])</f>
        <v>UT080-330</v>
      </c>
      <c r="F85" s="45" t="str">
        <f>IF(Master[[#This Row],[Accession Name Cooperator (Identifier 2) -name, organization]]="","",Master[[#This Row],[Accession Name Cooperator (Identifier 2) -name, organization]])</f>
        <v/>
      </c>
      <c r="G85" s="7" t="str">
        <f t="shared" si="2"/>
        <v>Y</v>
      </c>
      <c r="I85" s="8"/>
      <c r="M85" s="8"/>
    </row>
    <row r="86" spans="2:13" x14ac:dyDescent="0.25">
      <c r="B86" s="7" t="str">
        <f>Master[[#This Row],[Accession Prefix (NPGS)]]&amp;" "&amp;Master[[#This Row],[Accession Number -Assigned]]</f>
        <v>W6 59672</v>
      </c>
      <c r="C86" s="7" t="str">
        <f>Master[[#This Row],[Accession Prefix (NPGS)]]&amp;" "&amp;Master[[#This Row],[Accession Number -Assigned]]&amp;" **"</f>
        <v>W6 59672 **</v>
      </c>
      <c r="D86" s="76" t="str">
        <f>IF(Master[[#This Row],[Accession Name Category (Identifier 2) -Lookup Picker]]="","",Master[[#This Row],[Accession Name Category (Identifier 2) -Lookup Picker]])</f>
        <v>Collector identifier</v>
      </c>
      <c r="E86" s="76" t="str">
        <f>IF(Master[[#This Row],[Accession Name (Identifier 2)]]="","",Master[[#This Row],[Accession Name (Identifier 2)]])</f>
        <v>UT080-336</v>
      </c>
      <c r="F86" s="45" t="str">
        <f>IF(Master[[#This Row],[Accession Name Cooperator (Identifier 2) -name, organization]]="","",Master[[#This Row],[Accession Name Cooperator (Identifier 2) -name, organization]])</f>
        <v/>
      </c>
      <c r="G86" s="7" t="str">
        <f t="shared" ref="G86:G117" si="3">"Y"</f>
        <v>Y</v>
      </c>
      <c r="I86" s="8"/>
      <c r="M86" s="8"/>
    </row>
    <row r="87" spans="2:13" x14ac:dyDescent="0.25">
      <c r="B87" s="7" t="str">
        <f>Master[[#This Row],[Accession Prefix (NPGS)]]&amp;" "&amp;Master[[#This Row],[Accession Number -Assigned]]</f>
        <v>W6 59673</v>
      </c>
      <c r="C87" s="7" t="str">
        <f>Master[[#This Row],[Accession Prefix (NPGS)]]&amp;" "&amp;Master[[#This Row],[Accession Number -Assigned]]&amp;" **"</f>
        <v>W6 59673 **</v>
      </c>
      <c r="D87" s="76" t="str">
        <f>IF(Master[[#This Row],[Accession Name Category (Identifier 2) -Lookup Picker]]="","",Master[[#This Row],[Accession Name Category (Identifier 2) -Lookup Picker]])</f>
        <v>Collector identifier</v>
      </c>
      <c r="E87" s="76" t="str">
        <f>IF(Master[[#This Row],[Accession Name (Identifier 2)]]="","",Master[[#This Row],[Accession Name (Identifier 2)]])</f>
        <v>UT080-337</v>
      </c>
      <c r="F87" s="45" t="str">
        <f>IF(Master[[#This Row],[Accession Name Cooperator (Identifier 2) -name, organization]]="","",Master[[#This Row],[Accession Name Cooperator (Identifier 2) -name, organization]])</f>
        <v/>
      </c>
      <c r="G87" s="7" t="str">
        <f t="shared" si="3"/>
        <v>Y</v>
      </c>
      <c r="I87" s="8"/>
      <c r="M87" s="8"/>
    </row>
    <row r="88" spans="2:13" x14ac:dyDescent="0.25">
      <c r="B88" s="7" t="str">
        <f>Master[[#This Row],[Accession Prefix (NPGS)]]&amp;" "&amp;Master[[#This Row],[Accession Number -Assigned]]</f>
        <v>W6 59674</v>
      </c>
      <c r="C88" s="7" t="str">
        <f>Master[[#This Row],[Accession Prefix (NPGS)]]&amp;" "&amp;Master[[#This Row],[Accession Number -Assigned]]&amp;" **"</f>
        <v>W6 59674 **</v>
      </c>
      <c r="D88" s="76" t="str">
        <f>IF(Master[[#This Row],[Accession Name Category (Identifier 2) -Lookup Picker]]="","",Master[[#This Row],[Accession Name Category (Identifier 2) -Lookup Picker]])</f>
        <v>Collector identifier</v>
      </c>
      <c r="E88" s="76" t="str">
        <f>IF(Master[[#This Row],[Accession Name (Identifier 2)]]="","",Master[[#This Row],[Accession Name (Identifier 2)]])</f>
        <v>UT080-338</v>
      </c>
      <c r="F88" s="45" t="str">
        <f>IF(Master[[#This Row],[Accession Name Cooperator (Identifier 2) -name, organization]]="","",Master[[#This Row],[Accession Name Cooperator (Identifier 2) -name, organization]])</f>
        <v/>
      </c>
      <c r="G88" s="7" t="str">
        <f t="shared" si="3"/>
        <v>Y</v>
      </c>
      <c r="I88" s="8"/>
      <c r="M88" s="8"/>
    </row>
    <row r="89" spans="2:13" x14ac:dyDescent="0.25">
      <c r="B89" s="7" t="str">
        <f>Master[[#This Row],[Accession Prefix (NPGS)]]&amp;" "&amp;Master[[#This Row],[Accession Number -Assigned]]</f>
        <v>W6 59675</v>
      </c>
      <c r="C89" s="7" t="str">
        <f>Master[[#This Row],[Accession Prefix (NPGS)]]&amp;" "&amp;Master[[#This Row],[Accession Number -Assigned]]&amp;" **"</f>
        <v>W6 59675 **</v>
      </c>
      <c r="D89" s="76" t="str">
        <f>IF(Master[[#This Row],[Accession Name Category (Identifier 2) -Lookup Picker]]="","",Master[[#This Row],[Accession Name Category (Identifier 2) -Lookup Picker]])</f>
        <v>Collector identifier</v>
      </c>
      <c r="E89" s="76" t="str">
        <f>IF(Master[[#This Row],[Accession Name (Identifier 2)]]="","",Master[[#This Row],[Accession Name (Identifier 2)]])</f>
        <v>UT080-340</v>
      </c>
      <c r="F89" s="45" t="str">
        <f>IF(Master[[#This Row],[Accession Name Cooperator (Identifier 2) -name, organization]]="","",Master[[#This Row],[Accession Name Cooperator (Identifier 2) -name, organization]])</f>
        <v/>
      </c>
      <c r="G89" s="7" t="str">
        <f t="shared" si="3"/>
        <v>Y</v>
      </c>
      <c r="I89" s="8"/>
      <c r="M89" s="8"/>
    </row>
    <row r="90" spans="2:13" x14ac:dyDescent="0.25">
      <c r="B90" s="7" t="str">
        <f>Master[[#This Row],[Accession Prefix (NPGS)]]&amp;" "&amp;Master[[#This Row],[Accession Number -Assigned]]</f>
        <v>W6 59676</v>
      </c>
      <c r="C90" s="7" t="str">
        <f>Master[[#This Row],[Accession Prefix (NPGS)]]&amp;" "&amp;Master[[#This Row],[Accession Number -Assigned]]&amp;" **"</f>
        <v>W6 59676 **</v>
      </c>
      <c r="D90" s="76" t="str">
        <f>IF(Master[[#This Row],[Accession Name Category (Identifier 2) -Lookup Picker]]="","",Master[[#This Row],[Accession Name Category (Identifier 2) -Lookup Picker]])</f>
        <v>Collector identifier</v>
      </c>
      <c r="E90" s="76" t="str">
        <f>IF(Master[[#This Row],[Accession Name (Identifier 2)]]="","",Master[[#This Row],[Accession Name (Identifier 2)]])</f>
        <v>UT080-342</v>
      </c>
      <c r="F90" s="45" t="str">
        <f>IF(Master[[#This Row],[Accession Name Cooperator (Identifier 2) -name, organization]]="","",Master[[#This Row],[Accession Name Cooperator (Identifier 2) -name, organization]])</f>
        <v/>
      </c>
      <c r="G90" s="7" t="str">
        <f t="shared" si="3"/>
        <v>Y</v>
      </c>
      <c r="I90" s="8"/>
      <c r="M90" s="8"/>
    </row>
    <row r="91" spans="2:13" x14ac:dyDescent="0.25">
      <c r="B91" s="7" t="str">
        <f>Master[[#This Row],[Accession Prefix (NPGS)]]&amp;" "&amp;Master[[#This Row],[Accession Number -Assigned]]</f>
        <v>W6 59677</v>
      </c>
      <c r="C91" s="7" t="str">
        <f>Master[[#This Row],[Accession Prefix (NPGS)]]&amp;" "&amp;Master[[#This Row],[Accession Number -Assigned]]&amp;" **"</f>
        <v>W6 59677 **</v>
      </c>
      <c r="D91" s="76" t="str">
        <f>IF(Master[[#This Row],[Accession Name Category (Identifier 2) -Lookup Picker]]="","",Master[[#This Row],[Accession Name Category (Identifier 2) -Lookup Picker]])</f>
        <v>Collector identifier</v>
      </c>
      <c r="E91" s="76" t="str">
        <f>IF(Master[[#This Row],[Accession Name (Identifier 2)]]="","",Master[[#This Row],[Accession Name (Identifier 2)]])</f>
        <v>UT080-343</v>
      </c>
      <c r="F91" s="45" t="str">
        <f>IF(Master[[#This Row],[Accession Name Cooperator (Identifier 2) -name, organization]]="","",Master[[#This Row],[Accession Name Cooperator (Identifier 2) -name, organization]])</f>
        <v/>
      </c>
      <c r="G91" s="7" t="str">
        <f t="shared" si="3"/>
        <v>Y</v>
      </c>
      <c r="I91" s="8"/>
      <c r="M91" s="8"/>
    </row>
    <row r="92" spans="2:13" x14ac:dyDescent="0.25">
      <c r="B92" s="7" t="str">
        <f>Master[[#This Row],[Accession Prefix (NPGS)]]&amp;" "&amp;Master[[#This Row],[Accession Number -Assigned]]</f>
        <v>W6 59678</v>
      </c>
      <c r="C92" s="7" t="str">
        <f>Master[[#This Row],[Accession Prefix (NPGS)]]&amp;" "&amp;Master[[#This Row],[Accession Number -Assigned]]&amp;" **"</f>
        <v>W6 59678 **</v>
      </c>
      <c r="D92" s="76" t="str">
        <f>IF(Master[[#This Row],[Accession Name Category (Identifier 2) -Lookup Picker]]="","",Master[[#This Row],[Accession Name Category (Identifier 2) -Lookup Picker]])</f>
        <v>Collector identifier</v>
      </c>
      <c r="E92" s="76" t="str">
        <f>IF(Master[[#This Row],[Accession Name (Identifier 2)]]="","",Master[[#This Row],[Accession Name (Identifier 2)]])</f>
        <v>UT080-344</v>
      </c>
      <c r="F92" s="45" t="str">
        <f>IF(Master[[#This Row],[Accession Name Cooperator (Identifier 2) -name, organization]]="","",Master[[#This Row],[Accession Name Cooperator (Identifier 2) -name, organization]])</f>
        <v/>
      </c>
      <c r="G92" s="7" t="str">
        <f t="shared" si="3"/>
        <v>Y</v>
      </c>
      <c r="I92" s="8"/>
      <c r="M92" s="8"/>
    </row>
    <row r="93" spans="2:13" x14ac:dyDescent="0.25">
      <c r="B93" s="7" t="str">
        <f>Master[[#This Row],[Accession Prefix (NPGS)]]&amp;" "&amp;Master[[#This Row],[Accession Number -Assigned]]</f>
        <v>W6 59679</v>
      </c>
      <c r="C93" s="7" t="str">
        <f>Master[[#This Row],[Accession Prefix (NPGS)]]&amp;" "&amp;Master[[#This Row],[Accession Number -Assigned]]&amp;" **"</f>
        <v>W6 59679 **</v>
      </c>
      <c r="D93" s="76" t="str">
        <f>IF(Master[[#This Row],[Accession Name Category (Identifier 2) -Lookup Picker]]="","",Master[[#This Row],[Accession Name Category (Identifier 2) -Lookup Picker]])</f>
        <v>Collector identifier</v>
      </c>
      <c r="E93" s="76" t="str">
        <f>IF(Master[[#This Row],[Accession Name (Identifier 2)]]="","",Master[[#This Row],[Accession Name (Identifier 2)]])</f>
        <v>UT080-345</v>
      </c>
      <c r="F93" s="45" t="str">
        <f>IF(Master[[#This Row],[Accession Name Cooperator (Identifier 2) -name, organization]]="","",Master[[#This Row],[Accession Name Cooperator (Identifier 2) -name, organization]])</f>
        <v/>
      </c>
      <c r="G93" s="7" t="str">
        <f t="shared" si="3"/>
        <v>Y</v>
      </c>
      <c r="I93" s="8"/>
      <c r="M93" s="8"/>
    </row>
    <row r="94" spans="2:13" x14ac:dyDescent="0.25">
      <c r="B94" s="7" t="str">
        <f>Master[[#This Row],[Accession Prefix (NPGS)]]&amp;" "&amp;Master[[#This Row],[Accession Number -Assigned]]</f>
        <v>W6 59680</v>
      </c>
      <c r="C94" s="7" t="str">
        <f>Master[[#This Row],[Accession Prefix (NPGS)]]&amp;" "&amp;Master[[#This Row],[Accession Number -Assigned]]&amp;" **"</f>
        <v>W6 59680 **</v>
      </c>
      <c r="D94" s="76" t="str">
        <f>IF(Master[[#This Row],[Accession Name Category (Identifier 2) -Lookup Picker]]="","",Master[[#This Row],[Accession Name Category (Identifier 2) -Lookup Picker]])</f>
        <v>Collector identifier</v>
      </c>
      <c r="E94" s="76" t="str">
        <f>IF(Master[[#This Row],[Accession Name (Identifier 2)]]="","",Master[[#This Row],[Accession Name (Identifier 2)]])</f>
        <v>UT080-348</v>
      </c>
      <c r="F94" s="45" t="str">
        <f>IF(Master[[#This Row],[Accession Name Cooperator (Identifier 2) -name, organization]]="","",Master[[#This Row],[Accession Name Cooperator (Identifier 2) -name, organization]])</f>
        <v/>
      </c>
      <c r="G94" s="7" t="str">
        <f t="shared" si="3"/>
        <v>Y</v>
      </c>
      <c r="I94" s="8"/>
      <c r="M94" s="8"/>
    </row>
    <row r="95" spans="2:13" x14ac:dyDescent="0.25">
      <c r="B95" s="7" t="str">
        <f>Master[[#This Row],[Accession Prefix (NPGS)]]&amp;" "&amp;Master[[#This Row],[Accession Number -Assigned]]</f>
        <v>W6 59681</v>
      </c>
      <c r="C95" s="7" t="str">
        <f>Master[[#This Row],[Accession Prefix (NPGS)]]&amp;" "&amp;Master[[#This Row],[Accession Number -Assigned]]&amp;" **"</f>
        <v>W6 59681 **</v>
      </c>
      <c r="D95" s="76" t="str">
        <f>IF(Master[[#This Row],[Accession Name Category (Identifier 2) -Lookup Picker]]="","",Master[[#This Row],[Accession Name Category (Identifier 2) -Lookup Picker]])</f>
        <v>Collector identifier</v>
      </c>
      <c r="E95" s="76" t="str">
        <f>IF(Master[[#This Row],[Accession Name (Identifier 2)]]="","",Master[[#This Row],[Accession Name (Identifier 2)]])</f>
        <v>UT080-351</v>
      </c>
      <c r="F95" s="45" t="str">
        <f>IF(Master[[#This Row],[Accession Name Cooperator (Identifier 2) -name, organization]]="","",Master[[#This Row],[Accession Name Cooperator (Identifier 2) -name, organization]])</f>
        <v/>
      </c>
      <c r="G95" s="7" t="str">
        <f t="shared" si="3"/>
        <v>Y</v>
      </c>
      <c r="I95" s="8"/>
      <c r="M95" s="8"/>
    </row>
    <row r="96" spans="2:13" x14ac:dyDescent="0.25">
      <c r="B96" s="7" t="str">
        <f>Master[[#This Row],[Accession Prefix (NPGS)]]&amp;" "&amp;Master[[#This Row],[Accession Number -Assigned]]</f>
        <v>W6 59682</v>
      </c>
      <c r="C96" s="7" t="str">
        <f>Master[[#This Row],[Accession Prefix (NPGS)]]&amp;" "&amp;Master[[#This Row],[Accession Number -Assigned]]&amp;" **"</f>
        <v>W6 59682 **</v>
      </c>
      <c r="D96" s="76" t="str">
        <f>IF(Master[[#This Row],[Accession Name Category (Identifier 2) -Lookup Picker]]="","",Master[[#This Row],[Accession Name Category (Identifier 2) -Lookup Picker]])</f>
        <v>Collector identifier</v>
      </c>
      <c r="E96" s="76" t="str">
        <f>IF(Master[[#This Row],[Accession Name (Identifier 2)]]="","",Master[[#This Row],[Accession Name (Identifier 2)]])</f>
        <v>UT080-352</v>
      </c>
      <c r="F96" s="45" t="str">
        <f>IF(Master[[#This Row],[Accession Name Cooperator (Identifier 2) -name, organization]]="","",Master[[#This Row],[Accession Name Cooperator (Identifier 2) -name, organization]])</f>
        <v/>
      </c>
      <c r="G96" s="7" t="str">
        <f t="shared" si="3"/>
        <v>Y</v>
      </c>
      <c r="I96" s="8"/>
      <c r="M96" s="8"/>
    </row>
    <row r="97" spans="2:13" x14ac:dyDescent="0.25">
      <c r="B97" s="7" t="str">
        <f>Master[[#This Row],[Accession Prefix (NPGS)]]&amp;" "&amp;Master[[#This Row],[Accession Number -Assigned]]</f>
        <v>W6 59683</v>
      </c>
      <c r="C97" s="7" t="str">
        <f>Master[[#This Row],[Accession Prefix (NPGS)]]&amp;" "&amp;Master[[#This Row],[Accession Number -Assigned]]&amp;" **"</f>
        <v>W6 59683 **</v>
      </c>
      <c r="D97" s="76" t="str">
        <f>IF(Master[[#This Row],[Accession Name Category (Identifier 2) -Lookup Picker]]="","",Master[[#This Row],[Accession Name Category (Identifier 2) -Lookup Picker]])</f>
        <v>Collector identifier</v>
      </c>
      <c r="E97" s="76" t="str">
        <f>IF(Master[[#This Row],[Accession Name (Identifier 2)]]="","",Master[[#This Row],[Accession Name (Identifier 2)]])</f>
        <v>WY050-229</v>
      </c>
      <c r="F97" s="45" t="str">
        <f>IF(Master[[#This Row],[Accession Name Cooperator (Identifier 2) -name, organization]]="","",Master[[#This Row],[Accession Name Cooperator (Identifier 2) -name, organization]])</f>
        <v/>
      </c>
      <c r="G97" s="7" t="str">
        <f t="shared" si="3"/>
        <v>Y</v>
      </c>
      <c r="I97" s="8"/>
      <c r="M97" s="8"/>
    </row>
    <row r="98" spans="2:13" x14ac:dyDescent="0.25">
      <c r="B98" s="7" t="str">
        <f>Master[[#This Row],[Accession Prefix (NPGS)]]&amp;" "&amp;Master[[#This Row],[Accession Number -Assigned]]</f>
        <v>W6 59684</v>
      </c>
      <c r="C98" s="7" t="str">
        <f>Master[[#This Row],[Accession Prefix (NPGS)]]&amp;" "&amp;Master[[#This Row],[Accession Number -Assigned]]&amp;" **"</f>
        <v>W6 59684 **</v>
      </c>
      <c r="D98" s="76" t="str">
        <f>IF(Master[[#This Row],[Accession Name Category (Identifier 2) -Lookup Picker]]="","",Master[[#This Row],[Accession Name Category (Identifier 2) -Lookup Picker]])</f>
        <v>Collector identifier</v>
      </c>
      <c r="E98" s="76" t="str">
        <f>IF(Master[[#This Row],[Accession Name (Identifier 2)]]="","",Master[[#This Row],[Accession Name (Identifier 2)]])</f>
        <v>WY070-76</v>
      </c>
      <c r="F98" s="45" t="str">
        <f>IF(Master[[#This Row],[Accession Name Cooperator (Identifier 2) -name, organization]]="","",Master[[#This Row],[Accession Name Cooperator (Identifier 2) -name, organization]])</f>
        <v/>
      </c>
      <c r="G98" s="7" t="str">
        <f t="shared" si="3"/>
        <v>Y</v>
      </c>
      <c r="I98" s="8"/>
      <c r="M98" s="8"/>
    </row>
    <row r="99" spans="2:13" x14ac:dyDescent="0.25">
      <c r="B99" s="7" t="str">
        <f>Master[[#This Row],[Accession Prefix (NPGS)]]&amp;" "&amp;Master[[#This Row],[Accession Number -Assigned]]</f>
        <v>W6 59685</v>
      </c>
      <c r="C99" s="7" t="str">
        <f>Master[[#This Row],[Accession Prefix (NPGS)]]&amp;" "&amp;Master[[#This Row],[Accession Number -Assigned]]&amp;" **"</f>
        <v>W6 59685 **</v>
      </c>
      <c r="D99" s="76" t="str">
        <f>IF(Master[[#This Row],[Accession Name Category (Identifier 2) -Lookup Picker]]="","",Master[[#This Row],[Accession Name Category (Identifier 2) -Lookup Picker]])</f>
        <v>Collector identifier</v>
      </c>
      <c r="E99" s="76" t="str">
        <f>IF(Master[[#This Row],[Accession Name (Identifier 2)]]="","",Master[[#This Row],[Accession Name (Identifier 2)]])</f>
        <v>WY070-77</v>
      </c>
      <c r="F99" s="45" t="str">
        <f>IF(Master[[#This Row],[Accession Name Cooperator (Identifier 2) -name, organization]]="","",Master[[#This Row],[Accession Name Cooperator (Identifier 2) -name, organization]])</f>
        <v/>
      </c>
      <c r="G99" s="7" t="str">
        <f t="shared" si="3"/>
        <v>Y</v>
      </c>
      <c r="I99" s="8"/>
      <c r="M99" s="8"/>
    </row>
    <row r="100" spans="2:13" x14ac:dyDescent="0.25">
      <c r="B100" s="7" t="str">
        <f>Master[[#This Row],[Accession Prefix (NPGS)]]&amp;" "&amp;Master[[#This Row],[Accession Number -Assigned]]</f>
        <v>W6 59686</v>
      </c>
      <c r="C100" s="7" t="str">
        <f>Master[[#This Row],[Accession Prefix (NPGS)]]&amp;" "&amp;Master[[#This Row],[Accession Number -Assigned]]&amp;" **"</f>
        <v>W6 59686 **</v>
      </c>
      <c r="D100" s="76" t="str">
        <f>IF(Master[[#This Row],[Accession Name Category (Identifier 2) -Lookup Picker]]="","",Master[[#This Row],[Accession Name Category (Identifier 2) -Lookup Picker]])</f>
        <v>Collector identifier</v>
      </c>
      <c r="E100" s="76" t="str">
        <f>IF(Master[[#This Row],[Accession Name (Identifier 2)]]="","",Master[[#This Row],[Accession Name (Identifier 2)]])</f>
        <v>WY070-78</v>
      </c>
      <c r="F100" s="45" t="str">
        <f>IF(Master[[#This Row],[Accession Name Cooperator (Identifier 2) -name, organization]]="","",Master[[#This Row],[Accession Name Cooperator (Identifier 2) -name, organization]])</f>
        <v/>
      </c>
      <c r="G100" s="7" t="str">
        <f t="shared" si="3"/>
        <v>Y</v>
      </c>
    </row>
    <row r="101" spans="2:13" x14ac:dyDescent="0.25">
      <c r="B101" s="7" t="str">
        <f>Master[[#This Row],[Accession Prefix (NPGS)]]&amp;" "&amp;Master[[#This Row],[Accession Number -Assigned]]</f>
        <v>W6 59687</v>
      </c>
      <c r="C101" s="7" t="str">
        <f>Master[[#This Row],[Accession Prefix (NPGS)]]&amp;" "&amp;Master[[#This Row],[Accession Number -Assigned]]&amp;" **"</f>
        <v>W6 59687 **</v>
      </c>
      <c r="D101" s="76" t="str">
        <f>IF(Master[[#This Row],[Accession Name Category (Identifier 2) -Lookup Picker]]="","",Master[[#This Row],[Accession Name Category (Identifier 2) -Lookup Picker]])</f>
        <v>Collector identifier</v>
      </c>
      <c r="E101" s="76" t="str">
        <f>IF(Master[[#This Row],[Accession Name (Identifier 2)]]="","",Master[[#This Row],[Accession Name (Identifier 2)]])</f>
        <v>WY070-79</v>
      </c>
      <c r="F101" s="45" t="str">
        <f>IF(Master[[#This Row],[Accession Name Cooperator (Identifier 2) -name, organization]]="","",Master[[#This Row],[Accession Name Cooperator (Identifier 2) -name, organization]])</f>
        <v/>
      </c>
      <c r="G101" s="7" t="str">
        <f t="shared" si="3"/>
        <v>Y</v>
      </c>
    </row>
    <row r="102" spans="2:13" x14ac:dyDescent="0.25">
      <c r="B102" s="7" t="str">
        <f>Master[[#This Row],[Accession Prefix (NPGS)]]&amp;" "&amp;Master[[#This Row],[Accession Number -Assigned]]</f>
        <v>W6 59688</v>
      </c>
      <c r="C102" s="7" t="str">
        <f>Master[[#This Row],[Accession Prefix (NPGS)]]&amp;" "&amp;Master[[#This Row],[Accession Number -Assigned]]&amp;" **"</f>
        <v>W6 59688 **</v>
      </c>
      <c r="D102" s="76" t="str">
        <f>IF(Master[[#This Row],[Accession Name Category (Identifier 2) -Lookup Picker]]="","",Master[[#This Row],[Accession Name Category (Identifier 2) -Lookup Picker]])</f>
        <v>Collector identifier</v>
      </c>
      <c r="E102" s="76" t="str">
        <f>IF(Master[[#This Row],[Accession Name (Identifier 2)]]="","",Master[[#This Row],[Accession Name (Identifier 2)]])</f>
        <v>WY070-80</v>
      </c>
      <c r="F102" s="45" t="str">
        <f>IF(Master[[#This Row],[Accession Name Cooperator (Identifier 2) -name, organization]]="","",Master[[#This Row],[Accession Name Cooperator (Identifier 2) -name, organization]])</f>
        <v/>
      </c>
      <c r="G102" s="7" t="str">
        <f t="shared" si="3"/>
        <v>Y</v>
      </c>
    </row>
    <row r="103" spans="2:13" x14ac:dyDescent="0.25">
      <c r="B103" s="7" t="str">
        <f>Master[[#This Row],[Accession Prefix (NPGS)]]&amp;" "&amp;Master[[#This Row],[Accession Number -Assigned]]</f>
        <v>W6 59689</v>
      </c>
      <c r="C103" s="7" t="str">
        <f>Master[[#This Row],[Accession Prefix (NPGS)]]&amp;" "&amp;Master[[#This Row],[Accession Number -Assigned]]&amp;" **"</f>
        <v>W6 59689 **</v>
      </c>
      <c r="D103" s="76" t="str">
        <f>IF(Master[[#This Row],[Accession Name Category (Identifier 2) -Lookup Picker]]="","",Master[[#This Row],[Accession Name Category (Identifier 2) -Lookup Picker]])</f>
        <v>Collector identifier</v>
      </c>
      <c r="E103" s="76" t="str">
        <f>IF(Master[[#This Row],[Accession Name (Identifier 2)]]="","",Master[[#This Row],[Accession Name (Identifier 2)]])</f>
        <v>WY070-81</v>
      </c>
      <c r="F103" s="45" t="str">
        <f>IF(Master[[#This Row],[Accession Name Cooperator (Identifier 2) -name, organization]]="","",Master[[#This Row],[Accession Name Cooperator (Identifier 2) -name, organization]])</f>
        <v/>
      </c>
      <c r="G103" s="7" t="str">
        <f t="shared" si="3"/>
        <v>Y</v>
      </c>
    </row>
    <row r="104" spans="2:13" x14ac:dyDescent="0.25">
      <c r="B104" s="7" t="str">
        <f>Master[[#This Row],[Accession Prefix (NPGS)]]&amp;" "&amp;Master[[#This Row],[Accession Number -Assigned]]</f>
        <v>W6 59690</v>
      </c>
      <c r="C104" s="7" t="str">
        <f>Master[[#This Row],[Accession Prefix (NPGS)]]&amp;" "&amp;Master[[#This Row],[Accession Number -Assigned]]&amp;" **"</f>
        <v>W6 59690 **</v>
      </c>
      <c r="D104" s="76" t="str">
        <f>IF(Master[[#This Row],[Accession Name Category (Identifier 2) -Lookup Picker]]="","",Master[[#This Row],[Accession Name Category (Identifier 2) -Lookup Picker]])</f>
        <v>Collector identifier</v>
      </c>
      <c r="E104" s="76" t="str">
        <f>IF(Master[[#This Row],[Accession Name (Identifier 2)]]="","",Master[[#This Row],[Accession Name (Identifier 2)]])</f>
        <v>WY070-82</v>
      </c>
      <c r="F104" s="45" t="str">
        <f>IF(Master[[#This Row],[Accession Name Cooperator (Identifier 2) -name, organization]]="","",Master[[#This Row],[Accession Name Cooperator (Identifier 2) -name, organization]])</f>
        <v/>
      </c>
      <c r="G104" s="7" t="str">
        <f t="shared" si="3"/>
        <v>Y</v>
      </c>
    </row>
    <row r="105" spans="2:13" x14ac:dyDescent="0.25">
      <c r="B105" s="7" t="str">
        <f>Master[[#This Row],[Accession Prefix (NPGS)]]&amp;" "&amp;Master[[#This Row],[Accession Number -Assigned]]</f>
        <v>W6 59691</v>
      </c>
      <c r="C105" s="7" t="str">
        <f>Master[[#This Row],[Accession Prefix (NPGS)]]&amp;" "&amp;Master[[#This Row],[Accession Number -Assigned]]&amp;" **"</f>
        <v>W6 59691 **</v>
      </c>
      <c r="D105" s="76" t="str">
        <f>IF(Master[[#This Row],[Accession Name Category (Identifier 2) -Lookup Picker]]="","",Master[[#This Row],[Accession Name Category (Identifier 2) -Lookup Picker]])</f>
        <v>Collector identifier</v>
      </c>
      <c r="E105" s="76" t="str">
        <f>IF(Master[[#This Row],[Accession Name (Identifier 2)]]="","",Master[[#This Row],[Accession Name (Identifier 2)]])</f>
        <v>WY070-83</v>
      </c>
      <c r="F105" s="45" t="str">
        <f>IF(Master[[#This Row],[Accession Name Cooperator (Identifier 2) -name, organization]]="","",Master[[#This Row],[Accession Name Cooperator (Identifier 2) -name, organization]])</f>
        <v/>
      </c>
      <c r="G105" s="7" t="str">
        <f t="shared" si="3"/>
        <v>Y</v>
      </c>
    </row>
    <row r="106" spans="2:13" x14ac:dyDescent="0.25">
      <c r="B106" s="7" t="str">
        <f>Master[[#This Row],[Accession Prefix (NPGS)]]&amp;" "&amp;Master[[#This Row],[Accession Number -Assigned]]</f>
        <v>W6 59692</v>
      </c>
      <c r="C106" s="7" t="str">
        <f>Master[[#This Row],[Accession Prefix (NPGS)]]&amp;" "&amp;Master[[#This Row],[Accession Number -Assigned]]&amp;" **"</f>
        <v>W6 59692 **</v>
      </c>
      <c r="D106" s="76" t="str">
        <f>IF(Master[[#This Row],[Accession Name Category (Identifier 2) -Lookup Picker]]="","",Master[[#This Row],[Accession Name Category (Identifier 2) -Lookup Picker]])</f>
        <v>Collector identifier</v>
      </c>
      <c r="E106" s="76" t="str">
        <f>IF(Master[[#This Row],[Accession Name (Identifier 2)]]="","",Master[[#This Row],[Accession Name (Identifier 2)]])</f>
        <v>WY070-84</v>
      </c>
      <c r="F106" s="45" t="str">
        <f>IF(Master[[#This Row],[Accession Name Cooperator (Identifier 2) -name, organization]]="","",Master[[#This Row],[Accession Name Cooperator (Identifier 2) -name, organization]])</f>
        <v/>
      </c>
      <c r="G106" s="7" t="str">
        <f t="shared" si="3"/>
        <v>Y</v>
      </c>
    </row>
    <row r="107" spans="2:13" x14ac:dyDescent="0.25">
      <c r="B107" s="7" t="str">
        <f>Master[[#This Row],[Accession Prefix (NPGS)]]&amp;" "&amp;Master[[#This Row],[Accession Number -Assigned]]</f>
        <v>W6 59693</v>
      </c>
      <c r="C107" s="7" t="str">
        <f>Master[[#This Row],[Accession Prefix (NPGS)]]&amp;" "&amp;Master[[#This Row],[Accession Number -Assigned]]&amp;" **"</f>
        <v>W6 59693 **</v>
      </c>
      <c r="D107" s="76" t="str">
        <f>IF(Master[[#This Row],[Accession Name Category (Identifier 2) -Lookup Picker]]="","",Master[[#This Row],[Accession Name Category (Identifier 2) -Lookup Picker]])</f>
        <v>Collector identifier</v>
      </c>
      <c r="E107" s="76" t="str">
        <f>IF(Master[[#This Row],[Accession Name (Identifier 2)]]="","",Master[[#This Row],[Accession Name (Identifier 2)]])</f>
        <v>WY070-85</v>
      </c>
      <c r="F107" s="45" t="str">
        <f>IF(Master[[#This Row],[Accession Name Cooperator (Identifier 2) -name, organization]]="","",Master[[#This Row],[Accession Name Cooperator (Identifier 2) -name, organization]])</f>
        <v/>
      </c>
      <c r="G107" s="7" t="str">
        <f t="shared" si="3"/>
        <v>Y</v>
      </c>
    </row>
    <row r="108" spans="2:13" x14ac:dyDescent="0.25">
      <c r="B108" s="7" t="str">
        <f>Master[[#This Row],[Accession Prefix (NPGS)]]&amp;" "&amp;Master[[#This Row],[Accession Number -Assigned]]</f>
        <v>W6 59694</v>
      </c>
      <c r="C108" s="7" t="str">
        <f>Master[[#This Row],[Accession Prefix (NPGS)]]&amp;" "&amp;Master[[#This Row],[Accession Number -Assigned]]&amp;" **"</f>
        <v>W6 59694 **</v>
      </c>
      <c r="D108" s="76" t="str">
        <f>IF(Master[[#This Row],[Accession Name Category (Identifier 2) -Lookup Picker]]="","",Master[[#This Row],[Accession Name Category (Identifier 2) -Lookup Picker]])</f>
        <v>Collector identifier</v>
      </c>
      <c r="E108" s="76" t="str">
        <f>IF(Master[[#This Row],[Accession Name (Identifier 2)]]="","",Master[[#This Row],[Accession Name (Identifier 2)]])</f>
        <v>WY070-86</v>
      </c>
      <c r="F108" s="45" t="str">
        <f>IF(Master[[#This Row],[Accession Name Cooperator (Identifier 2) -name, organization]]="","",Master[[#This Row],[Accession Name Cooperator (Identifier 2) -name, organization]])</f>
        <v/>
      </c>
      <c r="G108" s="7" t="str">
        <f t="shared" si="3"/>
        <v>Y</v>
      </c>
    </row>
    <row r="109" spans="2:13" x14ac:dyDescent="0.25">
      <c r="B109" s="7" t="str">
        <f>Master[[#This Row],[Accession Prefix (NPGS)]]&amp;" "&amp;Master[[#This Row],[Accession Number -Assigned]]</f>
        <v>W6 59695</v>
      </c>
      <c r="C109" s="7" t="str">
        <f>Master[[#This Row],[Accession Prefix (NPGS)]]&amp;" "&amp;Master[[#This Row],[Accession Number -Assigned]]&amp;" **"</f>
        <v>W6 59695 **</v>
      </c>
      <c r="D109" s="76" t="str">
        <f>IF(Master[[#This Row],[Accession Name Category (Identifier 2) -Lookup Picker]]="","",Master[[#This Row],[Accession Name Category (Identifier 2) -Lookup Picker]])</f>
        <v>Collector identifier</v>
      </c>
      <c r="E109" s="76" t="str">
        <f>IF(Master[[#This Row],[Accession Name (Identifier 2)]]="","",Master[[#This Row],[Accession Name (Identifier 2)]])</f>
        <v>WY070-87</v>
      </c>
      <c r="F109" s="45" t="str">
        <f>IF(Master[[#This Row],[Accession Name Cooperator (Identifier 2) -name, organization]]="","",Master[[#This Row],[Accession Name Cooperator (Identifier 2) -name, organization]])</f>
        <v/>
      </c>
      <c r="G109" s="7" t="str">
        <f t="shared" si="3"/>
        <v>Y</v>
      </c>
    </row>
    <row r="110" spans="2:13" x14ac:dyDescent="0.25">
      <c r="B110" s="7" t="str">
        <f>Master[[#This Row],[Accession Prefix (NPGS)]]&amp;" "&amp;Master[[#This Row],[Accession Number -Assigned]]</f>
        <v>W6 59696</v>
      </c>
      <c r="C110" s="7" t="str">
        <f>Master[[#This Row],[Accession Prefix (NPGS)]]&amp;" "&amp;Master[[#This Row],[Accession Number -Assigned]]&amp;" **"</f>
        <v>W6 59696 **</v>
      </c>
      <c r="D110" s="76" t="str">
        <f>IF(Master[[#This Row],[Accession Name Category (Identifier 2) -Lookup Picker]]="","",Master[[#This Row],[Accession Name Category (Identifier 2) -Lookup Picker]])</f>
        <v>Collector identifier</v>
      </c>
      <c r="E110" s="76" t="str">
        <f>IF(Master[[#This Row],[Accession Name (Identifier 2)]]="","",Master[[#This Row],[Accession Name (Identifier 2)]])</f>
        <v>WY070-88</v>
      </c>
      <c r="F110" s="45" t="str">
        <f>IF(Master[[#This Row],[Accession Name Cooperator (Identifier 2) -name, organization]]="","",Master[[#This Row],[Accession Name Cooperator (Identifier 2) -name, organization]])</f>
        <v/>
      </c>
      <c r="G110" s="7" t="str">
        <f t="shared" si="3"/>
        <v>Y</v>
      </c>
    </row>
    <row r="111" spans="2:13" x14ac:dyDescent="0.25">
      <c r="B111" s="7" t="str">
        <f>Master[[#This Row],[Accession Prefix (NPGS)]]&amp;" "&amp;Master[[#This Row],[Accession Number -Assigned]]</f>
        <v>W6 59697</v>
      </c>
      <c r="C111" s="7" t="str">
        <f>Master[[#This Row],[Accession Prefix (NPGS)]]&amp;" "&amp;Master[[#This Row],[Accession Number -Assigned]]&amp;" **"</f>
        <v>W6 59697 **</v>
      </c>
      <c r="D111" s="76" t="str">
        <f>IF(Master[[#This Row],[Accession Name Category (Identifier 2) -Lookup Picker]]="","",Master[[#This Row],[Accession Name Category (Identifier 2) -Lookup Picker]])</f>
        <v>Collector identifier</v>
      </c>
      <c r="E111" s="76" t="str">
        <f>IF(Master[[#This Row],[Accession Name (Identifier 2)]]="","",Master[[#This Row],[Accession Name (Identifier 2)]])</f>
        <v>WY070-89</v>
      </c>
      <c r="F111" s="45" t="str">
        <f>IF(Master[[#This Row],[Accession Name Cooperator (Identifier 2) -name, organization]]="","",Master[[#This Row],[Accession Name Cooperator (Identifier 2) -name, organization]])</f>
        <v/>
      </c>
      <c r="G111" s="7" t="str">
        <f t="shared" si="3"/>
        <v>Y</v>
      </c>
    </row>
    <row r="112" spans="2:13" x14ac:dyDescent="0.25">
      <c r="B112" s="7" t="str">
        <f>Master[[#This Row],[Accession Prefix (NPGS)]]&amp;" "&amp;Master[[#This Row],[Accession Number -Assigned]]</f>
        <v>W6 59698</v>
      </c>
      <c r="C112" s="7" t="str">
        <f>Master[[#This Row],[Accession Prefix (NPGS)]]&amp;" "&amp;Master[[#This Row],[Accession Number -Assigned]]&amp;" **"</f>
        <v>W6 59698 **</v>
      </c>
      <c r="D112" s="76" t="str">
        <f>IF(Master[[#This Row],[Accession Name Category (Identifier 2) -Lookup Picker]]="","",Master[[#This Row],[Accession Name Category (Identifier 2) -Lookup Picker]])</f>
        <v>Collector identifier</v>
      </c>
      <c r="E112" s="76" t="str">
        <f>IF(Master[[#This Row],[Accession Name (Identifier 2)]]="","",Master[[#This Row],[Accession Name (Identifier 2)]])</f>
        <v>WY070-90</v>
      </c>
      <c r="F112" s="45" t="str">
        <f>IF(Master[[#This Row],[Accession Name Cooperator (Identifier 2) -name, organization]]="","",Master[[#This Row],[Accession Name Cooperator (Identifier 2) -name, organization]])</f>
        <v/>
      </c>
      <c r="G112" s="7" t="str">
        <f t="shared" si="3"/>
        <v>Y</v>
      </c>
    </row>
    <row r="113" spans="2:7" x14ac:dyDescent="0.25">
      <c r="B113" s="7" t="str">
        <f>Master[[#This Row],[Accession Prefix (NPGS)]]&amp;" "&amp;Master[[#This Row],[Accession Number -Assigned]]</f>
        <v>W6 59699</v>
      </c>
      <c r="C113" s="7" t="str">
        <f>Master[[#This Row],[Accession Prefix (NPGS)]]&amp;" "&amp;Master[[#This Row],[Accession Number -Assigned]]&amp;" **"</f>
        <v>W6 59699 **</v>
      </c>
      <c r="D113" s="76" t="str">
        <f>IF(Master[[#This Row],[Accession Name Category (Identifier 2) -Lookup Picker]]="","",Master[[#This Row],[Accession Name Category (Identifier 2) -Lookup Picker]])</f>
        <v>Collector identifier</v>
      </c>
      <c r="E113" s="76" t="str">
        <f>IF(Master[[#This Row],[Accession Name (Identifier 2)]]="","",Master[[#This Row],[Accession Name (Identifier 2)]])</f>
        <v>WY070-92</v>
      </c>
      <c r="F113" s="45" t="str">
        <f>IF(Master[[#This Row],[Accession Name Cooperator (Identifier 2) -name, organization]]="","",Master[[#This Row],[Accession Name Cooperator (Identifier 2) -name, organization]])</f>
        <v/>
      </c>
      <c r="G113" s="7" t="str">
        <f t="shared" si="3"/>
        <v>Y</v>
      </c>
    </row>
    <row r="114" spans="2:7" x14ac:dyDescent="0.25">
      <c r="B114" s="7" t="str">
        <f>Master[[#This Row],[Accession Prefix (NPGS)]]&amp;" "&amp;Master[[#This Row],[Accession Number -Assigned]]</f>
        <v>W6 59700</v>
      </c>
      <c r="C114" s="7" t="str">
        <f>Master[[#This Row],[Accession Prefix (NPGS)]]&amp;" "&amp;Master[[#This Row],[Accession Number -Assigned]]&amp;" **"</f>
        <v>W6 59700 **</v>
      </c>
      <c r="D114" s="76" t="str">
        <f>IF(Master[[#This Row],[Accession Name Category (Identifier 2) -Lookup Picker]]="","",Master[[#This Row],[Accession Name Category (Identifier 2) -Lookup Picker]])</f>
        <v>Collector identifier</v>
      </c>
      <c r="E114" s="76" t="str">
        <f>IF(Master[[#This Row],[Accession Name (Identifier 2)]]="","",Master[[#This Row],[Accession Name (Identifier 2)]])</f>
        <v>WY070-93</v>
      </c>
      <c r="F114" s="45" t="str">
        <f>IF(Master[[#This Row],[Accession Name Cooperator (Identifier 2) -name, organization]]="","",Master[[#This Row],[Accession Name Cooperator (Identifier 2) -name, organization]])</f>
        <v/>
      </c>
      <c r="G114" s="7" t="str">
        <f t="shared" si="3"/>
        <v>Y</v>
      </c>
    </row>
    <row r="115" spans="2:7" x14ac:dyDescent="0.25">
      <c r="B115" s="7" t="str">
        <f>Master[[#This Row],[Accession Prefix (NPGS)]]&amp;" "&amp;Master[[#This Row],[Accession Number -Assigned]]</f>
        <v>W6 59701</v>
      </c>
      <c r="C115" s="7" t="str">
        <f>Master[[#This Row],[Accession Prefix (NPGS)]]&amp;" "&amp;Master[[#This Row],[Accession Number -Assigned]]&amp;" **"</f>
        <v>W6 59701 **</v>
      </c>
      <c r="D115" s="76" t="str">
        <f>IF(Master[[#This Row],[Accession Name Category (Identifier 2) -Lookup Picker]]="","",Master[[#This Row],[Accession Name Category (Identifier 2) -Lookup Picker]])</f>
        <v>Collector identifier</v>
      </c>
      <c r="E115" s="76" t="str">
        <f>IF(Master[[#This Row],[Accession Name (Identifier 2)]]="","",Master[[#This Row],[Accession Name (Identifier 2)]])</f>
        <v>WY070-94</v>
      </c>
      <c r="F115" s="45" t="str">
        <f>IF(Master[[#This Row],[Accession Name Cooperator (Identifier 2) -name, organization]]="","",Master[[#This Row],[Accession Name Cooperator (Identifier 2) -name, organization]])</f>
        <v/>
      </c>
      <c r="G115" s="7" t="str">
        <f t="shared" si="3"/>
        <v>Y</v>
      </c>
    </row>
    <row r="116" spans="2:7" x14ac:dyDescent="0.25">
      <c r="B116" s="7" t="str">
        <f>Master[[#This Row],[Accession Prefix (NPGS)]]&amp;" "&amp;Master[[#This Row],[Accession Number -Assigned]]</f>
        <v>W6 59702</v>
      </c>
      <c r="C116" s="7" t="str">
        <f>Master[[#This Row],[Accession Prefix (NPGS)]]&amp;" "&amp;Master[[#This Row],[Accession Number -Assigned]]&amp;" **"</f>
        <v>W6 59702 **</v>
      </c>
      <c r="D116" s="76" t="str">
        <f>IF(Master[[#This Row],[Accession Name Category (Identifier 2) -Lookup Picker]]="","",Master[[#This Row],[Accession Name Category (Identifier 2) -Lookup Picker]])</f>
        <v>Collector identifier</v>
      </c>
      <c r="E116" s="76" t="str">
        <f>IF(Master[[#This Row],[Accession Name (Identifier 2)]]="","",Master[[#This Row],[Accession Name (Identifier 2)]])</f>
        <v>WY070-95</v>
      </c>
      <c r="F116" s="45" t="str">
        <f>IF(Master[[#This Row],[Accession Name Cooperator (Identifier 2) -name, organization]]="","",Master[[#This Row],[Accession Name Cooperator (Identifier 2) -name, organization]])</f>
        <v/>
      </c>
      <c r="G116" s="7" t="str">
        <f t="shared" si="3"/>
        <v>Y</v>
      </c>
    </row>
    <row r="117" spans="2:7" x14ac:dyDescent="0.25">
      <c r="B117" s="7" t="str">
        <f>Master[[#This Row],[Accession Prefix (NPGS)]]&amp;" "&amp;Master[[#This Row],[Accession Number -Assigned]]</f>
        <v>W6 59703</v>
      </c>
      <c r="C117" s="7" t="str">
        <f>Master[[#This Row],[Accession Prefix (NPGS)]]&amp;" "&amp;Master[[#This Row],[Accession Number -Assigned]]&amp;" **"</f>
        <v>W6 59703 **</v>
      </c>
      <c r="D117" s="76" t="str">
        <f>IF(Master[[#This Row],[Accession Name Category (Identifier 2) -Lookup Picker]]="","",Master[[#This Row],[Accession Name Category (Identifier 2) -Lookup Picker]])</f>
        <v>Collector identifier</v>
      </c>
      <c r="E117" s="76" t="str">
        <f>IF(Master[[#This Row],[Accession Name (Identifier 2)]]="","",Master[[#This Row],[Accession Name (Identifier 2)]])</f>
        <v>WY070-96</v>
      </c>
      <c r="F117" s="45" t="str">
        <f>IF(Master[[#This Row],[Accession Name Cooperator (Identifier 2) -name, organization]]="","",Master[[#This Row],[Accession Name Cooperator (Identifier 2) -name, organization]])</f>
        <v/>
      </c>
      <c r="G117" s="7" t="str">
        <f t="shared" si="3"/>
        <v>Y</v>
      </c>
    </row>
    <row r="118" spans="2:7" x14ac:dyDescent="0.25">
      <c r="B118" s="7" t="str">
        <f>Master[[#This Row],[Accession Prefix (NPGS)]]&amp;" "&amp;Master[[#This Row],[Accession Number -Assigned]]</f>
        <v>W6 59704</v>
      </c>
      <c r="C118" s="7" t="str">
        <f>Master[[#This Row],[Accession Prefix (NPGS)]]&amp;" "&amp;Master[[#This Row],[Accession Number -Assigned]]&amp;" **"</f>
        <v>W6 59704 **</v>
      </c>
      <c r="D118" s="76" t="str">
        <f>IF(Master[[#This Row],[Accession Name Category (Identifier 2) -Lookup Picker]]="","",Master[[#This Row],[Accession Name Category (Identifier 2) -Lookup Picker]])</f>
        <v>Collector identifier</v>
      </c>
      <c r="E118" s="76" t="str">
        <f>IF(Master[[#This Row],[Accession Name (Identifier 2)]]="","",Master[[#This Row],[Accession Name (Identifier 2)]])</f>
        <v>WY070-97</v>
      </c>
      <c r="F118" s="45" t="str">
        <f>IF(Master[[#This Row],[Accession Name Cooperator (Identifier 2) -name, organization]]="","",Master[[#This Row],[Accession Name Cooperator (Identifier 2) -name, organization]])</f>
        <v/>
      </c>
      <c r="G118" s="7" t="str">
        <f t="shared" ref="G118:G149" si="4">"Y"</f>
        <v>Y</v>
      </c>
    </row>
    <row r="119" spans="2:7" x14ac:dyDescent="0.25">
      <c r="B119" s="7" t="str">
        <f>Master[[#This Row],[Accession Prefix (NPGS)]]&amp;" "&amp;Master[[#This Row],[Accession Number -Assigned]]</f>
        <v>W6 59705</v>
      </c>
      <c r="C119" s="7" t="str">
        <f>Master[[#This Row],[Accession Prefix (NPGS)]]&amp;" "&amp;Master[[#This Row],[Accession Number -Assigned]]&amp;" **"</f>
        <v>W6 59705 **</v>
      </c>
      <c r="D119" s="76" t="str">
        <f>IF(Master[[#This Row],[Accession Name Category (Identifier 2) -Lookup Picker]]="","",Master[[#This Row],[Accession Name Category (Identifier 2) -Lookup Picker]])</f>
        <v>Collector identifier</v>
      </c>
      <c r="E119" s="76" t="str">
        <f>IF(Master[[#This Row],[Accession Name (Identifier 2)]]="","",Master[[#This Row],[Accession Name (Identifier 2)]])</f>
        <v>WY070-98</v>
      </c>
      <c r="F119" s="45" t="str">
        <f>IF(Master[[#This Row],[Accession Name Cooperator (Identifier 2) -name, organization]]="","",Master[[#This Row],[Accession Name Cooperator (Identifier 2) -name, organization]])</f>
        <v/>
      </c>
      <c r="G119" s="7" t="str">
        <f t="shared" si="4"/>
        <v>Y</v>
      </c>
    </row>
    <row r="120" spans="2:7" x14ac:dyDescent="0.25">
      <c r="B120" s="7" t="str">
        <f>Master[[#This Row],[Accession Prefix (NPGS)]]&amp;" "&amp;Master[[#This Row],[Accession Number -Assigned]]</f>
        <v>W6 59706</v>
      </c>
      <c r="C120" s="7" t="str">
        <f>Master[[#This Row],[Accession Prefix (NPGS)]]&amp;" "&amp;Master[[#This Row],[Accession Number -Assigned]]&amp;" **"</f>
        <v>W6 59706 **</v>
      </c>
      <c r="D120" s="76" t="str">
        <f>IF(Master[[#This Row],[Accession Name Category (Identifier 2) -Lookup Picker]]="","",Master[[#This Row],[Accession Name Category (Identifier 2) -Lookup Picker]])</f>
        <v>Collector identifier</v>
      </c>
      <c r="E120" s="76" t="str">
        <f>IF(Master[[#This Row],[Accession Name (Identifier 2)]]="","",Master[[#This Row],[Accession Name (Identifier 2)]])</f>
        <v>WY070-99</v>
      </c>
      <c r="F120" s="45" t="str">
        <f>IF(Master[[#This Row],[Accession Name Cooperator (Identifier 2) -name, organization]]="","",Master[[#This Row],[Accession Name Cooperator (Identifier 2) -name, organization]])</f>
        <v/>
      </c>
      <c r="G120" s="7" t="str">
        <f t="shared" si="4"/>
        <v>Y</v>
      </c>
    </row>
    <row r="121" spans="2:7" x14ac:dyDescent="0.25">
      <c r="B121" s="7" t="str">
        <f>Master[[#This Row],[Accession Prefix (NPGS)]]&amp;" "&amp;Master[[#This Row],[Accession Number -Assigned]]</f>
        <v>W6 59707</v>
      </c>
      <c r="C121" s="7" t="str">
        <f>Master[[#This Row],[Accession Prefix (NPGS)]]&amp;" "&amp;Master[[#This Row],[Accession Number -Assigned]]&amp;" **"</f>
        <v>W6 59707 **</v>
      </c>
      <c r="D121" s="76" t="str">
        <f>IF(Master[[#This Row],[Accession Name Category (Identifier 2) -Lookup Picker]]="","",Master[[#This Row],[Accession Name Category (Identifier 2) -Lookup Picker]])</f>
        <v>Collector identifier</v>
      </c>
      <c r="E121" s="76" t="str">
        <f>IF(Master[[#This Row],[Accession Name (Identifier 2)]]="","",Master[[#This Row],[Accession Name (Identifier 2)]])</f>
        <v>WY070-100</v>
      </c>
      <c r="F121" s="45" t="str">
        <f>IF(Master[[#This Row],[Accession Name Cooperator (Identifier 2) -name, organization]]="","",Master[[#This Row],[Accession Name Cooperator (Identifier 2) -name, organization]])</f>
        <v/>
      </c>
      <c r="G121" s="7" t="str">
        <f t="shared" si="4"/>
        <v>Y</v>
      </c>
    </row>
    <row r="122" spans="2:7" x14ac:dyDescent="0.25">
      <c r="B122" s="7" t="str">
        <f>Master[[#This Row],[Accession Prefix (NPGS)]]&amp;" "&amp;Master[[#This Row],[Accession Number -Assigned]]</f>
        <v>W6 59708</v>
      </c>
      <c r="C122" s="7" t="str">
        <f>Master[[#This Row],[Accession Prefix (NPGS)]]&amp;" "&amp;Master[[#This Row],[Accession Number -Assigned]]&amp;" **"</f>
        <v>W6 59708 **</v>
      </c>
      <c r="D122" s="76" t="str">
        <f>IF(Master[[#This Row],[Accession Name Category (Identifier 2) -Lookup Picker]]="","",Master[[#This Row],[Accession Name Category (Identifier 2) -Lookup Picker]])</f>
        <v>Collector identifier</v>
      </c>
      <c r="E122" s="76" t="str">
        <f>IF(Master[[#This Row],[Accession Name (Identifier 2)]]="","",Master[[#This Row],[Accession Name (Identifier 2)]])</f>
        <v>WY070-101</v>
      </c>
      <c r="F122" s="45" t="str">
        <f>IF(Master[[#This Row],[Accession Name Cooperator (Identifier 2) -name, organization]]="","",Master[[#This Row],[Accession Name Cooperator (Identifier 2) -name, organization]])</f>
        <v/>
      </c>
      <c r="G122" s="7" t="str">
        <f t="shared" si="4"/>
        <v>Y</v>
      </c>
    </row>
    <row r="123" spans="2:7" x14ac:dyDescent="0.25">
      <c r="B123" s="7" t="str">
        <f>Master[[#This Row],[Accession Prefix (NPGS)]]&amp;" "&amp;Master[[#This Row],[Accession Number -Assigned]]</f>
        <v>W6 59709</v>
      </c>
      <c r="C123" s="7" t="str">
        <f>Master[[#This Row],[Accession Prefix (NPGS)]]&amp;" "&amp;Master[[#This Row],[Accession Number -Assigned]]&amp;" **"</f>
        <v>W6 59709 **</v>
      </c>
      <c r="D123" s="76" t="str">
        <f>IF(Master[[#This Row],[Accession Name Category (Identifier 2) -Lookup Picker]]="","",Master[[#This Row],[Accession Name Category (Identifier 2) -Lookup Picker]])</f>
        <v>Collector identifier</v>
      </c>
      <c r="E123" s="76" t="str">
        <f>IF(Master[[#This Row],[Accession Name (Identifier 2)]]="","",Master[[#This Row],[Accession Name (Identifier 2)]])</f>
        <v>WY070-102</v>
      </c>
      <c r="F123" s="45" t="str">
        <f>IF(Master[[#This Row],[Accession Name Cooperator (Identifier 2) -name, organization]]="","",Master[[#This Row],[Accession Name Cooperator (Identifier 2) -name, organization]])</f>
        <v/>
      </c>
      <c r="G123" s="7" t="str">
        <f t="shared" si="4"/>
        <v>Y</v>
      </c>
    </row>
    <row r="124" spans="2:7" x14ac:dyDescent="0.25">
      <c r="B124" s="7" t="str">
        <f>Master[[#This Row],[Accession Prefix (NPGS)]]&amp;" "&amp;Master[[#This Row],[Accession Number -Assigned]]</f>
        <v>W6 59710</v>
      </c>
      <c r="C124" s="7" t="str">
        <f>Master[[#This Row],[Accession Prefix (NPGS)]]&amp;" "&amp;Master[[#This Row],[Accession Number -Assigned]]&amp;" **"</f>
        <v>W6 59710 **</v>
      </c>
      <c r="D124" s="76" t="str">
        <f>IF(Master[[#This Row],[Accession Name Category (Identifier 2) -Lookup Picker]]="","",Master[[#This Row],[Accession Name Category (Identifier 2) -Lookup Picker]])</f>
        <v>Collector identifier</v>
      </c>
      <c r="E124" s="76" t="str">
        <f>IF(Master[[#This Row],[Accession Name (Identifier 2)]]="","",Master[[#This Row],[Accession Name (Identifier 2)]])</f>
        <v>WY070-103</v>
      </c>
      <c r="F124" s="45" t="str">
        <f>IF(Master[[#This Row],[Accession Name Cooperator (Identifier 2) -name, organization]]="","",Master[[#This Row],[Accession Name Cooperator (Identifier 2) -name, organization]])</f>
        <v/>
      </c>
      <c r="G124" s="7" t="str">
        <f t="shared" si="4"/>
        <v>Y</v>
      </c>
    </row>
    <row r="125" spans="2:7" x14ac:dyDescent="0.25">
      <c r="B125" s="7" t="str">
        <f>Master[[#This Row],[Accession Prefix (NPGS)]]&amp;" "&amp;Master[[#This Row],[Accession Number -Assigned]]</f>
        <v>W6 59711</v>
      </c>
      <c r="C125" s="7" t="str">
        <f>Master[[#This Row],[Accession Prefix (NPGS)]]&amp;" "&amp;Master[[#This Row],[Accession Number -Assigned]]&amp;" **"</f>
        <v>W6 59711 **</v>
      </c>
      <c r="D125" s="76" t="str">
        <f>IF(Master[[#This Row],[Accession Name Category (Identifier 2) -Lookup Picker]]="","",Master[[#This Row],[Accession Name Category (Identifier 2) -Lookup Picker]])</f>
        <v>Collector identifier</v>
      </c>
      <c r="E125" s="76" t="str">
        <f>IF(Master[[#This Row],[Accession Name (Identifier 2)]]="","",Master[[#This Row],[Accession Name (Identifier 2)]])</f>
        <v>WY070-104</v>
      </c>
      <c r="F125" s="45" t="str">
        <f>IF(Master[[#This Row],[Accession Name Cooperator (Identifier 2) -name, organization]]="","",Master[[#This Row],[Accession Name Cooperator (Identifier 2) -name, organization]])</f>
        <v/>
      </c>
      <c r="G125" s="7" t="str">
        <f t="shared" si="4"/>
        <v>Y</v>
      </c>
    </row>
    <row r="126" spans="2:7" x14ac:dyDescent="0.25">
      <c r="B126" s="7" t="str">
        <f>Master[[#This Row],[Accession Prefix (NPGS)]]&amp;" "&amp;Master[[#This Row],[Accession Number -Assigned]]</f>
        <v>W6 59712</v>
      </c>
      <c r="C126" s="7" t="str">
        <f>Master[[#This Row],[Accession Prefix (NPGS)]]&amp;" "&amp;Master[[#This Row],[Accession Number -Assigned]]&amp;" **"</f>
        <v>W6 59712 **</v>
      </c>
      <c r="D126" s="76" t="str">
        <f>IF(Master[[#This Row],[Accession Name Category (Identifier 2) -Lookup Picker]]="","",Master[[#This Row],[Accession Name Category (Identifier 2) -Lookup Picker]])</f>
        <v>Collector identifier</v>
      </c>
      <c r="E126" s="76" t="str">
        <f>IF(Master[[#This Row],[Accession Name (Identifier 2)]]="","",Master[[#This Row],[Accession Name (Identifier 2)]])</f>
        <v>WY070-105</v>
      </c>
      <c r="F126" s="45" t="str">
        <f>IF(Master[[#This Row],[Accession Name Cooperator (Identifier 2) -name, organization]]="","",Master[[#This Row],[Accession Name Cooperator (Identifier 2) -name, organization]])</f>
        <v/>
      </c>
      <c r="G126" s="7" t="str">
        <f t="shared" si="4"/>
        <v>Y</v>
      </c>
    </row>
    <row r="127" spans="2:7" x14ac:dyDescent="0.25">
      <c r="B127" s="7" t="str">
        <f>Master[[#This Row],[Accession Prefix (NPGS)]]&amp;" "&amp;Master[[#This Row],[Accession Number -Assigned]]</f>
        <v>W6 59713</v>
      </c>
      <c r="C127" s="7" t="str">
        <f>Master[[#This Row],[Accession Prefix (NPGS)]]&amp;" "&amp;Master[[#This Row],[Accession Number -Assigned]]&amp;" **"</f>
        <v>W6 59713 **</v>
      </c>
      <c r="D127" s="76" t="str">
        <f>IF(Master[[#This Row],[Accession Name Category (Identifier 2) -Lookup Picker]]="","",Master[[#This Row],[Accession Name Category (Identifier 2) -Lookup Picker]])</f>
        <v>Collector identifier</v>
      </c>
      <c r="E127" s="76" t="str">
        <f>IF(Master[[#This Row],[Accession Name (Identifier 2)]]="","",Master[[#This Row],[Accession Name (Identifier 2)]])</f>
        <v>WY090-173</v>
      </c>
      <c r="F127" s="45" t="str">
        <f>IF(Master[[#This Row],[Accession Name Cooperator (Identifier 2) -name, organization]]="","",Master[[#This Row],[Accession Name Cooperator (Identifier 2) -name, organization]])</f>
        <v/>
      </c>
      <c r="G127" s="7" t="str">
        <f t="shared" si="4"/>
        <v>Y</v>
      </c>
    </row>
    <row r="128" spans="2:7" x14ac:dyDescent="0.25">
      <c r="B128" s="7" t="str">
        <f>Master[[#This Row],[Accession Prefix (NPGS)]]&amp;" "&amp;Master[[#This Row],[Accession Number -Assigned]]</f>
        <v>W6 59714</v>
      </c>
      <c r="C128" s="7" t="str">
        <f>Master[[#This Row],[Accession Prefix (NPGS)]]&amp;" "&amp;Master[[#This Row],[Accession Number -Assigned]]&amp;" **"</f>
        <v>W6 59714 **</v>
      </c>
      <c r="D128" s="76" t="str">
        <f>IF(Master[[#This Row],[Accession Name Category (Identifier 2) -Lookup Picker]]="","",Master[[#This Row],[Accession Name Category (Identifier 2) -Lookup Picker]])</f>
        <v>Collector identifier</v>
      </c>
      <c r="E128" s="76" t="str">
        <f>IF(Master[[#This Row],[Accession Name (Identifier 2)]]="","",Master[[#This Row],[Accession Name (Identifier 2)]])</f>
        <v>WY090-175</v>
      </c>
      <c r="F128" s="45" t="str">
        <f>IF(Master[[#This Row],[Accession Name Cooperator (Identifier 2) -name, organization]]="","",Master[[#This Row],[Accession Name Cooperator (Identifier 2) -name, organization]])</f>
        <v/>
      </c>
      <c r="G128" s="7" t="str">
        <f t="shared" si="4"/>
        <v>Y</v>
      </c>
    </row>
    <row r="129" spans="2:7" x14ac:dyDescent="0.25">
      <c r="B129" s="7" t="str">
        <f>Master[[#This Row],[Accession Prefix (NPGS)]]&amp;" "&amp;Master[[#This Row],[Accession Number -Assigned]]</f>
        <v>W6 59715</v>
      </c>
      <c r="C129" s="7" t="str">
        <f>Master[[#This Row],[Accession Prefix (NPGS)]]&amp;" "&amp;Master[[#This Row],[Accession Number -Assigned]]&amp;" **"</f>
        <v>W6 59715 **</v>
      </c>
      <c r="D129" s="76" t="str">
        <f>IF(Master[[#This Row],[Accession Name Category (Identifier 2) -Lookup Picker]]="","",Master[[#This Row],[Accession Name Category (Identifier 2) -Lookup Picker]])</f>
        <v>Collector identifier</v>
      </c>
      <c r="E129" s="76" t="str">
        <f>IF(Master[[#This Row],[Accession Name (Identifier 2)]]="","",Master[[#This Row],[Accession Name (Identifier 2)]])</f>
        <v>WY090-176</v>
      </c>
      <c r="F129" s="45" t="str">
        <f>IF(Master[[#This Row],[Accession Name Cooperator (Identifier 2) -name, organization]]="","",Master[[#This Row],[Accession Name Cooperator (Identifier 2) -name, organization]])</f>
        <v/>
      </c>
      <c r="G129" s="7" t="str">
        <f t="shared" si="4"/>
        <v>Y</v>
      </c>
    </row>
    <row r="130" spans="2:7" x14ac:dyDescent="0.25">
      <c r="B130" s="7" t="str">
        <f>Master[[#This Row],[Accession Prefix (NPGS)]]&amp;" "&amp;Master[[#This Row],[Accession Number -Assigned]]</f>
        <v>W6 59716</v>
      </c>
      <c r="C130" s="7" t="str">
        <f>Master[[#This Row],[Accession Prefix (NPGS)]]&amp;" "&amp;Master[[#This Row],[Accession Number -Assigned]]&amp;" **"</f>
        <v>W6 59716 **</v>
      </c>
      <c r="D130" s="76" t="str">
        <f>IF(Master[[#This Row],[Accession Name Category (Identifier 2) -Lookup Picker]]="","",Master[[#This Row],[Accession Name Category (Identifier 2) -Lookup Picker]])</f>
        <v>Collector identifier</v>
      </c>
      <c r="E130" s="76" t="str">
        <f>IF(Master[[#This Row],[Accession Name (Identifier 2)]]="","",Master[[#This Row],[Accession Name (Identifier 2)]])</f>
        <v>WY090-178</v>
      </c>
      <c r="F130" s="45" t="str">
        <f>IF(Master[[#This Row],[Accession Name Cooperator (Identifier 2) -name, organization]]="","",Master[[#This Row],[Accession Name Cooperator (Identifier 2) -name, organization]])</f>
        <v/>
      </c>
      <c r="G130" s="7" t="str">
        <f t="shared" si="4"/>
        <v>Y</v>
      </c>
    </row>
    <row r="131" spans="2:7" x14ac:dyDescent="0.25">
      <c r="B131" s="7" t="str">
        <f>Master[[#This Row],[Accession Prefix (NPGS)]]&amp;" "&amp;Master[[#This Row],[Accession Number -Assigned]]</f>
        <v>W6 59717</v>
      </c>
      <c r="C131" s="7" t="str">
        <f>Master[[#This Row],[Accession Prefix (NPGS)]]&amp;" "&amp;Master[[#This Row],[Accession Number -Assigned]]&amp;" **"</f>
        <v>W6 59717 **</v>
      </c>
      <c r="D131" s="76" t="str">
        <f>IF(Master[[#This Row],[Accession Name Category (Identifier 2) -Lookup Picker]]="","",Master[[#This Row],[Accession Name Category (Identifier 2) -Lookup Picker]])</f>
        <v>Collector identifier</v>
      </c>
      <c r="E131" s="76" t="str">
        <f>IF(Master[[#This Row],[Accession Name (Identifier 2)]]="","",Master[[#This Row],[Accession Name (Identifier 2)]])</f>
        <v>WY090-179</v>
      </c>
      <c r="F131" s="45" t="str">
        <f>IF(Master[[#This Row],[Accession Name Cooperator (Identifier 2) -name, organization]]="","",Master[[#This Row],[Accession Name Cooperator (Identifier 2) -name, organization]])</f>
        <v/>
      </c>
      <c r="G131" s="7" t="str">
        <f t="shared" si="4"/>
        <v>Y</v>
      </c>
    </row>
    <row r="132" spans="2:7" x14ac:dyDescent="0.25">
      <c r="B132" s="7" t="str">
        <f>Master[[#This Row],[Accession Prefix (NPGS)]]&amp;" "&amp;Master[[#This Row],[Accession Number -Assigned]]</f>
        <v>W6 59718</v>
      </c>
      <c r="C132" s="7" t="str">
        <f>Master[[#This Row],[Accession Prefix (NPGS)]]&amp;" "&amp;Master[[#This Row],[Accession Number -Assigned]]&amp;" **"</f>
        <v>W6 59718 **</v>
      </c>
      <c r="D132" s="76" t="str">
        <f>IF(Master[[#This Row],[Accession Name Category (Identifier 2) -Lookup Picker]]="","",Master[[#This Row],[Accession Name Category (Identifier 2) -Lookup Picker]])</f>
        <v>Collector identifier</v>
      </c>
      <c r="E132" s="76" t="str">
        <f>IF(Master[[#This Row],[Accession Name (Identifier 2)]]="","",Master[[#This Row],[Accession Name (Identifier 2)]])</f>
        <v>WY090-180</v>
      </c>
      <c r="F132" s="45" t="str">
        <f>IF(Master[[#This Row],[Accession Name Cooperator (Identifier 2) -name, organization]]="","",Master[[#This Row],[Accession Name Cooperator (Identifier 2) -name, organization]])</f>
        <v/>
      </c>
      <c r="G132" s="7" t="str">
        <f t="shared" si="4"/>
        <v>Y</v>
      </c>
    </row>
    <row r="133" spans="2:7" x14ac:dyDescent="0.25">
      <c r="B133" s="7" t="str">
        <f>Master[[#This Row],[Accession Prefix (NPGS)]]&amp;" "&amp;Master[[#This Row],[Accession Number -Assigned]]</f>
        <v>W6 59719</v>
      </c>
      <c r="C133" s="7" t="str">
        <f>Master[[#This Row],[Accession Prefix (NPGS)]]&amp;" "&amp;Master[[#This Row],[Accession Number -Assigned]]&amp;" **"</f>
        <v>W6 59719 **</v>
      </c>
      <c r="D133" s="76" t="str">
        <f>IF(Master[[#This Row],[Accession Name Category (Identifier 2) -Lookup Picker]]="","",Master[[#This Row],[Accession Name Category (Identifier 2) -Lookup Picker]])</f>
        <v>Collector identifier</v>
      </c>
      <c r="E133" s="76" t="str">
        <f>IF(Master[[#This Row],[Accession Name (Identifier 2)]]="","",Master[[#This Row],[Accession Name (Identifier 2)]])</f>
        <v>WY090-183</v>
      </c>
      <c r="F133" s="45" t="str">
        <f>IF(Master[[#This Row],[Accession Name Cooperator (Identifier 2) -name, organization]]="","",Master[[#This Row],[Accession Name Cooperator (Identifier 2) -name, organization]])</f>
        <v/>
      </c>
      <c r="G133" s="7" t="str">
        <f t="shared" si="4"/>
        <v>Y</v>
      </c>
    </row>
    <row r="134" spans="2:7" x14ac:dyDescent="0.25">
      <c r="B134" s="7" t="str">
        <f>Master[[#This Row],[Accession Prefix (NPGS)]]&amp;" "&amp;Master[[#This Row],[Accession Number -Assigned]]</f>
        <v>W6 59720</v>
      </c>
      <c r="C134" s="7" t="str">
        <f>Master[[#This Row],[Accession Prefix (NPGS)]]&amp;" "&amp;Master[[#This Row],[Accession Number -Assigned]]&amp;" **"</f>
        <v>W6 59720 **</v>
      </c>
      <c r="D134" s="76" t="str">
        <f>IF(Master[[#This Row],[Accession Name Category (Identifier 2) -Lookup Picker]]="","",Master[[#This Row],[Accession Name Category (Identifier 2) -Lookup Picker]])</f>
        <v>Collector identifier</v>
      </c>
      <c r="E134" s="76" t="str">
        <f>IF(Master[[#This Row],[Accession Name (Identifier 2)]]="","",Master[[#This Row],[Accession Name (Identifier 2)]])</f>
        <v>WY090-184</v>
      </c>
      <c r="F134" s="45" t="str">
        <f>IF(Master[[#This Row],[Accession Name Cooperator (Identifier 2) -name, organization]]="","",Master[[#This Row],[Accession Name Cooperator (Identifier 2) -name, organization]])</f>
        <v/>
      </c>
      <c r="G134" s="7" t="str">
        <f t="shared" si="4"/>
        <v>Y</v>
      </c>
    </row>
    <row r="135" spans="2:7" x14ac:dyDescent="0.25">
      <c r="B135" s="7" t="str">
        <f>Master[[#This Row],[Accession Prefix (NPGS)]]&amp;" "&amp;Master[[#This Row],[Accession Number -Assigned]]</f>
        <v>W6 59721</v>
      </c>
      <c r="C135" s="7" t="str">
        <f>Master[[#This Row],[Accession Prefix (NPGS)]]&amp;" "&amp;Master[[#This Row],[Accession Number -Assigned]]&amp;" **"</f>
        <v>W6 59721 **</v>
      </c>
      <c r="D135" s="76" t="str">
        <f>IF(Master[[#This Row],[Accession Name Category (Identifier 2) -Lookup Picker]]="","",Master[[#This Row],[Accession Name Category (Identifier 2) -Lookup Picker]])</f>
        <v>Collector identifier</v>
      </c>
      <c r="E135" s="76" t="str">
        <f>IF(Master[[#This Row],[Accession Name (Identifier 2)]]="","",Master[[#This Row],[Accession Name (Identifier 2)]])</f>
        <v>WY090-185</v>
      </c>
      <c r="F135" s="45" t="str">
        <f>IF(Master[[#This Row],[Accession Name Cooperator (Identifier 2) -name, organization]]="","",Master[[#This Row],[Accession Name Cooperator (Identifier 2) -name, organization]])</f>
        <v/>
      </c>
      <c r="G135" s="7" t="str">
        <f t="shared" si="4"/>
        <v>Y</v>
      </c>
    </row>
    <row r="136" spans="2:7" x14ac:dyDescent="0.25">
      <c r="B136" s="7" t="str">
        <f>Master[[#This Row],[Accession Prefix (NPGS)]]&amp;" "&amp;Master[[#This Row],[Accession Number -Assigned]]</f>
        <v>W6 59722</v>
      </c>
      <c r="C136" s="7" t="str">
        <f>Master[[#This Row],[Accession Prefix (NPGS)]]&amp;" "&amp;Master[[#This Row],[Accession Number -Assigned]]&amp;" **"</f>
        <v>W6 59722 **</v>
      </c>
      <c r="D136" s="76" t="str">
        <f>IF(Master[[#This Row],[Accession Name Category (Identifier 2) -Lookup Picker]]="","",Master[[#This Row],[Accession Name Category (Identifier 2) -Lookup Picker]])</f>
        <v>Collector identifier</v>
      </c>
      <c r="E136" s="76" t="str">
        <f>IF(Master[[#This Row],[Accession Name (Identifier 2)]]="","",Master[[#This Row],[Accession Name (Identifier 2)]])</f>
        <v>WY090-186</v>
      </c>
      <c r="F136" s="45" t="str">
        <f>IF(Master[[#This Row],[Accession Name Cooperator (Identifier 2) -name, organization]]="","",Master[[#This Row],[Accession Name Cooperator (Identifier 2) -name, organization]])</f>
        <v/>
      </c>
      <c r="G136" s="7" t="str">
        <f t="shared" si="4"/>
        <v>Y</v>
      </c>
    </row>
    <row r="137" spans="2:7" x14ac:dyDescent="0.25">
      <c r="B137" s="7" t="str">
        <f>Master[[#This Row],[Accession Prefix (NPGS)]]&amp;" "&amp;Master[[#This Row],[Accession Number -Assigned]]</f>
        <v>W6 59723</v>
      </c>
      <c r="C137" s="7" t="str">
        <f>Master[[#This Row],[Accession Prefix (NPGS)]]&amp;" "&amp;Master[[#This Row],[Accession Number -Assigned]]&amp;" **"</f>
        <v>W6 59723 **</v>
      </c>
      <c r="D137" s="76" t="str">
        <f>IF(Master[[#This Row],[Accession Name Category (Identifier 2) -Lookup Picker]]="","",Master[[#This Row],[Accession Name Category (Identifier 2) -Lookup Picker]])</f>
        <v>Collector identifier</v>
      </c>
      <c r="E137" s="76" t="str">
        <f>IF(Master[[#This Row],[Accession Name (Identifier 2)]]="","",Master[[#This Row],[Accession Name (Identifier 2)]])</f>
        <v>WY090-187</v>
      </c>
      <c r="F137" s="45" t="str">
        <f>IF(Master[[#This Row],[Accession Name Cooperator (Identifier 2) -name, organization]]="","",Master[[#This Row],[Accession Name Cooperator (Identifier 2) -name, organization]])</f>
        <v/>
      </c>
      <c r="G137" s="7" t="str">
        <f t="shared" si="4"/>
        <v>Y</v>
      </c>
    </row>
    <row r="138" spans="2:7" x14ac:dyDescent="0.25">
      <c r="B138" s="7" t="str">
        <f>Master[[#This Row],[Accession Prefix (NPGS)]]&amp;" "&amp;Master[[#This Row],[Accession Number -Assigned]]</f>
        <v>W6 59724</v>
      </c>
      <c r="C138" s="7" t="str">
        <f>Master[[#This Row],[Accession Prefix (NPGS)]]&amp;" "&amp;Master[[#This Row],[Accession Number -Assigned]]&amp;" **"</f>
        <v>W6 59724 **</v>
      </c>
      <c r="D138" s="76" t="str">
        <f>IF(Master[[#This Row],[Accession Name Category (Identifier 2) -Lookup Picker]]="","",Master[[#This Row],[Accession Name Category (Identifier 2) -Lookup Picker]])</f>
        <v>Collector identifier</v>
      </c>
      <c r="E138" s="76" t="str">
        <f>IF(Master[[#This Row],[Accession Name (Identifier 2)]]="","",Master[[#This Row],[Accession Name (Identifier 2)]])</f>
        <v>WY090-188</v>
      </c>
      <c r="F138" s="45" t="str">
        <f>IF(Master[[#This Row],[Accession Name Cooperator (Identifier 2) -name, organization]]="","",Master[[#This Row],[Accession Name Cooperator (Identifier 2) -name, organization]])</f>
        <v/>
      </c>
      <c r="G138" s="7" t="str">
        <f t="shared" si="4"/>
        <v>Y</v>
      </c>
    </row>
    <row r="139" spans="2:7" x14ac:dyDescent="0.25">
      <c r="B139" s="7" t="str">
        <f>Master[[#This Row],[Accession Prefix (NPGS)]]&amp;" "&amp;Master[[#This Row],[Accession Number -Assigned]]</f>
        <v>W6 59725</v>
      </c>
      <c r="C139" s="7" t="str">
        <f>Master[[#This Row],[Accession Prefix (NPGS)]]&amp;" "&amp;Master[[#This Row],[Accession Number -Assigned]]&amp;" **"</f>
        <v>W6 59725 **</v>
      </c>
      <c r="D139" s="76" t="str">
        <f>IF(Master[[#This Row],[Accession Name Category (Identifier 2) -Lookup Picker]]="","",Master[[#This Row],[Accession Name Category (Identifier 2) -Lookup Picker]])</f>
        <v>Collector identifier</v>
      </c>
      <c r="E139" s="76" t="str">
        <f>IF(Master[[#This Row],[Accession Name (Identifier 2)]]="","",Master[[#This Row],[Accession Name (Identifier 2)]])</f>
        <v>WY090-189</v>
      </c>
      <c r="F139" s="45" t="str">
        <f>IF(Master[[#This Row],[Accession Name Cooperator (Identifier 2) -name, organization]]="","",Master[[#This Row],[Accession Name Cooperator (Identifier 2) -name, organization]])</f>
        <v/>
      </c>
      <c r="G139" s="7" t="str">
        <f t="shared" si="4"/>
        <v>Y</v>
      </c>
    </row>
    <row r="140" spans="2:7" x14ac:dyDescent="0.25">
      <c r="B140" s="7" t="str">
        <f>Master[[#This Row],[Accession Prefix (NPGS)]]&amp;" "&amp;Master[[#This Row],[Accession Number -Assigned]]</f>
        <v>W6 59726</v>
      </c>
      <c r="C140" s="7" t="str">
        <f>Master[[#This Row],[Accession Prefix (NPGS)]]&amp;" "&amp;Master[[#This Row],[Accession Number -Assigned]]&amp;" **"</f>
        <v>W6 59726 **</v>
      </c>
      <c r="D140" s="76" t="str">
        <f>IF(Master[[#This Row],[Accession Name Category (Identifier 2) -Lookup Picker]]="","",Master[[#This Row],[Accession Name Category (Identifier 2) -Lookup Picker]])</f>
        <v>Collector identifier</v>
      </c>
      <c r="E140" s="76" t="str">
        <f>IF(Master[[#This Row],[Accession Name (Identifier 2)]]="","",Master[[#This Row],[Accession Name (Identifier 2)]])</f>
        <v>WY090-190</v>
      </c>
      <c r="F140" s="45" t="str">
        <f>IF(Master[[#This Row],[Accession Name Cooperator (Identifier 2) -name, organization]]="","",Master[[#This Row],[Accession Name Cooperator (Identifier 2) -name, organization]])</f>
        <v/>
      </c>
      <c r="G140" s="7" t="str">
        <f t="shared" si="4"/>
        <v>Y</v>
      </c>
    </row>
    <row r="141" spans="2:7" x14ac:dyDescent="0.25">
      <c r="B141" s="7" t="str">
        <f>Master[[#This Row],[Accession Prefix (NPGS)]]&amp;" "&amp;Master[[#This Row],[Accession Number -Assigned]]</f>
        <v>W6 59727</v>
      </c>
      <c r="C141" s="7" t="str">
        <f>Master[[#This Row],[Accession Prefix (NPGS)]]&amp;" "&amp;Master[[#This Row],[Accession Number -Assigned]]&amp;" **"</f>
        <v>W6 59727 **</v>
      </c>
      <c r="D141" s="76" t="str">
        <f>IF(Master[[#This Row],[Accession Name Category (Identifier 2) -Lookup Picker]]="","",Master[[#This Row],[Accession Name Category (Identifier 2) -Lookup Picker]])</f>
        <v>Collector identifier</v>
      </c>
      <c r="E141" s="76" t="str">
        <f>IF(Master[[#This Row],[Accession Name (Identifier 2)]]="","",Master[[#This Row],[Accession Name (Identifier 2)]])</f>
        <v>WY090-191</v>
      </c>
      <c r="F141" s="45" t="str">
        <f>IF(Master[[#This Row],[Accession Name Cooperator (Identifier 2) -name, organization]]="","",Master[[#This Row],[Accession Name Cooperator (Identifier 2) -name, organization]])</f>
        <v/>
      </c>
      <c r="G141" s="7" t="str">
        <f t="shared" si="4"/>
        <v>Y</v>
      </c>
    </row>
    <row r="142" spans="2:7" x14ac:dyDescent="0.25">
      <c r="B142" s="7" t="str">
        <f>Master[[#This Row],[Accession Prefix (NPGS)]]&amp;" "&amp;Master[[#This Row],[Accession Number -Assigned]]</f>
        <v>W6 59728</v>
      </c>
      <c r="C142" s="7" t="str">
        <f>Master[[#This Row],[Accession Prefix (NPGS)]]&amp;" "&amp;Master[[#This Row],[Accession Number -Assigned]]&amp;" **"</f>
        <v>W6 59728 **</v>
      </c>
      <c r="D142" s="76" t="str">
        <f>IF(Master[[#This Row],[Accession Name Category (Identifier 2) -Lookup Picker]]="","",Master[[#This Row],[Accession Name Category (Identifier 2) -Lookup Picker]])</f>
        <v>Collector identifier</v>
      </c>
      <c r="E142" s="76" t="str">
        <f>IF(Master[[#This Row],[Accession Name (Identifier 2)]]="","",Master[[#This Row],[Accession Name (Identifier 2)]])</f>
        <v>WY090-192</v>
      </c>
      <c r="F142" s="45" t="str">
        <f>IF(Master[[#This Row],[Accession Name Cooperator (Identifier 2) -name, organization]]="","",Master[[#This Row],[Accession Name Cooperator (Identifier 2) -name, organization]])</f>
        <v/>
      </c>
      <c r="G142" s="7" t="str">
        <f t="shared" si="4"/>
        <v>Y</v>
      </c>
    </row>
    <row r="143" spans="2:7" x14ac:dyDescent="0.25">
      <c r="B143" s="7" t="str">
        <f>Master[[#This Row],[Accession Prefix (NPGS)]]&amp;" "&amp;Master[[#This Row],[Accession Number -Assigned]]</f>
        <v>W6 59729</v>
      </c>
      <c r="C143" s="7" t="str">
        <f>Master[[#This Row],[Accession Prefix (NPGS)]]&amp;" "&amp;Master[[#This Row],[Accession Number -Assigned]]&amp;" **"</f>
        <v>W6 59729 **</v>
      </c>
      <c r="D143" s="76" t="str">
        <f>IF(Master[[#This Row],[Accession Name Category (Identifier 2) -Lookup Picker]]="","",Master[[#This Row],[Accession Name Category (Identifier 2) -Lookup Picker]])</f>
        <v>Collector identifier</v>
      </c>
      <c r="E143" s="76" t="str">
        <f>IF(Master[[#This Row],[Accession Name (Identifier 2)]]="","",Master[[#This Row],[Accession Name (Identifier 2)]])</f>
        <v>WY090-193</v>
      </c>
      <c r="F143" s="45" t="str">
        <f>IF(Master[[#This Row],[Accession Name Cooperator (Identifier 2) -name, organization]]="","",Master[[#This Row],[Accession Name Cooperator (Identifier 2) -name, organization]])</f>
        <v/>
      </c>
      <c r="G143" s="7" t="str">
        <f t="shared" si="4"/>
        <v>Y</v>
      </c>
    </row>
    <row r="144" spans="2:7" x14ac:dyDescent="0.25">
      <c r="B144" s="7" t="str">
        <f>Master[[#This Row],[Accession Prefix (NPGS)]]&amp;" "&amp;Master[[#This Row],[Accession Number -Assigned]]</f>
        <v>W6 59730</v>
      </c>
      <c r="C144" s="7" t="str">
        <f>Master[[#This Row],[Accession Prefix (NPGS)]]&amp;" "&amp;Master[[#This Row],[Accession Number -Assigned]]&amp;" **"</f>
        <v>W6 59730 **</v>
      </c>
      <c r="D144" s="76" t="str">
        <f>IF(Master[[#This Row],[Accession Name Category (Identifier 2) -Lookup Picker]]="","",Master[[#This Row],[Accession Name Category (Identifier 2) -Lookup Picker]])</f>
        <v>Collector identifier</v>
      </c>
      <c r="E144" s="76" t="str">
        <f>IF(Master[[#This Row],[Accession Name (Identifier 2)]]="","",Master[[#This Row],[Accession Name (Identifier 2)]])</f>
        <v>WY090-194</v>
      </c>
      <c r="F144" s="45" t="str">
        <f>IF(Master[[#This Row],[Accession Name Cooperator (Identifier 2) -name, organization]]="","",Master[[#This Row],[Accession Name Cooperator (Identifier 2) -name, organization]])</f>
        <v/>
      </c>
      <c r="G144" s="7" t="str">
        <f t="shared" si="4"/>
        <v>Y</v>
      </c>
    </row>
    <row r="145" spans="2:7" x14ac:dyDescent="0.25">
      <c r="B145" s="7" t="str">
        <f>Master[[#This Row],[Accession Prefix (NPGS)]]&amp;" "&amp;Master[[#This Row],[Accession Number -Assigned]]</f>
        <v>W6 59731</v>
      </c>
      <c r="C145" s="7" t="str">
        <f>Master[[#This Row],[Accession Prefix (NPGS)]]&amp;" "&amp;Master[[#This Row],[Accession Number -Assigned]]&amp;" **"</f>
        <v>W6 59731 **</v>
      </c>
      <c r="D145" s="76" t="str">
        <f>IF(Master[[#This Row],[Accession Name Category (Identifier 2) -Lookup Picker]]="","",Master[[#This Row],[Accession Name Category (Identifier 2) -Lookup Picker]])</f>
        <v>Collector identifier</v>
      </c>
      <c r="E145" s="76" t="str">
        <f>IF(Master[[#This Row],[Accession Name (Identifier 2)]]="","",Master[[#This Row],[Accession Name (Identifier 2)]])</f>
        <v>WY090-196</v>
      </c>
      <c r="F145" s="45" t="str">
        <f>IF(Master[[#This Row],[Accession Name Cooperator (Identifier 2) -name, organization]]="","",Master[[#This Row],[Accession Name Cooperator (Identifier 2) -name, organization]])</f>
        <v/>
      </c>
      <c r="G145" s="7" t="str">
        <f t="shared" si="4"/>
        <v>Y</v>
      </c>
    </row>
    <row r="146" spans="2:7" x14ac:dyDescent="0.25">
      <c r="B146" s="7" t="str">
        <f>Master[[#This Row],[Accession Prefix (NPGS)]]&amp;" "&amp;Master[[#This Row],[Accession Number -Assigned]]</f>
        <v>W6 59732</v>
      </c>
      <c r="C146" s="7" t="str">
        <f>Master[[#This Row],[Accession Prefix (NPGS)]]&amp;" "&amp;Master[[#This Row],[Accession Number -Assigned]]&amp;" **"</f>
        <v>W6 59732 **</v>
      </c>
      <c r="D146" s="76" t="str">
        <f>IF(Master[[#This Row],[Accession Name Category (Identifier 2) -Lookup Picker]]="","",Master[[#This Row],[Accession Name Category (Identifier 2) -Lookup Picker]])</f>
        <v>Collector identifier</v>
      </c>
      <c r="E146" s="76" t="str">
        <f>IF(Master[[#This Row],[Accession Name (Identifier 2)]]="","",Master[[#This Row],[Accession Name (Identifier 2)]])</f>
        <v>WY090-197</v>
      </c>
      <c r="F146" s="45" t="str">
        <f>IF(Master[[#This Row],[Accession Name Cooperator (Identifier 2) -name, organization]]="","",Master[[#This Row],[Accession Name Cooperator (Identifier 2) -name, organization]])</f>
        <v/>
      </c>
      <c r="G146" s="7" t="str">
        <f t="shared" si="4"/>
        <v>Y</v>
      </c>
    </row>
    <row r="147" spans="2:7" x14ac:dyDescent="0.25">
      <c r="B147" s="7" t="str">
        <f>Master[[#This Row],[Accession Prefix (NPGS)]]&amp;" "&amp;Master[[#This Row],[Accession Number -Assigned]]</f>
        <v>W6 59733</v>
      </c>
      <c r="C147" s="7" t="str">
        <f>Master[[#This Row],[Accession Prefix (NPGS)]]&amp;" "&amp;Master[[#This Row],[Accession Number -Assigned]]&amp;" **"</f>
        <v>W6 59733 **</v>
      </c>
      <c r="D147" s="76" t="str">
        <f>IF(Master[[#This Row],[Accession Name Category (Identifier 2) -Lookup Picker]]="","",Master[[#This Row],[Accession Name Category (Identifier 2) -Lookup Picker]])</f>
        <v>Collector identifier</v>
      </c>
      <c r="E147" s="76" t="str">
        <f>IF(Master[[#This Row],[Accession Name (Identifier 2)]]="","",Master[[#This Row],[Accession Name (Identifier 2)]])</f>
        <v>WY090-198</v>
      </c>
      <c r="F147" s="45" t="str">
        <f>IF(Master[[#This Row],[Accession Name Cooperator (Identifier 2) -name, organization]]="","",Master[[#This Row],[Accession Name Cooperator (Identifier 2) -name, organization]])</f>
        <v/>
      </c>
      <c r="G147" s="7" t="str">
        <f t="shared" si="4"/>
        <v>Y</v>
      </c>
    </row>
    <row r="148" spans="2:7" x14ac:dyDescent="0.25">
      <c r="B148" s="7" t="str">
        <f>Master[[#This Row],[Accession Prefix (NPGS)]]&amp;" "&amp;Master[[#This Row],[Accession Number -Assigned]]</f>
        <v>W6 59734</v>
      </c>
      <c r="C148" s="7" t="str">
        <f>Master[[#This Row],[Accession Prefix (NPGS)]]&amp;" "&amp;Master[[#This Row],[Accession Number -Assigned]]&amp;" **"</f>
        <v>W6 59734 **</v>
      </c>
      <c r="D148" s="76" t="str">
        <f>IF(Master[[#This Row],[Accession Name Category (Identifier 2) -Lookup Picker]]="","",Master[[#This Row],[Accession Name Category (Identifier 2) -Lookup Picker]])</f>
        <v>Collector identifier</v>
      </c>
      <c r="E148" s="76" t="str">
        <f>IF(Master[[#This Row],[Accession Name (Identifier 2)]]="","",Master[[#This Row],[Accession Name (Identifier 2)]])</f>
        <v>WY090-199</v>
      </c>
      <c r="F148" s="45" t="str">
        <f>IF(Master[[#This Row],[Accession Name Cooperator (Identifier 2) -name, organization]]="","",Master[[#This Row],[Accession Name Cooperator (Identifier 2) -name, organization]])</f>
        <v/>
      </c>
      <c r="G148" s="7" t="str">
        <f t="shared" si="4"/>
        <v>Y</v>
      </c>
    </row>
    <row r="149" spans="2:7" x14ac:dyDescent="0.25">
      <c r="B149" s="7" t="str">
        <f>Master[[#This Row],[Accession Prefix (NPGS)]]&amp;" "&amp;Master[[#This Row],[Accession Number -Assigned]]</f>
        <v>W6 59735</v>
      </c>
      <c r="C149" s="7" t="str">
        <f>Master[[#This Row],[Accession Prefix (NPGS)]]&amp;" "&amp;Master[[#This Row],[Accession Number -Assigned]]&amp;" **"</f>
        <v>W6 59735 **</v>
      </c>
      <c r="D149" s="76" t="str">
        <f>IF(Master[[#This Row],[Accession Name Category (Identifier 2) -Lookup Picker]]="","",Master[[#This Row],[Accession Name Category (Identifier 2) -Lookup Picker]])</f>
        <v>Collector identifier</v>
      </c>
      <c r="E149" s="76" t="str">
        <f>IF(Master[[#This Row],[Accession Name (Identifier 2)]]="","",Master[[#This Row],[Accession Name (Identifier 2)]])</f>
        <v>WY090-200</v>
      </c>
      <c r="F149" s="45" t="str">
        <f>IF(Master[[#This Row],[Accession Name Cooperator (Identifier 2) -name, organization]]="","",Master[[#This Row],[Accession Name Cooperator (Identifier 2) -name, organization]])</f>
        <v/>
      </c>
      <c r="G149" s="7" t="str">
        <f t="shared" si="4"/>
        <v>Y</v>
      </c>
    </row>
    <row r="150" spans="2:7" x14ac:dyDescent="0.25">
      <c r="B150" s="7" t="str">
        <f>Master[[#This Row],[Accession Prefix (NPGS)]]&amp;" "&amp;Master[[#This Row],[Accession Number -Assigned]]</f>
        <v>W6 59736</v>
      </c>
      <c r="C150" s="7" t="str">
        <f>Master[[#This Row],[Accession Prefix (NPGS)]]&amp;" "&amp;Master[[#This Row],[Accession Number -Assigned]]&amp;" **"</f>
        <v>W6 59736 **</v>
      </c>
      <c r="D150" s="76" t="str">
        <f>IF(Master[[#This Row],[Accession Name Category (Identifier 2) -Lookup Picker]]="","",Master[[#This Row],[Accession Name Category (Identifier 2) -Lookup Picker]])</f>
        <v>Collector identifier</v>
      </c>
      <c r="E150" s="76" t="str">
        <f>IF(Master[[#This Row],[Accession Name (Identifier 2)]]="","",Master[[#This Row],[Accession Name (Identifier 2)]])</f>
        <v>WY090-201</v>
      </c>
      <c r="F150" s="45" t="str">
        <f>IF(Master[[#This Row],[Accession Name Cooperator (Identifier 2) -name, organization]]="","",Master[[#This Row],[Accession Name Cooperator (Identifier 2) -name, organization]])</f>
        <v/>
      </c>
      <c r="G150" s="7" t="str">
        <f t="shared" ref="G150:G181" si="5">"Y"</f>
        <v>Y</v>
      </c>
    </row>
    <row r="151" spans="2:7" x14ac:dyDescent="0.25">
      <c r="B151" s="7" t="str">
        <f>Master[[#This Row],[Accession Prefix (NPGS)]]&amp;" "&amp;Master[[#This Row],[Accession Number -Assigned]]</f>
        <v>W6 59737</v>
      </c>
      <c r="C151" s="7" t="str">
        <f>Master[[#This Row],[Accession Prefix (NPGS)]]&amp;" "&amp;Master[[#This Row],[Accession Number -Assigned]]&amp;" **"</f>
        <v>W6 59737 **</v>
      </c>
      <c r="D151" s="76" t="str">
        <f>IF(Master[[#This Row],[Accession Name Category (Identifier 2) -Lookup Picker]]="","",Master[[#This Row],[Accession Name Category (Identifier 2) -Lookup Picker]])</f>
        <v>Collector identifier</v>
      </c>
      <c r="E151" s="76" t="str">
        <f>IF(Master[[#This Row],[Accession Name (Identifier 2)]]="","",Master[[#This Row],[Accession Name (Identifier 2)]])</f>
        <v>WY090-202</v>
      </c>
      <c r="F151" s="45" t="str">
        <f>IF(Master[[#This Row],[Accession Name Cooperator (Identifier 2) -name, organization]]="","",Master[[#This Row],[Accession Name Cooperator (Identifier 2) -name, organization]])</f>
        <v/>
      </c>
      <c r="G151" s="7" t="str">
        <f t="shared" si="5"/>
        <v>Y</v>
      </c>
    </row>
    <row r="152" spans="2:7" x14ac:dyDescent="0.25">
      <c r="B152" s="7" t="str">
        <f>Master[[#This Row],[Accession Prefix (NPGS)]]&amp;" "&amp;Master[[#This Row],[Accession Number -Assigned]]</f>
        <v xml:space="preserve"> </v>
      </c>
      <c r="C152" s="7" t="str">
        <f>Master[[#This Row],[Accession Prefix (NPGS)]]&amp;" "&amp;Master[[#This Row],[Accession Number -Assigned]]&amp;" **"</f>
        <v xml:space="preserve">  **</v>
      </c>
      <c r="D152" s="76" t="str">
        <f>IF(Master[[#This Row],[Accession Name Category (Identifier 2) -Lookup Picker]]="","",Master[[#This Row],[Accession Name Category (Identifier 2) -Lookup Picker]])</f>
        <v/>
      </c>
      <c r="E152" s="76" t="str">
        <f>IF(Master[[#This Row],[Accession Name (Identifier 2)]]="","",Master[[#This Row],[Accession Name (Identifier 2)]])</f>
        <v/>
      </c>
      <c r="F152" s="45" t="str">
        <f>IF(Master[[#This Row],[Accession Name Cooperator (Identifier 2) -name, organization]]="","",Master[[#This Row],[Accession Name Cooperator (Identifier 2) -name, organization]])</f>
        <v/>
      </c>
      <c r="G152" s="7" t="str">
        <f t="shared" si="5"/>
        <v>Y</v>
      </c>
    </row>
    <row r="153" spans="2:7" x14ac:dyDescent="0.25">
      <c r="B153" s="7" t="str">
        <f>Master[[#This Row],[Accession Prefix (NPGS)]]&amp;" "&amp;Master[[#This Row],[Accession Number -Assigned]]</f>
        <v xml:space="preserve"> </v>
      </c>
      <c r="C153" s="7" t="str">
        <f>Master[[#This Row],[Accession Prefix (NPGS)]]&amp;" "&amp;Master[[#This Row],[Accession Number -Assigned]]&amp;" **"</f>
        <v xml:space="preserve">  **</v>
      </c>
      <c r="D153" s="76" t="str">
        <f>IF(Master[[#This Row],[Accession Name Category (Identifier 2) -Lookup Picker]]="","",Master[[#This Row],[Accession Name Category (Identifier 2) -Lookup Picker]])</f>
        <v/>
      </c>
      <c r="E153" s="76" t="str">
        <f>IF(Master[[#This Row],[Accession Name (Identifier 2)]]="","",Master[[#This Row],[Accession Name (Identifier 2)]])</f>
        <v/>
      </c>
      <c r="F153" s="45" t="str">
        <f>IF(Master[[#This Row],[Accession Name Cooperator (Identifier 2) -name, organization]]="","",Master[[#This Row],[Accession Name Cooperator (Identifier 2) -name, organization]])</f>
        <v/>
      </c>
      <c r="G153" s="7" t="str">
        <f t="shared" si="5"/>
        <v>Y</v>
      </c>
    </row>
    <row r="154" spans="2:7" x14ac:dyDescent="0.25">
      <c r="B154" s="7" t="str">
        <f>Master[[#This Row],[Accession Prefix (NPGS)]]&amp;" "&amp;Master[[#This Row],[Accession Number -Assigned]]</f>
        <v xml:space="preserve"> </v>
      </c>
      <c r="C154" s="7" t="str">
        <f>Master[[#This Row],[Accession Prefix (NPGS)]]&amp;" "&amp;Master[[#This Row],[Accession Number -Assigned]]&amp;" **"</f>
        <v xml:space="preserve">  **</v>
      </c>
      <c r="D154" s="76" t="str">
        <f>IF(Master[[#This Row],[Accession Name Category (Identifier 2) -Lookup Picker]]="","",Master[[#This Row],[Accession Name Category (Identifier 2) -Lookup Picker]])</f>
        <v/>
      </c>
      <c r="E154" s="76" t="str">
        <f>IF(Master[[#This Row],[Accession Name (Identifier 2)]]="","",Master[[#This Row],[Accession Name (Identifier 2)]])</f>
        <v/>
      </c>
      <c r="F154" s="45" t="str">
        <f>IF(Master[[#This Row],[Accession Name Cooperator (Identifier 2) -name, organization]]="","",Master[[#This Row],[Accession Name Cooperator (Identifier 2) -name, organization]])</f>
        <v/>
      </c>
      <c r="G154" s="7" t="str">
        <f t="shared" si="5"/>
        <v>Y</v>
      </c>
    </row>
    <row r="155" spans="2:7" x14ac:dyDescent="0.25">
      <c r="B155" s="7" t="str">
        <f>Master[[#This Row],[Accession Prefix (NPGS)]]&amp;" "&amp;Master[[#This Row],[Accession Number -Assigned]]</f>
        <v xml:space="preserve"> </v>
      </c>
      <c r="C155" s="7" t="str">
        <f>Master[[#This Row],[Accession Prefix (NPGS)]]&amp;" "&amp;Master[[#This Row],[Accession Number -Assigned]]&amp;" **"</f>
        <v xml:space="preserve">  **</v>
      </c>
      <c r="D155" s="76" t="str">
        <f>IF(Master[[#This Row],[Accession Name Category (Identifier 2) -Lookup Picker]]="","",Master[[#This Row],[Accession Name Category (Identifier 2) -Lookup Picker]])</f>
        <v/>
      </c>
      <c r="E155" s="76" t="str">
        <f>IF(Master[[#This Row],[Accession Name (Identifier 2)]]="","",Master[[#This Row],[Accession Name (Identifier 2)]])</f>
        <v/>
      </c>
      <c r="F155" s="45" t="str">
        <f>IF(Master[[#This Row],[Accession Name Cooperator (Identifier 2) -name, organization]]="","",Master[[#This Row],[Accession Name Cooperator (Identifier 2) -name, organization]])</f>
        <v/>
      </c>
      <c r="G155" s="7" t="str">
        <f t="shared" si="5"/>
        <v>Y</v>
      </c>
    </row>
    <row r="156" spans="2:7" x14ac:dyDescent="0.25">
      <c r="B156" s="7" t="str">
        <f>Master[[#This Row],[Accession Prefix (NPGS)]]&amp;" "&amp;Master[[#This Row],[Accession Number -Assigned]]</f>
        <v xml:space="preserve"> </v>
      </c>
      <c r="C156" s="7" t="str">
        <f>Master[[#This Row],[Accession Prefix (NPGS)]]&amp;" "&amp;Master[[#This Row],[Accession Number -Assigned]]&amp;" **"</f>
        <v xml:space="preserve">  **</v>
      </c>
      <c r="D156" s="76" t="str">
        <f>IF(Master[[#This Row],[Accession Name Category (Identifier 2) -Lookup Picker]]="","",Master[[#This Row],[Accession Name Category (Identifier 2) -Lookup Picker]])</f>
        <v/>
      </c>
      <c r="E156" s="76" t="str">
        <f>IF(Master[[#This Row],[Accession Name (Identifier 2)]]="","",Master[[#This Row],[Accession Name (Identifier 2)]])</f>
        <v/>
      </c>
      <c r="F156" s="45" t="str">
        <f>IF(Master[[#This Row],[Accession Name Cooperator (Identifier 2) -name, organization]]="","",Master[[#This Row],[Accession Name Cooperator (Identifier 2) -name, organization]])</f>
        <v/>
      </c>
      <c r="G156" s="7" t="str">
        <f t="shared" si="5"/>
        <v>Y</v>
      </c>
    </row>
    <row r="157" spans="2:7" x14ac:dyDescent="0.25">
      <c r="B157" s="7" t="str">
        <f>Master[[#This Row],[Accession Prefix (NPGS)]]&amp;" "&amp;Master[[#This Row],[Accession Number -Assigned]]</f>
        <v xml:space="preserve"> </v>
      </c>
      <c r="C157" s="7" t="str">
        <f>Master[[#This Row],[Accession Prefix (NPGS)]]&amp;" "&amp;Master[[#This Row],[Accession Number -Assigned]]&amp;" **"</f>
        <v xml:space="preserve">  **</v>
      </c>
      <c r="D157" s="76" t="str">
        <f>IF(Master[[#This Row],[Accession Name Category (Identifier 2) -Lookup Picker]]="","",Master[[#This Row],[Accession Name Category (Identifier 2) -Lookup Picker]])</f>
        <v/>
      </c>
      <c r="E157" s="76" t="str">
        <f>IF(Master[[#This Row],[Accession Name (Identifier 2)]]="","",Master[[#This Row],[Accession Name (Identifier 2)]])</f>
        <v/>
      </c>
      <c r="F157" s="45" t="str">
        <f>IF(Master[[#This Row],[Accession Name Cooperator (Identifier 2) -name, organization]]="","",Master[[#This Row],[Accession Name Cooperator (Identifier 2) -name, organization]])</f>
        <v/>
      </c>
      <c r="G157" s="7" t="str">
        <f t="shared" si="5"/>
        <v>Y</v>
      </c>
    </row>
    <row r="158" spans="2:7" x14ac:dyDescent="0.25">
      <c r="B158" s="7" t="str">
        <f>Master[[#This Row],[Accession Prefix (NPGS)]]&amp;" "&amp;Master[[#This Row],[Accession Number -Assigned]]</f>
        <v xml:space="preserve"> </v>
      </c>
      <c r="C158" s="7" t="str">
        <f>Master[[#This Row],[Accession Prefix (NPGS)]]&amp;" "&amp;Master[[#This Row],[Accession Number -Assigned]]&amp;" **"</f>
        <v xml:space="preserve">  **</v>
      </c>
      <c r="D158" s="76" t="str">
        <f>IF(Master[[#This Row],[Accession Name Category (Identifier 2) -Lookup Picker]]="","",Master[[#This Row],[Accession Name Category (Identifier 2) -Lookup Picker]])</f>
        <v/>
      </c>
      <c r="E158" s="76" t="str">
        <f>IF(Master[[#This Row],[Accession Name (Identifier 2)]]="","",Master[[#This Row],[Accession Name (Identifier 2)]])</f>
        <v/>
      </c>
      <c r="F158" s="45" t="str">
        <f>IF(Master[[#This Row],[Accession Name Cooperator (Identifier 2) -name, organization]]="","",Master[[#This Row],[Accession Name Cooperator (Identifier 2) -name, organization]])</f>
        <v/>
      </c>
      <c r="G158" s="7" t="str">
        <f t="shared" si="5"/>
        <v>Y</v>
      </c>
    </row>
    <row r="159" spans="2:7" x14ac:dyDescent="0.25">
      <c r="B159" s="7" t="str">
        <f>Master[[#This Row],[Accession Prefix (NPGS)]]&amp;" "&amp;Master[[#This Row],[Accession Number -Assigned]]</f>
        <v xml:space="preserve"> </v>
      </c>
      <c r="C159" s="7" t="str">
        <f>Master[[#This Row],[Accession Prefix (NPGS)]]&amp;" "&amp;Master[[#This Row],[Accession Number -Assigned]]&amp;" **"</f>
        <v xml:space="preserve">  **</v>
      </c>
      <c r="D159" s="76" t="str">
        <f>IF(Master[[#This Row],[Accession Name Category (Identifier 2) -Lookup Picker]]="","",Master[[#This Row],[Accession Name Category (Identifier 2) -Lookup Picker]])</f>
        <v/>
      </c>
      <c r="E159" s="76" t="str">
        <f>IF(Master[[#This Row],[Accession Name (Identifier 2)]]="","",Master[[#This Row],[Accession Name (Identifier 2)]])</f>
        <v/>
      </c>
      <c r="F159" s="45" t="str">
        <f>IF(Master[[#This Row],[Accession Name Cooperator (Identifier 2) -name, organization]]="","",Master[[#This Row],[Accession Name Cooperator (Identifier 2) -name, organization]])</f>
        <v/>
      </c>
      <c r="G159" s="7" t="str">
        <f t="shared" si="5"/>
        <v>Y</v>
      </c>
    </row>
    <row r="160" spans="2:7" x14ac:dyDescent="0.25">
      <c r="B160" s="7" t="str">
        <f>Master[[#This Row],[Accession Prefix (NPGS)]]&amp;" "&amp;Master[[#This Row],[Accession Number -Assigned]]</f>
        <v xml:space="preserve"> </v>
      </c>
      <c r="C160" s="7" t="str">
        <f>Master[[#This Row],[Accession Prefix (NPGS)]]&amp;" "&amp;Master[[#This Row],[Accession Number -Assigned]]&amp;" **"</f>
        <v xml:space="preserve">  **</v>
      </c>
      <c r="D160" s="76" t="str">
        <f>IF(Master[[#This Row],[Accession Name Category (Identifier 2) -Lookup Picker]]="","",Master[[#This Row],[Accession Name Category (Identifier 2) -Lookup Picker]])</f>
        <v/>
      </c>
      <c r="E160" s="76" t="str">
        <f>IF(Master[[#This Row],[Accession Name (Identifier 2)]]="","",Master[[#This Row],[Accession Name (Identifier 2)]])</f>
        <v/>
      </c>
      <c r="F160" s="45" t="str">
        <f>IF(Master[[#This Row],[Accession Name Cooperator (Identifier 2) -name, organization]]="","",Master[[#This Row],[Accession Name Cooperator (Identifier 2) -name, organization]])</f>
        <v/>
      </c>
      <c r="G160" s="7" t="str">
        <f t="shared" si="5"/>
        <v>Y</v>
      </c>
    </row>
    <row r="161" spans="2:7" x14ac:dyDescent="0.25">
      <c r="B161" s="7" t="str">
        <f>Master[[#This Row],[Accession Prefix (NPGS)]]&amp;" "&amp;Master[[#This Row],[Accession Number -Assigned]]</f>
        <v xml:space="preserve"> </v>
      </c>
      <c r="C161" s="7" t="str">
        <f>Master[[#This Row],[Accession Prefix (NPGS)]]&amp;" "&amp;Master[[#This Row],[Accession Number -Assigned]]&amp;" **"</f>
        <v xml:space="preserve">  **</v>
      </c>
      <c r="D161" s="76" t="str">
        <f>IF(Master[[#This Row],[Accession Name Category (Identifier 2) -Lookup Picker]]="","",Master[[#This Row],[Accession Name Category (Identifier 2) -Lookup Picker]])</f>
        <v/>
      </c>
      <c r="E161" s="76" t="str">
        <f>IF(Master[[#This Row],[Accession Name (Identifier 2)]]="","",Master[[#This Row],[Accession Name (Identifier 2)]])</f>
        <v/>
      </c>
      <c r="F161" s="45" t="str">
        <f>IF(Master[[#This Row],[Accession Name Cooperator (Identifier 2) -name, organization]]="","",Master[[#This Row],[Accession Name Cooperator (Identifier 2) -name, organization]])</f>
        <v/>
      </c>
      <c r="G161" s="7" t="str">
        <f t="shared" si="5"/>
        <v>Y</v>
      </c>
    </row>
    <row r="162" spans="2:7" x14ac:dyDescent="0.25">
      <c r="B162" s="7" t="str">
        <f>Master[[#This Row],[Accession Prefix (NPGS)]]&amp;" "&amp;Master[[#This Row],[Accession Number -Assigned]]</f>
        <v xml:space="preserve"> </v>
      </c>
      <c r="C162" s="7" t="str">
        <f>Master[[#This Row],[Accession Prefix (NPGS)]]&amp;" "&amp;Master[[#This Row],[Accession Number -Assigned]]&amp;" **"</f>
        <v xml:space="preserve">  **</v>
      </c>
      <c r="D162" s="76" t="str">
        <f>IF(Master[[#This Row],[Accession Name Category (Identifier 2) -Lookup Picker]]="","",Master[[#This Row],[Accession Name Category (Identifier 2) -Lookup Picker]])</f>
        <v/>
      </c>
      <c r="E162" s="76" t="str">
        <f>IF(Master[[#This Row],[Accession Name (Identifier 2)]]="","",Master[[#This Row],[Accession Name (Identifier 2)]])</f>
        <v/>
      </c>
      <c r="F162" s="45" t="str">
        <f>IF(Master[[#This Row],[Accession Name Cooperator (Identifier 2) -name, organization]]="","",Master[[#This Row],[Accession Name Cooperator (Identifier 2) -name, organization]])</f>
        <v/>
      </c>
      <c r="G162" s="7" t="str">
        <f t="shared" si="5"/>
        <v>Y</v>
      </c>
    </row>
    <row r="163" spans="2:7" x14ac:dyDescent="0.25">
      <c r="B163" s="7" t="str">
        <f>Master[[#This Row],[Accession Prefix (NPGS)]]&amp;" "&amp;Master[[#This Row],[Accession Number -Assigned]]</f>
        <v xml:space="preserve"> </v>
      </c>
      <c r="C163" s="7" t="str">
        <f>Master[[#This Row],[Accession Prefix (NPGS)]]&amp;" "&amp;Master[[#This Row],[Accession Number -Assigned]]&amp;" **"</f>
        <v xml:space="preserve">  **</v>
      </c>
      <c r="D163" s="76" t="str">
        <f>IF(Master[[#This Row],[Accession Name Category (Identifier 2) -Lookup Picker]]="","",Master[[#This Row],[Accession Name Category (Identifier 2) -Lookup Picker]])</f>
        <v/>
      </c>
      <c r="E163" s="76" t="str">
        <f>IF(Master[[#This Row],[Accession Name (Identifier 2)]]="","",Master[[#This Row],[Accession Name (Identifier 2)]])</f>
        <v/>
      </c>
      <c r="F163" s="45" t="str">
        <f>IF(Master[[#This Row],[Accession Name Cooperator (Identifier 2) -name, organization]]="","",Master[[#This Row],[Accession Name Cooperator (Identifier 2) -name, organization]])</f>
        <v/>
      </c>
      <c r="G163" s="7" t="str">
        <f t="shared" si="5"/>
        <v>Y</v>
      </c>
    </row>
    <row r="164" spans="2:7" x14ac:dyDescent="0.25">
      <c r="B164" s="7" t="str">
        <f>Master[[#This Row],[Accession Prefix (NPGS)]]&amp;" "&amp;Master[[#This Row],[Accession Number -Assigned]]</f>
        <v xml:space="preserve"> </v>
      </c>
      <c r="C164" s="7" t="str">
        <f>Master[[#This Row],[Accession Prefix (NPGS)]]&amp;" "&amp;Master[[#This Row],[Accession Number -Assigned]]&amp;" **"</f>
        <v xml:space="preserve">  **</v>
      </c>
      <c r="D164" s="76" t="str">
        <f>IF(Master[[#This Row],[Accession Name Category (Identifier 2) -Lookup Picker]]="","",Master[[#This Row],[Accession Name Category (Identifier 2) -Lookup Picker]])</f>
        <v/>
      </c>
      <c r="E164" s="76" t="str">
        <f>IF(Master[[#This Row],[Accession Name (Identifier 2)]]="","",Master[[#This Row],[Accession Name (Identifier 2)]])</f>
        <v/>
      </c>
      <c r="F164" s="45" t="str">
        <f>IF(Master[[#This Row],[Accession Name Cooperator (Identifier 2) -name, organization]]="","",Master[[#This Row],[Accession Name Cooperator (Identifier 2) -name, organization]])</f>
        <v/>
      </c>
      <c r="G164" s="7" t="str">
        <f t="shared" si="5"/>
        <v>Y</v>
      </c>
    </row>
    <row r="165" spans="2:7" x14ac:dyDescent="0.25">
      <c r="B165" s="7" t="str">
        <f>Master[[#This Row],[Accession Prefix (NPGS)]]&amp;" "&amp;Master[[#This Row],[Accession Number -Assigned]]</f>
        <v xml:space="preserve"> </v>
      </c>
      <c r="C165" s="7" t="str">
        <f>Master[[#This Row],[Accession Prefix (NPGS)]]&amp;" "&amp;Master[[#This Row],[Accession Number -Assigned]]&amp;" **"</f>
        <v xml:space="preserve">  **</v>
      </c>
      <c r="D165" s="76" t="str">
        <f>IF(Master[[#This Row],[Accession Name Category (Identifier 2) -Lookup Picker]]="","",Master[[#This Row],[Accession Name Category (Identifier 2) -Lookup Picker]])</f>
        <v/>
      </c>
      <c r="E165" s="76" t="str">
        <f>IF(Master[[#This Row],[Accession Name (Identifier 2)]]="","",Master[[#This Row],[Accession Name (Identifier 2)]])</f>
        <v/>
      </c>
      <c r="F165" s="45" t="str">
        <f>IF(Master[[#This Row],[Accession Name Cooperator (Identifier 2) -name, organization]]="","",Master[[#This Row],[Accession Name Cooperator (Identifier 2) -name, organization]])</f>
        <v/>
      </c>
      <c r="G165" s="7" t="str">
        <f t="shared" si="5"/>
        <v>Y</v>
      </c>
    </row>
    <row r="166" spans="2:7" x14ac:dyDescent="0.25">
      <c r="B166" s="7" t="str">
        <f>Master[[#This Row],[Accession Prefix (NPGS)]]&amp;" "&amp;Master[[#This Row],[Accession Number -Assigned]]</f>
        <v xml:space="preserve"> </v>
      </c>
      <c r="C166" s="7" t="str">
        <f>Master[[#This Row],[Accession Prefix (NPGS)]]&amp;" "&amp;Master[[#This Row],[Accession Number -Assigned]]&amp;" **"</f>
        <v xml:space="preserve">  **</v>
      </c>
      <c r="D166" s="76" t="str">
        <f>IF(Master[[#This Row],[Accession Name Category (Identifier 2) -Lookup Picker]]="","",Master[[#This Row],[Accession Name Category (Identifier 2) -Lookup Picker]])</f>
        <v/>
      </c>
      <c r="E166" s="76" t="str">
        <f>IF(Master[[#This Row],[Accession Name (Identifier 2)]]="","",Master[[#This Row],[Accession Name (Identifier 2)]])</f>
        <v/>
      </c>
      <c r="F166" s="45" t="str">
        <f>IF(Master[[#This Row],[Accession Name Cooperator (Identifier 2) -name, organization]]="","",Master[[#This Row],[Accession Name Cooperator (Identifier 2) -name, organization]])</f>
        <v/>
      </c>
      <c r="G166" s="7" t="str">
        <f t="shared" si="5"/>
        <v>Y</v>
      </c>
    </row>
    <row r="167" spans="2:7" x14ac:dyDescent="0.25">
      <c r="B167" s="7" t="str">
        <f>Master[[#This Row],[Accession Prefix (NPGS)]]&amp;" "&amp;Master[[#This Row],[Accession Number -Assigned]]</f>
        <v xml:space="preserve"> </v>
      </c>
      <c r="C167" s="7" t="str">
        <f>Master[[#This Row],[Accession Prefix (NPGS)]]&amp;" "&amp;Master[[#This Row],[Accession Number -Assigned]]&amp;" **"</f>
        <v xml:space="preserve">  **</v>
      </c>
      <c r="D167" s="76" t="str">
        <f>IF(Master[[#This Row],[Accession Name Category (Identifier 2) -Lookup Picker]]="","",Master[[#This Row],[Accession Name Category (Identifier 2) -Lookup Picker]])</f>
        <v/>
      </c>
      <c r="E167" s="76" t="str">
        <f>IF(Master[[#This Row],[Accession Name (Identifier 2)]]="","",Master[[#This Row],[Accession Name (Identifier 2)]])</f>
        <v/>
      </c>
      <c r="F167" s="45" t="str">
        <f>IF(Master[[#This Row],[Accession Name Cooperator (Identifier 2) -name, organization]]="","",Master[[#This Row],[Accession Name Cooperator (Identifier 2) -name, organization]])</f>
        <v/>
      </c>
      <c r="G167" s="7" t="str">
        <f t="shared" si="5"/>
        <v>Y</v>
      </c>
    </row>
    <row r="168" spans="2:7" x14ac:dyDescent="0.25">
      <c r="B168" s="7" t="str">
        <f>Master[[#This Row],[Accession Prefix (NPGS)]]&amp;" "&amp;Master[[#This Row],[Accession Number -Assigned]]</f>
        <v xml:space="preserve"> </v>
      </c>
      <c r="C168" s="7" t="str">
        <f>Master[[#This Row],[Accession Prefix (NPGS)]]&amp;" "&amp;Master[[#This Row],[Accession Number -Assigned]]&amp;" **"</f>
        <v xml:space="preserve">  **</v>
      </c>
      <c r="D168" s="76" t="str">
        <f>IF(Master[[#This Row],[Accession Name Category (Identifier 2) -Lookup Picker]]="","",Master[[#This Row],[Accession Name Category (Identifier 2) -Lookup Picker]])</f>
        <v/>
      </c>
      <c r="E168" s="76" t="str">
        <f>IF(Master[[#This Row],[Accession Name (Identifier 2)]]="","",Master[[#This Row],[Accession Name (Identifier 2)]])</f>
        <v/>
      </c>
      <c r="F168" s="45" t="str">
        <f>IF(Master[[#This Row],[Accession Name Cooperator (Identifier 2) -name, organization]]="","",Master[[#This Row],[Accession Name Cooperator (Identifier 2) -name, organization]])</f>
        <v/>
      </c>
      <c r="G168" s="7" t="str">
        <f t="shared" si="5"/>
        <v>Y</v>
      </c>
    </row>
    <row r="169" spans="2:7" x14ac:dyDescent="0.25">
      <c r="B169" s="7" t="str">
        <f>Master[[#This Row],[Accession Prefix (NPGS)]]&amp;" "&amp;Master[[#This Row],[Accession Number -Assigned]]</f>
        <v xml:space="preserve"> </v>
      </c>
      <c r="C169" s="7" t="str">
        <f>Master[[#This Row],[Accession Prefix (NPGS)]]&amp;" "&amp;Master[[#This Row],[Accession Number -Assigned]]&amp;" **"</f>
        <v xml:space="preserve">  **</v>
      </c>
      <c r="D169" s="76" t="str">
        <f>IF(Master[[#This Row],[Accession Name Category (Identifier 2) -Lookup Picker]]="","",Master[[#This Row],[Accession Name Category (Identifier 2) -Lookup Picker]])</f>
        <v/>
      </c>
      <c r="E169" s="76" t="str">
        <f>IF(Master[[#This Row],[Accession Name (Identifier 2)]]="","",Master[[#This Row],[Accession Name (Identifier 2)]])</f>
        <v/>
      </c>
      <c r="F169" s="45" t="str">
        <f>IF(Master[[#This Row],[Accession Name Cooperator (Identifier 2) -name, organization]]="","",Master[[#This Row],[Accession Name Cooperator (Identifier 2) -name, organization]])</f>
        <v/>
      </c>
      <c r="G169" s="7" t="str">
        <f t="shared" si="5"/>
        <v>Y</v>
      </c>
    </row>
    <row r="170" spans="2:7" x14ac:dyDescent="0.25">
      <c r="B170" s="7" t="str">
        <f>Master[[#This Row],[Accession Prefix (NPGS)]]&amp;" "&amp;Master[[#This Row],[Accession Number -Assigned]]</f>
        <v xml:space="preserve"> </v>
      </c>
      <c r="C170" s="7" t="str">
        <f>Master[[#This Row],[Accession Prefix (NPGS)]]&amp;" "&amp;Master[[#This Row],[Accession Number -Assigned]]&amp;" **"</f>
        <v xml:space="preserve">  **</v>
      </c>
      <c r="D170" s="76" t="str">
        <f>IF(Master[[#This Row],[Accession Name Category (Identifier 2) -Lookup Picker]]="","",Master[[#This Row],[Accession Name Category (Identifier 2) -Lookup Picker]])</f>
        <v/>
      </c>
      <c r="E170" s="76" t="str">
        <f>IF(Master[[#This Row],[Accession Name (Identifier 2)]]="","",Master[[#This Row],[Accession Name (Identifier 2)]])</f>
        <v/>
      </c>
      <c r="F170" s="45" t="str">
        <f>IF(Master[[#This Row],[Accession Name Cooperator (Identifier 2) -name, organization]]="","",Master[[#This Row],[Accession Name Cooperator (Identifier 2) -name, organization]])</f>
        <v/>
      </c>
      <c r="G170" s="7" t="str">
        <f t="shared" si="5"/>
        <v>Y</v>
      </c>
    </row>
    <row r="171" spans="2:7" x14ac:dyDescent="0.25">
      <c r="B171" s="7" t="str">
        <f>Master[[#This Row],[Accession Prefix (NPGS)]]&amp;" "&amp;Master[[#This Row],[Accession Number -Assigned]]</f>
        <v xml:space="preserve"> </v>
      </c>
      <c r="C171" s="7" t="str">
        <f>Master[[#This Row],[Accession Prefix (NPGS)]]&amp;" "&amp;Master[[#This Row],[Accession Number -Assigned]]&amp;" **"</f>
        <v xml:space="preserve">  **</v>
      </c>
      <c r="D171" s="76" t="str">
        <f>IF(Master[[#This Row],[Accession Name Category (Identifier 2) -Lookup Picker]]="","",Master[[#This Row],[Accession Name Category (Identifier 2) -Lookup Picker]])</f>
        <v/>
      </c>
      <c r="E171" s="76" t="str">
        <f>IF(Master[[#This Row],[Accession Name (Identifier 2)]]="","",Master[[#This Row],[Accession Name (Identifier 2)]])</f>
        <v/>
      </c>
      <c r="F171" s="45" t="str">
        <f>IF(Master[[#This Row],[Accession Name Cooperator (Identifier 2) -name, organization]]="","",Master[[#This Row],[Accession Name Cooperator (Identifier 2) -name, organization]])</f>
        <v/>
      </c>
      <c r="G171" s="7" t="str">
        <f t="shared" si="5"/>
        <v>Y</v>
      </c>
    </row>
    <row r="172" spans="2:7" x14ac:dyDescent="0.25">
      <c r="B172" s="7" t="str">
        <f>Master[[#This Row],[Accession Prefix (NPGS)]]&amp;" "&amp;Master[[#This Row],[Accession Number -Assigned]]</f>
        <v xml:space="preserve"> </v>
      </c>
      <c r="C172" s="7" t="str">
        <f>Master[[#This Row],[Accession Prefix (NPGS)]]&amp;" "&amp;Master[[#This Row],[Accession Number -Assigned]]&amp;" **"</f>
        <v xml:space="preserve">  **</v>
      </c>
      <c r="D172" s="76" t="str">
        <f>IF(Master[[#This Row],[Accession Name Category (Identifier 2) -Lookup Picker]]="","",Master[[#This Row],[Accession Name Category (Identifier 2) -Lookup Picker]])</f>
        <v/>
      </c>
      <c r="E172" s="76" t="str">
        <f>IF(Master[[#This Row],[Accession Name (Identifier 2)]]="","",Master[[#This Row],[Accession Name (Identifier 2)]])</f>
        <v/>
      </c>
      <c r="F172" s="45" t="str">
        <f>IF(Master[[#This Row],[Accession Name Cooperator (Identifier 2) -name, organization]]="","",Master[[#This Row],[Accession Name Cooperator (Identifier 2) -name, organization]])</f>
        <v/>
      </c>
      <c r="G172" s="7" t="str">
        <f t="shared" si="5"/>
        <v>Y</v>
      </c>
    </row>
    <row r="173" spans="2:7" x14ac:dyDescent="0.25">
      <c r="B173" s="7" t="str">
        <f>Master[[#This Row],[Accession Prefix (NPGS)]]&amp;" "&amp;Master[[#This Row],[Accession Number -Assigned]]</f>
        <v xml:space="preserve"> </v>
      </c>
      <c r="C173" s="7" t="str">
        <f>Master[[#This Row],[Accession Prefix (NPGS)]]&amp;" "&amp;Master[[#This Row],[Accession Number -Assigned]]&amp;" **"</f>
        <v xml:space="preserve">  **</v>
      </c>
      <c r="D173" s="76" t="str">
        <f>IF(Master[[#This Row],[Accession Name Category (Identifier 2) -Lookup Picker]]="","",Master[[#This Row],[Accession Name Category (Identifier 2) -Lookup Picker]])</f>
        <v/>
      </c>
      <c r="E173" s="76" t="str">
        <f>IF(Master[[#This Row],[Accession Name (Identifier 2)]]="","",Master[[#This Row],[Accession Name (Identifier 2)]])</f>
        <v/>
      </c>
      <c r="F173" s="45" t="str">
        <f>IF(Master[[#This Row],[Accession Name Cooperator (Identifier 2) -name, organization]]="","",Master[[#This Row],[Accession Name Cooperator (Identifier 2) -name, organization]])</f>
        <v/>
      </c>
      <c r="G173" s="7" t="str">
        <f t="shared" si="5"/>
        <v>Y</v>
      </c>
    </row>
    <row r="174" spans="2:7" x14ac:dyDescent="0.25">
      <c r="B174" s="7" t="str">
        <f>Master[[#This Row],[Accession Prefix (NPGS)]]&amp;" "&amp;Master[[#This Row],[Accession Number -Assigned]]</f>
        <v xml:space="preserve"> </v>
      </c>
      <c r="C174" s="7" t="str">
        <f>Master[[#This Row],[Accession Prefix (NPGS)]]&amp;" "&amp;Master[[#This Row],[Accession Number -Assigned]]&amp;" **"</f>
        <v xml:space="preserve">  **</v>
      </c>
      <c r="D174" s="76" t="str">
        <f>IF(Master[[#This Row],[Accession Name Category (Identifier 2) -Lookup Picker]]="","",Master[[#This Row],[Accession Name Category (Identifier 2) -Lookup Picker]])</f>
        <v/>
      </c>
      <c r="E174" s="76" t="str">
        <f>IF(Master[[#This Row],[Accession Name (Identifier 2)]]="","",Master[[#This Row],[Accession Name (Identifier 2)]])</f>
        <v/>
      </c>
      <c r="F174" s="45" t="str">
        <f>IF(Master[[#This Row],[Accession Name Cooperator (Identifier 2) -name, organization]]="","",Master[[#This Row],[Accession Name Cooperator (Identifier 2) -name, organization]])</f>
        <v/>
      </c>
      <c r="G174" s="7" t="str">
        <f t="shared" si="5"/>
        <v>Y</v>
      </c>
    </row>
    <row r="175" spans="2:7" x14ac:dyDescent="0.25">
      <c r="B175" s="7" t="str">
        <f>Master[[#This Row],[Accession Prefix (NPGS)]]&amp;" "&amp;Master[[#This Row],[Accession Number -Assigned]]</f>
        <v xml:space="preserve"> </v>
      </c>
      <c r="C175" s="7" t="str">
        <f>Master[[#This Row],[Accession Prefix (NPGS)]]&amp;" "&amp;Master[[#This Row],[Accession Number -Assigned]]&amp;" **"</f>
        <v xml:space="preserve">  **</v>
      </c>
      <c r="D175" s="76" t="str">
        <f>IF(Master[[#This Row],[Accession Name Category (Identifier 2) -Lookup Picker]]="","",Master[[#This Row],[Accession Name Category (Identifier 2) -Lookup Picker]])</f>
        <v/>
      </c>
      <c r="E175" s="76" t="str">
        <f>IF(Master[[#This Row],[Accession Name (Identifier 2)]]="","",Master[[#This Row],[Accession Name (Identifier 2)]])</f>
        <v/>
      </c>
      <c r="F175" s="45" t="str">
        <f>IF(Master[[#This Row],[Accession Name Cooperator (Identifier 2) -name, organization]]="","",Master[[#This Row],[Accession Name Cooperator (Identifier 2) -name, organization]])</f>
        <v/>
      </c>
      <c r="G175" s="7" t="str">
        <f t="shared" si="5"/>
        <v>Y</v>
      </c>
    </row>
    <row r="176" spans="2:7" x14ac:dyDescent="0.25">
      <c r="B176" s="7" t="str">
        <f>Master[[#This Row],[Accession Prefix (NPGS)]]&amp;" "&amp;Master[[#This Row],[Accession Number -Assigned]]</f>
        <v xml:space="preserve"> </v>
      </c>
      <c r="C176" s="7" t="str">
        <f>Master[[#This Row],[Accession Prefix (NPGS)]]&amp;" "&amp;Master[[#This Row],[Accession Number -Assigned]]&amp;" **"</f>
        <v xml:space="preserve">  **</v>
      </c>
      <c r="D176" s="76" t="str">
        <f>IF(Master[[#This Row],[Accession Name Category (Identifier 2) -Lookup Picker]]="","",Master[[#This Row],[Accession Name Category (Identifier 2) -Lookup Picker]])</f>
        <v/>
      </c>
      <c r="E176" s="76" t="str">
        <f>IF(Master[[#This Row],[Accession Name (Identifier 2)]]="","",Master[[#This Row],[Accession Name (Identifier 2)]])</f>
        <v/>
      </c>
      <c r="F176" s="45" t="str">
        <f>IF(Master[[#This Row],[Accession Name Cooperator (Identifier 2) -name, organization]]="","",Master[[#This Row],[Accession Name Cooperator (Identifier 2) -name, organization]])</f>
        <v/>
      </c>
      <c r="G176" s="7" t="str">
        <f t="shared" si="5"/>
        <v>Y</v>
      </c>
    </row>
    <row r="177" spans="2:7" x14ac:dyDescent="0.25">
      <c r="B177" s="7" t="str">
        <f>Master[[#This Row],[Accession Prefix (NPGS)]]&amp;" "&amp;Master[[#This Row],[Accession Number -Assigned]]</f>
        <v xml:space="preserve"> </v>
      </c>
      <c r="C177" s="7" t="str">
        <f>Master[[#This Row],[Accession Prefix (NPGS)]]&amp;" "&amp;Master[[#This Row],[Accession Number -Assigned]]&amp;" **"</f>
        <v xml:space="preserve">  **</v>
      </c>
      <c r="D177" s="76" t="str">
        <f>IF(Master[[#This Row],[Accession Name Category (Identifier 2) -Lookup Picker]]="","",Master[[#This Row],[Accession Name Category (Identifier 2) -Lookup Picker]])</f>
        <v/>
      </c>
      <c r="E177" s="76" t="str">
        <f>IF(Master[[#This Row],[Accession Name (Identifier 2)]]="","",Master[[#This Row],[Accession Name (Identifier 2)]])</f>
        <v/>
      </c>
      <c r="F177" s="45" t="str">
        <f>IF(Master[[#This Row],[Accession Name Cooperator (Identifier 2) -name, organization]]="","",Master[[#This Row],[Accession Name Cooperator (Identifier 2) -name, organization]])</f>
        <v/>
      </c>
      <c r="G177" s="7" t="str">
        <f t="shared" si="5"/>
        <v>Y</v>
      </c>
    </row>
    <row r="178" spans="2:7" x14ac:dyDescent="0.25">
      <c r="B178" s="7" t="str">
        <f>Master[[#This Row],[Accession Prefix (NPGS)]]&amp;" "&amp;Master[[#This Row],[Accession Number -Assigned]]</f>
        <v xml:space="preserve"> </v>
      </c>
      <c r="C178" s="7" t="str">
        <f>Master[[#This Row],[Accession Prefix (NPGS)]]&amp;" "&amp;Master[[#This Row],[Accession Number -Assigned]]&amp;" **"</f>
        <v xml:space="preserve">  **</v>
      </c>
      <c r="D178" s="76" t="str">
        <f>IF(Master[[#This Row],[Accession Name Category (Identifier 2) -Lookup Picker]]="","",Master[[#This Row],[Accession Name Category (Identifier 2) -Lookup Picker]])</f>
        <v/>
      </c>
      <c r="E178" s="76" t="str">
        <f>IF(Master[[#This Row],[Accession Name (Identifier 2)]]="","",Master[[#This Row],[Accession Name (Identifier 2)]])</f>
        <v/>
      </c>
      <c r="F178" s="45" t="str">
        <f>IF(Master[[#This Row],[Accession Name Cooperator (Identifier 2) -name, organization]]="","",Master[[#This Row],[Accession Name Cooperator (Identifier 2) -name, organization]])</f>
        <v/>
      </c>
      <c r="G178" s="7" t="str">
        <f t="shared" si="5"/>
        <v>Y</v>
      </c>
    </row>
    <row r="179" spans="2:7" x14ac:dyDescent="0.25">
      <c r="B179" s="7" t="str">
        <f>Master[[#This Row],[Accession Prefix (NPGS)]]&amp;" "&amp;Master[[#This Row],[Accession Number -Assigned]]</f>
        <v xml:space="preserve"> </v>
      </c>
      <c r="C179" s="7" t="str">
        <f>Master[[#This Row],[Accession Prefix (NPGS)]]&amp;" "&amp;Master[[#This Row],[Accession Number -Assigned]]&amp;" **"</f>
        <v xml:space="preserve">  **</v>
      </c>
      <c r="D179" s="76" t="str">
        <f>IF(Master[[#This Row],[Accession Name Category (Identifier 2) -Lookup Picker]]="","",Master[[#This Row],[Accession Name Category (Identifier 2) -Lookup Picker]])</f>
        <v/>
      </c>
      <c r="E179" s="76" t="str">
        <f>IF(Master[[#This Row],[Accession Name (Identifier 2)]]="","",Master[[#This Row],[Accession Name (Identifier 2)]])</f>
        <v/>
      </c>
      <c r="F179" s="45" t="str">
        <f>IF(Master[[#This Row],[Accession Name Cooperator (Identifier 2) -name, organization]]="","",Master[[#This Row],[Accession Name Cooperator (Identifier 2) -name, organization]])</f>
        <v/>
      </c>
      <c r="G179" s="7" t="str">
        <f t="shared" si="5"/>
        <v>Y</v>
      </c>
    </row>
    <row r="180" spans="2:7" x14ac:dyDescent="0.25">
      <c r="B180" s="7" t="str">
        <f>Master[[#This Row],[Accession Prefix (NPGS)]]&amp;" "&amp;Master[[#This Row],[Accession Number -Assigned]]</f>
        <v xml:space="preserve"> </v>
      </c>
      <c r="C180" s="7" t="str">
        <f>Master[[#This Row],[Accession Prefix (NPGS)]]&amp;" "&amp;Master[[#This Row],[Accession Number -Assigned]]&amp;" **"</f>
        <v xml:space="preserve">  **</v>
      </c>
      <c r="D180" s="76" t="str">
        <f>IF(Master[[#This Row],[Accession Name Category (Identifier 2) -Lookup Picker]]="","",Master[[#This Row],[Accession Name Category (Identifier 2) -Lookup Picker]])</f>
        <v/>
      </c>
      <c r="E180" s="76" t="str">
        <f>IF(Master[[#This Row],[Accession Name (Identifier 2)]]="","",Master[[#This Row],[Accession Name (Identifier 2)]])</f>
        <v/>
      </c>
      <c r="F180" s="45" t="str">
        <f>IF(Master[[#This Row],[Accession Name Cooperator (Identifier 2) -name, organization]]="","",Master[[#This Row],[Accession Name Cooperator (Identifier 2) -name, organization]])</f>
        <v/>
      </c>
      <c r="G180" s="7" t="str">
        <f t="shared" si="5"/>
        <v>Y</v>
      </c>
    </row>
    <row r="181" spans="2:7" x14ac:dyDescent="0.25">
      <c r="B181" s="7" t="str">
        <f>Master[[#This Row],[Accession Prefix (NPGS)]]&amp;" "&amp;Master[[#This Row],[Accession Number -Assigned]]</f>
        <v xml:space="preserve"> </v>
      </c>
      <c r="C181" s="7" t="str">
        <f>Master[[#This Row],[Accession Prefix (NPGS)]]&amp;" "&amp;Master[[#This Row],[Accession Number -Assigned]]&amp;" **"</f>
        <v xml:space="preserve">  **</v>
      </c>
      <c r="D181" s="76" t="str">
        <f>IF(Master[[#This Row],[Accession Name Category (Identifier 2) -Lookup Picker]]="","",Master[[#This Row],[Accession Name Category (Identifier 2) -Lookup Picker]])</f>
        <v/>
      </c>
      <c r="E181" s="76" t="str">
        <f>IF(Master[[#This Row],[Accession Name (Identifier 2)]]="","",Master[[#This Row],[Accession Name (Identifier 2)]])</f>
        <v/>
      </c>
      <c r="F181" s="45" t="str">
        <f>IF(Master[[#This Row],[Accession Name Cooperator (Identifier 2) -name, organization]]="","",Master[[#This Row],[Accession Name Cooperator (Identifier 2) -name, organization]])</f>
        <v/>
      </c>
      <c r="G181" s="7" t="str">
        <f t="shared" si="5"/>
        <v>Y</v>
      </c>
    </row>
    <row r="182" spans="2:7" x14ac:dyDescent="0.25">
      <c r="B182" s="7" t="str">
        <f>Master[[#This Row],[Accession Prefix (NPGS)]]&amp;" "&amp;Master[[#This Row],[Accession Number -Assigned]]</f>
        <v xml:space="preserve"> </v>
      </c>
      <c r="C182" s="7" t="str">
        <f>Master[[#This Row],[Accession Prefix (NPGS)]]&amp;" "&amp;Master[[#This Row],[Accession Number -Assigned]]&amp;" **"</f>
        <v xml:space="preserve">  **</v>
      </c>
      <c r="D182" s="76" t="str">
        <f>IF(Master[[#This Row],[Accession Name Category (Identifier 2) -Lookup Picker]]="","",Master[[#This Row],[Accession Name Category (Identifier 2) -Lookup Picker]])</f>
        <v/>
      </c>
      <c r="E182" s="76" t="str">
        <f>IF(Master[[#This Row],[Accession Name (Identifier 2)]]="","",Master[[#This Row],[Accession Name (Identifier 2)]])</f>
        <v/>
      </c>
      <c r="F182" s="45" t="str">
        <f>IF(Master[[#This Row],[Accession Name Cooperator (Identifier 2) -name, organization]]="","",Master[[#This Row],[Accession Name Cooperator (Identifier 2) -name, organization]])</f>
        <v/>
      </c>
      <c r="G182" s="7" t="str">
        <f t="shared" ref="G182:G201" si="6">"Y"</f>
        <v>Y</v>
      </c>
    </row>
    <row r="183" spans="2:7" x14ac:dyDescent="0.25">
      <c r="B183" s="7" t="str">
        <f>Master[[#This Row],[Accession Prefix (NPGS)]]&amp;" "&amp;Master[[#This Row],[Accession Number -Assigned]]</f>
        <v xml:space="preserve"> </v>
      </c>
      <c r="C183" s="7" t="str">
        <f>Master[[#This Row],[Accession Prefix (NPGS)]]&amp;" "&amp;Master[[#This Row],[Accession Number -Assigned]]&amp;" **"</f>
        <v xml:space="preserve">  **</v>
      </c>
      <c r="D183" s="76" t="str">
        <f>IF(Master[[#This Row],[Accession Name Category (Identifier 2) -Lookup Picker]]="","",Master[[#This Row],[Accession Name Category (Identifier 2) -Lookup Picker]])</f>
        <v/>
      </c>
      <c r="E183" s="76" t="str">
        <f>IF(Master[[#This Row],[Accession Name (Identifier 2)]]="","",Master[[#This Row],[Accession Name (Identifier 2)]])</f>
        <v/>
      </c>
      <c r="F183" s="45" t="str">
        <f>IF(Master[[#This Row],[Accession Name Cooperator (Identifier 2) -name, organization]]="","",Master[[#This Row],[Accession Name Cooperator (Identifier 2) -name, organization]])</f>
        <v/>
      </c>
      <c r="G183" s="7" t="str">
        <f t="shared" si="6"/>
        <v>Y</v>
      </c>
    </row>
    <row r="184" spans="2:7" x14ac:dyDescent="0.25">
      <c r="B184" s="7" t="str">
        <f>Master[[#This Row],[Accession Prefix (NPGS)]]&amp;" "&amp;Master[[#This Row],[Accession Number -Assigned]]</f>
        <v xml:space="preserve"> </v>
      </c>
      <c r="C184" s="7" t="str">
        <f>Master[[#This Row],[Accession Prefix (NPGS)]]&amp;" "&amp;Master[[#This Row],[Accession Number -Assigned]]&amp;" **"</f>
        <v xml:space="preserve">  **</v>
      </c>
      <c r="D184" s="76" t="str">
        <f>IF(Master[[#This Row],[Accession Name Category (Identifier 2) -Lookup Picker]]="","",Master[[#This Row],[Accession Name Category (Identifier 2) -Lookup Picker]])</f>
        <v/>
      </c>
      <c r="E184" s="76" t="str">
        <f>IF(Master[[#This Row],[Accession Name (Identifier 2)]]="","",Master[[#This Row],[Accession Name (Identifier 2)]])</f>
        <v/>
      </c>
      <c r="F184" s="45" t="str">
        <f>IF(Master[[#This Row],[Accession Name Cooperator (Identifier 2) -name, organization]]="","",Master[[#This Row],[Accession Name Cooperator (Identifier 2) -name, organization]])</f>
        <v/>
      </c>
      <c r="G184" s="7" t="str">
        <f t="shared" si="6"/>
        <v>Y</v>
      </c>
    </row>
    <row r="185" spans="2:7" x14ac:dyDescent="0.25">
      <c r="B185" s="7" t="str">
        <f>Master[[#This Row],[Accession Prefix (NPGS)]]&amp;" "&amp;Master[[#This Row],[Accession Number -Assigned]]</f>
        <v xml:space="preserve"> </v>
      </c>
      <c r="C185" s="7" t="str">
        <f>Master[[#This Row],[Accession Prefix (NPGS)]]&amp;" "&amp;Master[[#This Row],[Accession Number -Assigned]]&amp;" **"</f>
        <v xml:space="preserve">  **</v>
      </c>
      <c r="D185" s="76" t="str">
        <f>IF(Master[[#This Row],[Accession Name Category (Identifier 2) -Lookup Picker]]="","",Master[[#This Row],[Accession Name Category (Identifier 2) -Lookup Picker]])</f>
        <v/>
      </c>
      <c r="E185" s="76" t="str">
        <f>IF(Master[[#This Row],[Accession Name (Identifier 2)]]="","",Master[[#This Row],[Accession Name (Identifier 2)]])</f>
        <v/>
      </c>
      <c r="F185" s="45" t="str">
        <f>IF(Master[[#This Row],[Accession Name Cooperator (Identifier 2) -name, organization]]="","",Master[[#This Row],[Accession Name Cooperator (Identifier 2) -name, organization]])</f>
        <v/>
      </c>
      <c r="G185" s="7" t="str">
        <f t="shared" si="6"/>
        <v>Y</v>
      </c>
    </row>
    <row r="186" spans="2:7" x14ac:dyDescent="0.25">
      <c r="B186" s="7" t="str">
        <f>Master[[#This Row],[Accession Prefix (NPGS)]]&amp;" "&amp;Master[[#This Row],[Accession Number -Assigned]]</f>
        <v xml:space="preserve"> </v>
      </c>
      <c r="C186" s="7" t="str">
        <f>Master[[#This Row],[Accession Prefix (NPGS)]]&amp;" "&amp;Master[[#This Row],[Accession Number -Assigned]]&amp;" **"</f>
        <v xml:space="preserve">  **</v>
      </c>
      <c r="D186" s="76" t="str">
        <f>IF(Master[[#This Row],[Accession Name Category (Identifier 2) -Lookup Picker]]="","",Master[[#This Row],[Accession Name Category (Identifier 2) -Lookup Picker]])</f>
        <v/>
      </c>
      <c r="E186" s="76" t="str">
        <f>IF(Master[[#This Row],[Accession Name (Identifier 2)]]="","",Master[[#This Row],[Accession Name (Identifier 2)]])</f>
        <v/>
      </c>
      <c r="F186" s="45" t="str">
        <f>IF(Master[[#This Row],[Accession Name Cooperator (Identifier 2) -name, organization]]="","",Master[[#This Row],[Accession Name Cooperator (Identifier 2) -name, organization]])</f>
        <v/>
      </c>
      <c r="G186" s="7" t="str">
        <f t="shared" si="6"/>
        <v>Y</v>
      </c>
    </row>
    <row r="187" spans="2:7" x14ac:dyDescent="0.25">
      <c r="B187" s="7" t="str">
        <f>Master[[#This Row],[Accession Prefix (NPGS)]]&amp;" "&amp;Master[[#This Row],[Accession Number -Assigned]]</f>
        <v xml:space="preserve"> </v>
      </c>
      <c r="C187" s="7" t="str">
        <f>Master[[#This Row],[Accession Prefix (NPGS)]]&amp;" "&amp;Master[[#This Row],[Accession Number -Assigned]]&amp;" **"</f>
        <v xml:space="preserve">  **</v>
      </c>
      <c r="D187" s="76" t="str">
        <f>IF(Master[[#This Row],[Accession Name Category (Identifier 2) -Lookup Picker]]="","",Master[[#This Row],[Accession Name Category (Identifier 2) -Lookup Picker]])</f>
        <v/>
      </c>
      <c r="E187" s="76" t="str">
        <f>IF(Master[[#This Row],[Accession Name (Identifier 2)]]="","",Master[[#This Row],[Accession Name (Identifier 2)]])</f>
        <v/>
      </c>
      <c r="F187" s="45" t="str">
        <f>IF(Master[[#This Row],[Accession Name Cooperator (Identifier 2) -name, organization]]="","",Master[[#This Row],[Accession Name Cooperator (Identifier 2) -name, organization]])</f>
        <v/>
      </c>
      <c r="G187" s="7" t="str">
        <f t="shared" si="6"/>
        <v>Y</v>
      </c>
    </row>
    <row r="188" spans="2:7" x14ac:dyDescent="0.25">
      <c r="B188" s="7" t="str">
        <f>Master[[#This Row],[Accession Prefix (NPGS)]]&amp;" "&amp;Master[[#This Row],[Accession Number -Assigned]]</f>
        <v xml:space="preserve"> </v>
      </c>
      <c r="C188" s="7" t="str">
        <f>Master[[#This Row],[Accession Prefix (NPGS)]]&amp;" "&amp;Master[[#This Row],[Accession Number -Assigned]]&amp;" **"</f>
        <v xml:space="preserve">  **</v>
      </c>
      <c r="D188" s="76" t="str">
        <f>IF(Master[[#This Row],[Accession Name Category (Identifier 2) -Lookup Picker]]="","",Master[[#This Row],[Accession Name Category (Identifier 2) -Lookup Picker]])</f>
        <v/>
      </c>
      <c r="E188" s="76" t="str">
        <f>IF(Master[[#This Row],[Accession Name (Identifier 2)]]="","",Master[[#This Row],[Accession Name (Identifier 2)]])</f>
        <v/>
      </c>
      <c r="F188" s="45" t="str">
        <f>IF(Master[[#This Row],[Accession Name Cooperator (Identifier 2) -name, organization]]="","",Master[[#This Row],[Accession Name Cooperator (Identifier 2) -name, organization]])</f>
        <v/>
      </c>
      <c r="G188" s="7" t="str">
        <f t="shared" si="6"/>
        <v>Y</v>
      </c>
    </row>
    <row r="189" spans="2:7" x14ac:dyDescent="0.25">
      <c r="B189" s="7" t="str">
        <f>Master[[#This Row],[Accession Prefix (NPGS)]]&amp;" "&amp;Master[[#This Row],[Accession Number -Assigned]]</f>
        <v xml:space="preserve"> </v>
      </c>
      <c r="C189" s="7" t="str">
        <f>Master[[#This Row],[Accession Prefix (NPGS)]]&amp;" "&amp;Master[[#This Row],[Accession Number -Assigned]]&amp;" **"</f>
        <v xml:space="preserve">  **</v>
      </c>
      <c r="D189" s="76" t="str">
        <f>IF(Master[[#This Row],[Accession Name Category (Identifier 2) -Lookup Picker]]="","",Master[[#This Row],[Accession Name Category (Identifier 2) -Lookup Picker]])</f>
        <v/>
      </c>
      <c r="E189" s="76" t="str">
        <f>IF(Master[[#This Row],[Accession Name (Identifier 2)]]="","",Master[[#This Row],[Accession Name (Identifier 2)]])</f>
        <v/>
      </c>
      <c r="F189" s="45" t="str">
        <f>IF(Master[[#This Row],[Accession Name Cooperator (Identifier 2) -name, organization]]="","",Master[[#This Row],[Accession Name Cooperator (Identifier 2) -name, organization]])</f>
        <v/>
      </c>
      <c r="G189" s="7" t="str">
        <f t="shared" si="6"/>
        <v>Y</v>
      </c>
    </row>
    <row r="190" spans="2:7" x14ac:dyDescent="0.25">
      <c r="B190" s="7" t="str">
        <f>Master[[#This Row],[Accession Prefix (NPGS)]]&amp;" "&amp;Master[[#This Row],[Accession Number -Assigned]]</f>
        <v xml:space="preserve"> </v>
      </c>
      <c r="C190" s="7" t="str">
        <f>Master[[#This Row],[Accession Prefix (NPGS)]]&amp;" "&amp;Master[[#This Row],[Accession Number -Assigned]]&amp;" **"</f>
        <v xml:space="preserve">  **</v>
      </c>
      <c r="D190" s="76" t="str">
        <f>IF(Master[[#This Row],[Accession Name Category (Identifier 2) -Lookup Picker]]="","",Master[[#This Row],[Accession Name Category (Identifier 2) -Lookup Picker]])</f>
        <v/>
      </c>
      <c r="E190" s="76" t="str">
        <f>IF(Master[[#This Row],[Accession Name (Identifier 2)]]="","",Master[[#This Row],[Accession Name (Identifier 2)]])</f>
        <v/>
      </c>
      <c r="F190" s="45" t="str">
        <f>IF(Master[[#This Row],[Accession Name Cooperator (Identifier 2) -name, organization]]="","",Master[[#This Row],[Accession Name Cooperator (Identifier 2) -name, organization]])</f>
        <v/>
      </c>
      <c r="G190" s="7" t="str">
        <f t="shared" si="6"/>
        <v>Y</v>
      </c>
    </row>
    <row r="191" spans="2:7" x14ac:dyDescent="0.25">
      <c r="B191" s="7" t="str">
        <f>Master[[#This Row],[Accession Prefix (NPGS)]]&amp;" "&amp;Master[[#This Row],[Accession Number -Assigned]]</f>
        <v xml:space="preserve"> </v>
      </c>
      <c r="C191" s="7" t="str">
        <f>Master[[#This Row],[Accession Prefix (NPGS)]]&amp;" "&amp;Master[[#This Row],[Accession Number -Assigned]]&amp;" **"</f>
        <v xml:space="preserve">  **</v>
      </c>
      <c r="D191" s="76" t="str">
        <f>IF(Master[[#This Row],[Accession Name Category (Identifier 2) -Lookup Picker]]="","",Master[[#This Row],[Accession Name Category (Identifier 2) -Lookup Picker]])</f>
        <v/>
      </c>
      <c r="E191" s="76" t="str">
        <f>IF(Master[[#This Row],[Accession Name (Identifier 2)]]="","",Master[[#This Row],[Accession Name (Identifier 2)]])</f>
        <v/>
      </c>
      <c r="F191" s="45" t="str">
        <f>IF(Master[[#This Row],[Accession Name Cooperator (Identifier 2) -name, organization]]="","",Master[[#This Row],[Accession Name Cooperator (Identifier 2) -name, organization]])</f>
        <v/>
      </c>
      <c r="G191" s="7" t="str">
        <f t="shared" si="6"/>
        <v>Y</v>
      </c>
    </row>
    <row r="192" spans="2:7" x14ac:dyDescent="0.25">
      <c r="B192" s="7" t="str">
        <f>Master[[#This Row],[Accession Prefix (NPGS)]]&amp;" "&amp;Master[[#This Row],[Accession Number -Assigned]]</f>
        <v xml:space="preserve"> </v>
      </c>
      <c r="C192" s="7" t="str">
        <f>Master[[#This Row],[Accession Prefix (NPGS)]]&amp;" "&amp;Master[[#This Row],[Accession Number -Assigned]]&amp;" **"</f>
        <v xml:space="preserve">  **</v>
      </c>
      <c r="D192" s="76" t="str">
        <f>IF(Master[[#This Row],[Accession Name Category (Identifier 2) -Lookup Picker]]="","",Master[[#This Row],[Accession Name Category (Identifier 2) -Lookup Picker]])</f>
        <v/>
      </c>
      <c r="E192" s="76" t="str">
        <f>IF(Master[[#This Row],[Accession Name (Identifier 2)]]="","",Master[[#This Row],[Accession Name (Identifier 2)]])</f>
        <v/>
      </c>
      <c r="F192" s="45" t="str">
        <f>IF(Master[[#This Row],[Accession Name Cooperator (Identifier 2) -name, organization]]="","",Master[[#This Row],[Accession Name Cooperator (Identifier 2) -name, organization]])</f>
        <v/>
      </c>
      <c r="G192" s="7" t="str">
        <f t="shared" si="6"/>
        <v>Y</v>
      </c>
    </row>
    <row r="193" spans="2:7" x14ac:dyDescent="0.25">
      <c r="B193" s="7" t="str">
        <f>Master[[#This Row],[Accession Prefix (NPGS)]]&amp;" "&amp;Master[[#This Row],[Accession Number -Assigned]]</f>
        <v xml:space="preserve"> </v>
      </c>
      <c r="C193" s="7" t="str">
        <f>Master[[#This Row],[Accession Prefix (NPGS)]]&amp;" "&amp;Master[[#This Row],[Accession Number -Assigned]]&amp;" **"</f>
        <v xml:space="preserve">  **</v>
      </c>
      <c r="D193" s="76" t="str">
        <f>IF(Master[[#This Row],[Accession Name Category (Identifier 2) -Lookup Picker]]="","",Master[[#This Row],[Accession Name Category (Identifier 2) -Lookup Picker]])</f>
        <v/>
      </c>
      <c r="E193" s="76" t="str">
        <f>IF(Master[[#This Row],[Accession Name (Identifier 2)]]="","",Master[[#This Row],[Accession Name (Identifier 2)]])</f>
        <v/>
      </c>
      <c r="F193" s="45" t="str">
        <f>IF(Master[[#This Row],[Accession Name Cooperator (Identifier 2) -name, organization]]="","",Master[[#This Row],[Accession Name Cooperator (Identifier 2) -name, organization]])</f>
        <v/>
      </c>
      <c r="G193" s="7" t="str">
        <f t="shared" si="6"/>
        <v>Y</v>
      </c>
    </row>
    <row r="194" spans="2:7" x14ac:dyDescent="0.25">
      <c r="B194" s="7" t="str">
        <f>Master[[#This Row],[Accession Prefix (NPGS)]]&amp;" "&amp;Master[[#This Row],[Accession Number -Assigned]]</f>
        <v xml:space="preserve"> </v>
      </c>
      <c r="C194" s="7" t="str">
        <f>Master[[#This Row],[Accession Prefix (NPGS)]]&amp;" "&amp;Master[[#This Row],[Accession Number -Assigned]]&amp;" **"</f>
        <v xml:space="preserve">  **</v>
      </c>
      <c r="D194" s="76" t="str">
        <f>IF(Master[[#This Row],[Accession Name Category (Identifier 2) -Lookup Picker]]="","",Master[[#This Row],[Accession Name Category (Identifier 2) -Lookup Picker]])</f>
        <v/>
      </c>
      <c r="E194" s="76" t="str">
        <f>IF(Master[[#This Row],[Accession Name (Identifier 2)]]="","",Master[[#This Row],[Accession Name (Identifier 2)]])</f>
        <v/>
      </c>
      <c r="F194" s="45" t="str">
        <f>IF(Master[[#This Row],[Accession Name Cooperator (Identifier 2) -name, organization]]="","",Master[[#This Row],[Accession Name Cooperator (Identifier 2) -name, organization]])</f>
        <v/>
      </c>
      <c r="G194" s="7" t="str">
        <f t="shared" si="6"/>
        <v>Y</v>
      </c>
    </row>
    <row r="195" spans="2:7" x14ac:dyDescent="0.25">
      <c r="B195" s="7" t="str">
        <f>Master[[#This Row],[Accession Prefix (NPGS)]]&amp;" "&amp;Master[[#This Row],[Accession Number -Assigned]]</f>
        <v xml:space="preserve"> </v>
      </c>
      <c r="C195" s="7" t="str">
        <f>Master[[#This Row],[Accession Prefix (NPGS)]]&amp;" "&amp;Master[[#This Row],[Accession Number -Assigned]]&amp;" **"</f>
        <v xml:space="preserve">  **</v>
      </c>
      <c r="D195" s="76" t="str">
        <f>IF(Master[[#This Row],[Accession Name Category (Identifier 2) -Lookup Picker]]="","",Master[[#This Row],[Accession Name Category (Identifier 2) -Lookup Picker]])</f>
        <v/>
      </c>
      <c r="E195" s="76" t="str">
        <f>IF(Master[[#This Row],[Accession Name (Identifier 2)]]="","",Master[[#This Row],[Accession Name (Identifier 2)]])</f>
        <v/>
      </c>
      <c r="F195" s="45" t="str">
        <f>IF(Master[[#This Row],[Accession Name Cooperator (Identifier 2) -name, organization]]="","",Master[[#This Row],[Accession Name Cooperator (Identifier 2) -name, organization]])</f>
        <v/>
      </c>
      <c r="G195" s="7" t="str">
        <f t="shared" si="6"/>
        <v>Y</v>
      </c>
    </row>
    <row r="196" spans="2:7" x14ac:dyDescent="0.25">
      <c r="B196" s="7" t="str">
        <f>Master[[#This Row],[Accession Prefix (NPGS)]]&amp;" "&amp;Master[[#This Row],[Accession Number -Assigned]]</f>
        <v xml:space="preserve"> </v>
      </c>
      <c r="C196" s="7" t="str">
        <f>Master[[#This Row],[Accession Prefix (NPGS)]]&amp;" "&amp;Master[[#This Row],[Accession Number -Assigned]]&amp;" **"</f>
        <v xml:space="preserve">  **</v>
      </c>
      <c r="D196" s="76" t="str">
        <f>IF(Master[[#This Row],[Accession Name Category (Identifier 2) -Lookup Picker]]="","",Master[[#This Row],[Accession Name Category (Identifier 2) -Lookup Picker]])</f>
        <v/>
      </c>
      <c r="E196" s="76" t="str">
        <f>IF(Master[[#This Row],[Accession Name (Identifier 2)]]="","",Master[[#This Row],[Accession Name (Identifier 2)]])</f>
        <v/>
      </c>
      <c r="F196" s="45" t="str">
        <f>IF(Master[[#This Row],[Accession Name Cooperator (Identifier 2) -name, organization]]="","",Master[[#This Row],[Accession Name Cooperator (Identifier 2) -name, organization]])</f>
        <v/>
      </c>
      <c r="G196" s="7" t="str">
        <f t="shared" si="6"/>
        <v>Y</v>
      </c>
    </row>
    <row r="197" spans="2:7" x14ac:dyDescent="0.25">
      <c r="B197" s="7" t="str">
        <f>Master[[#This Row],[Accession Prefix (NPGS)]]&amp;" "&amp;Master[[#This Row],[Accession Number -Assigned]]</f>
        <v xml:space="preserve"> </v>
      </c>
      <c r="C197" s="7" t="str">
        <f>Master[[#This Row],[Accession Prefix (NPGS)]]&amp;" "&amp;Master[[#This Row],[Accession Number -Assigned]]&amp;" **"</f>
        <v xml:space="preserve">  **</v>
      </c>
      <c r="D197" s="76" t="str">
        <f>IF(Master[[#This Row],[Accession Name Category (Identifier 2) -Lookup Picker]]="","",Master[[#This Row],[Accession Name Category (Identifier 2) -Lookup Picker]])</f>
        <v/>
      </c>
      <c r="E197" s="76" t="str">
        <f>IF(Master[[#This Row],[Accession Name (Identifier 2)]]="","",Master[[#This Row],[Accession Name (Identifier 2)]])</f>
        <v/>
      </c>
      <c r="F197" s="45" t="str">
        <f>IF(Master[[#This Row],[Accession Name Cooperator (Identifier 2) -name, organization]]="","",Master[[#This Row],[Accession Name Cooperator (Identifier 2) -name, organization]])</f>
        <v/>
      </c>
      <c r="G197" s="7" t="str">
        <f t="shared" si="6"/>
        <v>Y</v>
      </c>
    </row>
    <row r="198" spans="2:7" x14ac:dyDescent="0.25">
      <c r="B198" s="7" t="str">
        <f>Master[[#This Row],[Accession Prefix (NPGS)]]&amp;" "&amp;Master[[#This Row],[Accession Number -Assigned]]</f>
        <v xml:space="preserve"> </v>
      </c>
      <c r="C198" s="7" t="str">
        <f>Master[[#This Row],[Accession Prefix (NPGS)]]&amp;" "&amp;Master[[#This Row],[Accession Number -Assigned]]&amp;" **"</f>
        <v xml:space="preserve">  **</v>
      </c>
      <c r="D198" s="76" t="str">
        <f>IF(Master[[#This Row],[Accession Name Category (Identifier 2) -Lookup Picker]]="","",Master[[#This Row],[Accession Name Category (Identifier 2) -Lookup Picker]])</f>
        <v/>
      </c>
      <c r="E198" s="76" t="str">
        <f>IF(Master[[#This Row],[Accession Name (Identifier 2)]]="","",Master[[#This Row],[Accession Name (Identifier 2)]])</f>
        <v/>
      </c>
      <c r="F198" s="45" t="str">
        <f>IF(Master[[#This Row],[Accession Name Cooperator (Identifier 2) -name, organization]]="","",Master[[#This Row],[Accession Name Cooperator (Identifier 2) -name, organization]])</f>
        <v/>
      </c>
      <c r="G198" s="7" t="str">
        <f t="shared" si="6"/>
        <v>Y</v>
      </c>
    </row>
    <row r="199" spans="2:7" x14ac:dyDescent="0.25">
      <c r="B199" s="7" t="str">
        <f>Master[[#This Row],[Accession Prefix (NPGS)]]&amp;" "&amp;Master[[#This Row],[Accession Number -Assigned]]</f>
        <v xml:space="preserve"> </v>
      </c>
      <c r="C199" s="7" t="str">
        <f>Master[[#This Row],[Accession Prefix (NPGS)]]&amp;" "&amp;Master[[#This Row],[Accession Number -Assigned]]&amp;" **"</f>
        <v xml:space="preserve">  **</v>
      </c>
      <c r="D199" s="76" t="str">
        <f>IF(Master[[#This Row],[Accession Name Category (Identifier 2) -Lookup Picker]]="","",Master[[#This Row],[Accession Name Category (Identifier 2) -Lookup Picker]])</f>
        <v/>
      </c>
      <c r="E199" s="76" t="str">
        <f>IF(Master[[#This Row],[Accession Name (Identifier 2)]]="","",Master[[#This Row],[Accession Name (Identifier 2)]])</f>
        <v/>
      </c>
      <c r="F199" s="45" t="str">
        <f>IF(Master[[#This Row],[Accession Name Cooperator (Identifier 2) -name, organization]]="","",Master[[#This Row],[Accession Name Cooperator (Identifier 2) -name, organization]])</f>
        <v/>
      </c>
      <c r="G199" s="7" t="str">
        <f t="shared" si="6"/>
        <v>Y</v>
      </c>
    </row>
    <row r="200" spans="2:7" x14ac:dyDescent="0.25">
      <c r="B200" s="7" t="str">
        <f>Master[[#This Row],[Accession Prefix (NPGS)]]&amp;" "&amp;Master[[#This Row],[Accession Number -Assigned]]</f>
        <v xml:space="preserve"> </v>
      </c>
      <c r="C200" s="7" t="str">
        <f>Master[[#This Row],[Accession Prefix (NPGS)]]&amp;" "&amp;Master[[#This Row],[Accession Number -Assigned]]&amp;" **"</f>
        <v xml:space="preserve">  **</v>
      </c>
      <c r="D200" s="76" t="str">
        <f>IF(Master[[#This Row],[Accession Name Category (Identifier 2) -Lookup Picker]]="","",Master[[#This Row],[Accession Name Category (Identifier 2) -Lookup Picker]])</f>
        <v/>
      </c>
      <c r="E200" s="76" t="str">
        <f>IF(Master[[#This Row],[Accession Name (Identifier 2)]]="","",Master[[#This Row],[Accession Name (Identifier 2)]])</f>
        <v/>
      </c>
      <c r="F200" s="45" t="str">
        <f>IF(Master[[#This Row],[Accession Name Cooperator (Identifier 2) -name, organization]]="","",Master[[#This Row],[Accession Name Cooperator (Identifier 2) -name, organization]])</f>
        <v/>
      </c>
      <c r="G200" s="7" t="str">
        <f t="shared" si="6"/>
        <v>Y</v>
      </c>
    </row>
    <row r="201" spans="2:7" x14ac:dyDescent="0.25">
      <c r="B201" s="7" t="str">
        <f>Master[[#This Row],[Accession Prefix (NPGS)]]&amp;" "&amp;Master[[#This Row],[Accession Number -Assigned]]</f>
        <v xml:space="preserve"> </v>
      </c>
      <c r="C201" s="7" t="str">
        <f>Master[[#This Row],[Accession Prefix (NPGS)]]&amp;" "&amp;Master[[#This Row],[Accession Number -Assigned]]&amp;" **"</f>
        <v xml:space="preserve">  **</v>
      </c>
      <c r="D201" s="76" t="str">
        <f>IF(Master[[#This Row],[Accession Name Category (Identifier 2) -Lookup Picker]]="","",Master[[#This Row],[Accession Name Category (Identifier 2) -Lookup Picker]])</f>
        <v/>
      </c>
      <c r="E201" s="76" t="str">
        <f>IF(Master[[#This Row],[Accession Name (Identifier 2)]]="","",Master[[#This Row],[Accession Name (Identifier 2)]])</f>
        <v/>
      </c>
      <c r="F201" s="45" t="str">
        <f>IF(Master[[#This Row],[Accession Name Cooperator (Identifier 2) -name, organization]]="","",Master[[#This Row],[Accession Name Cooperator (Identifier 2) -name, organization]])</f>
        <v/>
      </c>
      <c r="G201" s="7" t="str">
        <f t="shared" si="6"/>
        <v>Y</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12B3-8900-4BEF-AAC3-6E658039ACE1}">
  <sheetPr>
    <tabColor theme="0" tint="-0.249977111117893"/>
  </sheetPr>
  <dimension ref="A1:M201"/>
  <sheetViews>
    <sheetView workbookViewId="0">
      <selection activeCell="A2" sqref="A2"/>
    </sheetView>
  </sheetViews>
  <sheetFormatPr defaultColWidth="9.140625" defaultRowHeight="15" x14ac:dyDescent="0.25"/>
  <cols>
    <col min="1" max="1" width="11.85546875" style="141" customWidth="1"/>
    <col min="2" max="2" width="12.85546875" style="141" bestFit="1" customWidth="1"/>
    <col min="3" max="3" width="23.140625" style="141" bestFit="1" customWidth="1"/>
    <col min="4" max="4" width="18.140625" style="141" bestFit="1" customWidth="1"/>
    <col min="5" max="5" width="20.140625" style="141" bestFit="1" customWidth="1"/>
    <col min="6" max="6" width="23.5703125" style="141" bestFit="1" customWidth="1"/>
    <col min="7" max="7" width="8.140625" style="141" customWidth="1"/>
    <col min="8" max="8" width="7.5703125" style="141" customWidth="1"/>
    <col min="9" max="9" width="14.85546875" style="141" bestFit="1" customWidth="1"/>
    <col min="10" max="10" width="31.140625" style="141" bestFit="1" customWidth="1"/>
    <col min="11" max="11" width="13.85546875" style="141" bestFit="1" customWidth="1"/>
    <col min="12" max="12" width="11.7109375" style="141" bestFit="1" customWidth="1"/>
    <col min="13" max="13" width="14.85546875" style="141" bestFit="1" customWidth="1"/>
    <col min="14" max="14" width="23.5703125" style="141" bestFit="1" customWidth="1"/>
    <col min="15" max="16384" width="9.140625" style="141"/>
  </cols>
  <sheetData>
    <row r="1" spans="1:13" s="116" customFormat="1" ht="45" x14ac:dyDescent="0.25">
      <c r="A1" s="116" t="s">
        <v>67</v>
      </c>
      <c r="B1" s="116" t="s">
        <v>10</v>
      </c>
      <c r="C1" s="118" t="s">
        <v>31</v>
      </c>
      <c r="D1" s="118" t="s">
        <v>68</v>
      </c>
      <c r="E1" s="118" t="s">
        <v>69</v>
      </c>
      <c r="F1" s="116" t="s">
        <v>55</v>
      </c>
      <c r="G1" s="118" t="s">
        <v>54</v>
      </c>
      <c r="H1" s="116" t="s">
        <v>9</v>
      </c>
    </row>
    <row r="2" spans="1:13" ht="15.75" x14ac:dyDescent="0.25">
      <c r="A2" s="1"/>
      <c r="B2" s="141" t="str">
        <f>Master[[#This Row],[Accession Prefix (NPGS)]]&amp;" "&amp;Master[[#This Row],[Accession Number -Assigned]]</f>
        <v>W6 57036</v>
      </c>
      <c r="C2" s="141" t="str">
        <f>Master[[#This Row],[Accession Prefix (NPGS)]]&amp;" "&amp;Master[[#This Row],[Accession Number -Assigned]]&amp;" **"</f>
        <v>W6 57036 **</v>
      </c>
      <c r="D2" s="17" t="str">
        <f>IF(Master[[#This Row],[Accession Name Category (Identifier 3) -Lookup Picker]]="","",Master[[#This Row],[Accession Name Category (Identifier 3) -Lookup Picker]])</f>
        <v>Donor identifier</v>
      </c>
      <c r="E2" s="17" t="str">
        <f>IF(Master[[#This Row],[Accession Name (Identifier 3)]]="","",Master[[#This Row],[Accession Name (Identifier 3)]])</f>
        <v>LIKI2-SOS-WY050-182-FREMONT-18</v>
      </c>
      <c r="F2" s="141" t="str">
        <f>IF(Master[[#This Row],[Accession Name Cooperator (Identifier 3) -name, organization]]="","",Master[[#This Row],[Accession Name Cooperator (Identifier 3) -name, organization]])</f>
        <v>Seeds Of Success , , United States Forest Service (Bend)</v>
      </c>
      <c r="G2" s="141" t="str">
        <f>"Y"</f>
        <v>Y</v>
      </c>
      <c r="I2" s="8"/>
      <c r="M2" s="8"/>
    </row>
    <row r="3" spans="1:13" x14ac:dyDescent="0.25">
      <c r="B3" s="141" t="str">
        <f>Master[[#This Row],[Accession Prefix (NPGS)]]&amp;" "&amp;Master[[#This Row],[Accession Number -Assigned]]</f>
        <v xml:space="preserve">W6 </v>
      </c>
      <c r="C3" s="141" t="str">
        <f>Master[[#This Row],[Accession Prefix (NPGS)]]&amp;" "&amp;Master[[#This Row],[Accession Number -Assigned]]&amp;" **"</f>
        <v>W6  **</v>
      </c>
      <c r="D3" s="17" t="str">
        <f>IF(Master[[#This Row],[Accession Name Category (Identifier 3) -Lookup Picker]]="","",Master[[#This Row],[Accession Name Category (Identifier 3) -Lookup Picker]])</f>
        <v/>
      </c>
      <c r="E3" s="17" t="str">
        <f>IF(Master[[#This Row],[Accession Name (Identifier 3)]]="","",Master[[#This Row],[Accession Name (Identifier 3)]])</f>
        <v>SECONDARY_ID</v>
      </c>
      <c r="F3" s="141" t="str">
        <f>IF(Master[[#This Row],[Accession Name Cooperator (Identifier 3) -name, organization]]="","",Master[[#This Row],[Accession Name Cooperator (Identifier 3) -name, organization]])</f>
        <v/>
      </c>
      <c r="G3" s="141" t="str">
        <f t="shared" ref="G3:G66" si="0">"Y"</f>
        <v>Y</v>
      </c>
      <c r="I3" s="8"/>
      <c r="M3" s="8"/>
    </row>
    <row r="4" spans="1:13" x14ac:dyDescent="0.25">
      <c r="B4" s="141" t="str">
        <f>Master[[#This Row],[Accession Prefix (NPGS)]]&amp;" "&amp;Master[[#This Row],[Accession Number -Assigned]]</f>
        <v>W6 59590</v>
      </c>
      <c r="C4" s="141" t="str">
        <f>Master[[#This Row],[Accession Prefix (NPGS)]]&amp;" "&amp;Master[[#This Row],[Accession Number -Assigned]]&amp;" **"</f>
        <v>W6 59590 **</v>
      </c>
      <c r="D4" s="17" t="str">
        <f>IF(Master[[#This Row],[Accession Name Category (Identifier 3) -Lookup Picker]]="","",Master[[#This Row],[Accession Name Category (Identifier 3) -Lookup Picker]])</f>
        <v>Other or unclassified name</v>
      </c>
      <c r="E4" s="17" t="str">
        <f>IF(Master[[#This Row],[Accession Name (Identifier 3)]]="","",Master[[#This Row],[Accession Name (Identifier 3)]])</f>
        <v>EV3</v>
      </c>
      <c r="F4" s="141" t="str">
        <f>IF(Master[[#This Row],[Accession Name Cooperator (Identifier 3) -name, organization]]="","",Master[[#This Row],[Accession Name Cooperator (Identifier 3) -name, organization]])</f>
        <v/>
      </c>
      <c r="G4" s="141" t="str">
        <f t="shared" si="0"/>
        <v>Y</v>
      </c>
      <c r="I4" s="8"/>
      <c r="M4" s="8"/>
    </row>
    <row r="5" spans="1:13" x14ac:dyDescent="0.25">
      <c r="B5" s="141" t="str">
        <f>Master[[#This Row],[Accession Prefix (NPGS)]]&amp;" "&amp;Master[[#This Row],[Accession Number -Assigned]]</f>
        <v>W6 59591</v>
      </c>
      <c r="C5" s="141" t="str">
        <f>Master[[#This Row],[Accession Prefix (NPGS)]]&amp;" "&amp;Master[[#This Row],[Accession Number -Assigned]]&amp;" **"</f>
        <v>W6 59591 **</v>
      </c>
      <c r="D5" s="17" t="str">
        <f>IF(Master[[#This Row],[Accession Name Category (Identifier 3) -Lookup Picker]]="","",Master[[#This Row],[Accession Name Category (Identifier 3) -Lookup Picker]])</f>
        <v>Other or unclassified name</v>
      </c>
      <c r="E5" s="17" t="str">
        <f>IF(Master[[#This Row],[Accession Name (Identifier 3)]]="","",Master[[#This Row],[Accession Name (Identifier 3)]])</f>
        <v>EV2</v>
      </c>
      <c r="F5" s="141" t="str">
        <f>IF(Master[[#This Row],[Accession Name Cooperator (Identifier 3) -name, organization]]="","",Master[[#This Row],[Accession Name Cooperator (Identifier 3) -name, organization]])</f>
        <v/>
      </c>
      <c r="G5" s="141" t="str">
        <f t="shared" si="0"/>
        <v>Y</v>
      </c>
      <c r="I5" s="8"/>
      <c r="M5" s="8"/>
    </row>
    <row r="6" spans="1:13" x14ac:dyDescent="0.25">
      <c r="B6" s="141" t="str">
        <f>Master[[#This Row],[Accession Prefix (NPGS)]]&amp;" "&amp;Master[[#This Row],[Accession Number -Assigned]]</f>
        <v>W6 59592</v>
      </c>
      <c r="C6" s="141" t="str">
        <f>Master[[#This Row],[Accession Prefix (NPGS)]]&amp;" "&amp;Master[[#This Row],[Accession Number -Assigned]]&amp;" **"</f>
        <v>W6 59592 **</v>
      </c>
      <c r="D6" s="17" t="str">
        <f>IF(Master[[#This Row],[Accession Name Category (Identifier 3) -Lookup Picker]]="","",Master[[#This Row],[Accession Name Category (Identifier 3) -Lookup Picker]])</f>
        <v>Other or unclassified name</v>
      </c>
      <c r="E6" s="17" t="str">
        <f>IF(Master[[#This Row],[Accession Name (Identifier 3)]]="","",Master[[#This Row],[Accession Name (Identifier 3)]])</f>
        <v>MG21</v>
      </c>
      <c r="F6" s="141" t="str">
        <f>IF(Master[[#This Row],[Accession Name Cooperator (Identifier 3) -name, organization]]="","",Master[[#This Row],[Accession Name Cooperator (Identifier 3) -name, organization]])</f>
        <v/>
      </c>
      <c r="G6" s="141" t="str">
        <f t="shared" si="0"/>
        <v>Y</v>
      </c>
      <c r="I6" s="8"/>
      <c r="M6" s="8"/>
    </row>
    <row r="7" spans="1:13" x14ac:dyDescent="0.25">
      <c r="B7" s="141" t="str">
        <f>Master[[#This Row],[Accession Prefix (NPGS)]]&amp;" "&amp;Master[[#This Row],[Accession Number -Assigned]]</f>
        <v>W6 59593</v>
      </c>
      <c r="C7" s="141" t="str">
        <f>Master[[#This Row],[Accession Prefix (NPGS)]]&amp;" "&amp;Master[[#This Row],[Accession Number -Assigned]]&amp;" **"</f>
        <v>W6 59593 **</v>
      </c>
      <c r="D7" s="17" t="str">
        <f>IF(Master[[#This Row],[Accession Name Category (Identifier 3) -Lookup Picker]]="","",Master[[#This Row],[Accession Name Category (Identifier 3) -Lookup Picker]])</f>
        <v>Other or unclassified name</v>
      </c>
      <c r="E7" s="17" t="str">
        <f>IF(Master[[#This Row],[Accession Name (Identifier 3)]]="","",Master[[#This Row],[Accession Name (Identifier 3)]])</f>
        <v>MG13</v>
      </c>
      <c r="F7" s="141" t="str">
        <f>IF(Master[[#This Row],[Accession Name Cooperator (Identifier 3) -name, organization]]="","",Master[[#This Row],[Accession Name Cooperator (Identifier 3) -name, organization]])</f>
        <v/>
      </c>
      <c r="G7" s="141" t="str">
        <f t="shared" si="0"/>
        <v>Y</v>
      </c>
      <c r="I7" s="8"/>
      <c r="M7" s="8"/>
    </row>
    <row r="8" spans="1:13" x14ac:dyDescent="0.25">
      <c r="B8" s="141" t="str">
        <f>Master[[#This Row],[Accession Prefix (NPGS)]]&amp;" "&amp;Master[[#This Row],[Accession Number -Assigned]]</f>
        <v>W6 59594</v>
      </c>
      <c r="C8" s="141" t="str">
        <f>Master[[#This Row],[Accession Prefix (NPGS)]]&amp;" "&amp;Master[[#This Row],[Accession Number -Assigned]]&amp;" **"</f>
        <v>W6 59594 **</v>
      </c>
      <c r="D8" s="17" t="str">
        <f>IF(Master[[#This Row],[Accession Name Category (Identifier 3) -Lookup Picker]]="","",Master[[#This Row],[Accession Name Category (Identifier 3) -Lookup Picker]])</f>
        <v>Other or unclassified name</v>
      </c>
      <c r="E8" s="17" t="str">
        <f>IF(Master[[#This Row],[Accession Name (Identifier 3)]]="","",Master[[#This Row],[Accession Name (Identifier 3)]])</f>
        <v>EV14</v>
      </c>
      <c r="F8" s="141" t="str">
        <f>IF(Master[[#This Row],[Accession Name Cooperator (Identifier 3) -name, organization]]="","",Master[[#This Row],[Accession Name Cooperator (Identifier 3) -name, organization]])</f>
        <v/>
      </c>
      <c r="G8" s="141" t="str">
        <f t="shared" si="0"/>
        <v>Y</v>
      </c>
      <c r="I8" s="8"/>
      <c r="M8" s="8"/>
    </row>
    <row r="9" spans="1:13" x14ac:dyDescent="0.25">
      <c r="B9" s="141" t="str">
        <f>Master[[#This Row],[Accession Prefix (NPGS)]]&amp;" "&amp;Master[[#This Row],[Accession Number -Assigned]]</f>
        <v>W6 59595</v>
      </c>
      <c r="C9" s="141" t="str">
        <f>Master[[#This Row],[Accession Prefix (NPGS)]]&amp;" "&amp;Master[[#This Row],[Accession Number -Assigned]]&amp;" **"</f>
        <v>W6 59595 **</v>
      </c>
      <c r="D9" s="17" t="str">
        <f>IF(Master[[#This Row],[Accession Name Category (Identifier 3) -Lookup Picker]]="","",Master[[#This Row],[Accession Name Category (Identifier 3) -Lookup Picker]])</f>
        <v>Other or unclassified name</v>
      </c>
      <c r="E9" s="17" t="str">
        <f>IF(Master[[#This Row],[Accession Name (Identifier 3)]]="","",Master[[#This Row],[Accession Name (Identifier 3)]])</f>
        <v>EV12</v>
      </c>
      <c r="F9" s="141" t="str">
        <f>IF(Master[[#This Row],[Accession Name Cooperator (Identifier 3) -name, organization]]="","",Master[[#This Row],[Accession Name Cooperator (Identifier 3) -name, organization]])</f>
        <v/>
      </c>
      <c r="G9" s="141" t="str">
        <f t="shared" si="0"/>
        <v>Y</v>
      </c>
      <c r="I9" s="8"/>
      <c r="M9" s="8"/>
    </row>
    <row r="10" spans="1:13" x14ac:dyDescent="0.25">
      <c r="B10" s="141" t="str">
        <f>Master[[#This Row],[Accession Prefix (NPGS)]]&amp;" "&amp;Master[[#This Row],[Accession Number -Assigned]]</f>
        <v>W6 59596</v>
      </c>
      <c r="C10" s="141" t="str">
        <f>Master[[#This Row],[Accession Prefix (NPGS)]]&amp;" "&amp;Master[[#This Row],[Accession Number -Assigned]]&amp;" **"</f>
        <v>W6 59596 **</v>
      </c>
      <c r="D10" s="17" t="str">
        <f>IF(Master[[#This Row],[Accession Name Category (Identifier 3) -Lookup Picker]]="","",Master[[#This Row],[Accession Name Category (Identifier 3) -Lookup Picker]])</f>
        <v>Other or unclassified name</v>
      </c>
      <c r="E10" s="17" t="str">
        <f>IF(Master[[#This Row],[Accession Name (Identifier 3)]]="","",Master[[#This Row],[Accession Name (Identifier 3)]])</f>
        <v>EV11</v>
      </c>
      <c r="F10" s="141" t="str">
        <f>IF(Master[[#This Row],[Accession Name Cooperator (Identifier 3) -name, organization]]="","",Master[[#This Row],[Accession Name Cooperator (Identifier 3) -name, organization]])</f>
        <v/>
      </c>
      <c r="G10" s="141" t="str">
        <f t="shared" si="0"/>
        <v>Y</v>
      </c>
      <c r="I10" s="8"/>
      <c r="M10" s="8"/>
    </row>
    <row r="11" spans="1:13" x14ac:dyDescent="0.25">
      <c r="B11" s="141" t="str">
        <f>Master[[#This Row],[Accession Prefix (NPGS)]]&amp;" "&amp;Master[[#This Row],[Accession Number -Assigned]]</f>
        <v>W6 59597</v>
      </c>
      <c r="C11" s="141" t="str">
        <f>Master[[#This Row],[Accession Prefix (NPGS)]]&amp;" "&amp;Master[[#This Row],[Accession Number -Assigned]]&amp;" **"</f>
        <v>W6 59597 **</v>
      </c>
      <c r="D11" s="17" t="str">
        <f>IF(Master[[#This Row],[Accession Name Category (Identifier 3) -Lookup Picker]]="","",Master[[#This Row],[Accession Name Category (Identifier 3) -Lookup Picker]])</f>
        <v>Other or unclassified name</v>
      </c>
      <c r="E11" s="17" t="str">
        <f>IF(Master[[#This Row],[Accession Name (Identifier 3)]]="","",Master[[#This Row],[Accession Name (Identifier 3)]])</f>
        <v>EV10</v>
      </c>
      <c r="F11" s="141" t="str">
        <f>IF(Master[[#This Row],[Accession Name Cooperator (Identifier 3) -name, organization]]="","",Master[[#This Row],[Accession Name Cooperator (Identifier 3) -name, organization]])</f>
        <v/>
      </c>
      <c r="G11" s="141" t="str">
        <f t="shared" si="0"/>
        <v>Y</v>
      </c>
      <c r="I11" s="8"/>
      <c r="M11" s="8"/>
    </row>
    <row r="12" spans="1:13" x14ac:dyDescent="0.25">
      <c r="B12" s="141" t="str">
        <f>Master[[#This Row],[Accession Prefix (NPGS)]]&amp;" "&amp;Master[[#This Row],[Accession Number -Assigned]]</f>
        <v>W6 59598</v>
      </c>
      <c r="C12" s="141" t="str">
        <f>Master[[#This Row],[Accession Prefix (NPGS)]]&amp;" "&amp;Master[[#This Row],[Accession Number -Assigned]]&amp;" **"</f>
        <v>W6 59598 **</v>
      </c>
      <c r="D12" s="17" t="str">
        <f>IF(Master[[#This Row],[Accession Name Category (Identifier 3) -Lookup Picker]]="","",Master[[#This Row],[Accession Name Category (Identifier 3) -Lookup Picker]])</f>
        <v>Other or unclassified name</v>
      </c>
      <c r="E12" s="17" t="str">
        <f>IF(Master[[#This Row],[Accession Name (Identifier 3)]]="","",Master[[#This Row],[Accession Name (Identifier 3)]])</f>
        <v>MG26</v>
      </c>
      <c r="F12" s="141" t="str">
        <f>IF(Master[[#This Row],[Accession Name Cooperator (Identifier 3) -name, organization]]="","",Master[[#This Row],[Accession Name Cooperator (Identifier 3) -name, organization]])</f>
        <v/>
      </c>
      <c r="G12" s="141" t="str">
        <f t="shared" si="0"/>
        <v>Y</v>
      </c>
      <c r="I12" s="8"/>
      <c r="M12" s="8"/>
    </row>
    <row r="13" spans="1:13" x14ac:dyDescent="0.25">
      <c r="B13" s="141" t="str">
        <f>Master[[#This Row],[Accession Prefix (NPGS)]]&amp;" "&amp;Master[[#This Row],[Accession Number -Assigned]]</f>
        <v>W6 59599</v>
      </c>
      <c r="C13" s="141" t="str">
        <f>Master[[#This Row],[Accession Prefix (NPGS)]]&amp;" "&amp;Master[[#This Row],[Accession Number -Assigned]]&amp;" **"</f>
        <v>W6 59599 **</v>
      </c>
      <c r="D13" s="17" t="str">
        <f>IF(Master[[#This Row],[Accession Name Category (Identifier 3) -Lookup Picker]]="","",Master[[#This Row],[Accession Name Category (Identifier 3) -Lookup Picker]])</f>
        <v>Other or unclassified name</v>
      </c>
      <c r="E13" s="17" t="str">
        <f>IF(Master[[#This Row],[Accession Name (Identifier 3)]]="","",Master[[#This Row],[Accession Name (Identifier 3)]])</f>
        <v>MG25</v>
      </c>
      <c r="F13" s="141" t="str">
        <f>IF(Master[[#This Row],[Accession Name Cooperator (Identifier 3) -name, organization]]="","",Master[[#This Row],[Accession Name Cooperator (Identifier 3) -name, organization]])</f>
        <v/>
      </c>
      <c r="G13" s="141" t="str">
        <f t="shared" si="0"/>
        <v>Y</v>
      </c>
      <c r="I13" s="8"/>
      <c r="M13" s="8"/>
    </row>
    <row r="14" spans="1:13" x14ac:dyDescent="0.25">
      <c r="B14" s="141" t="str">
        <f>Master[[#This Row],[Accession Prefix (NPGS)]]&amp;" "&amp;Master[[#This Row],[Accession Number -Assigned]]</f>
        <v>W6 59600</v>
      </c>
      <c r="C14" s="141" t="str">
        <f>Master[[#This Row],[Accession Prefix (NPGS)]]&amp;" "&amp;Master[[#This Row],[Accession Number -Assigned]]&amp;" **"</f>
        <v>W6 59600 **</v>
      </c>
      <c r="D14" s="17" t="str">
        <f>IF(Master[[#This Row],[Accession Name Category (Identifier 3) -Lookup Picker]]="","",Master[[#This Row],[Accession Name Category (Identifier 3) -Lookup Picker]])</f>
        <v>Other or unclassified name</v>
      </c>
      <c r="E14" s="17" t="str">
        <f>IF(Master[[#This Row],[Accession Name (Identifier 3)]]="","",Master[[#This Row],[Accession Name (Identifier 3)]])</f>
        <v>MG23</v>
      </c>
      <c r="F14" s="141" t="str">
        <f>IF(Master[[#This Row],[Accession Name Cooperator (Identifier 3) -name, organization]]="","",Master[[#This Row],[Accession Name Cooperator (Identifier 3) -name, organization]])</f>
        <v/>
      </c>
      <c r="G14" s="141" t="str">
        <f t="shared" si="0"/>
        <v>Y</v>
      </c>
      <c r="I14" s="8"/>
      <c r="M14" s="8"/>
    </row>
    <row r="15" spans="1:13" x14ac:dyDescent="0.25">
      <c r="B15" s="141" t="str">
        <f>Master[[#This Row],[Accession Prefix (NPGS)]]&amp;" "&amp;Master[[#This Row],[Accession Number -Assigned]]</f>
        <v>W6 59601</v>
      </c>
      <c r="C15" s="141" t="str">
        <f>Master[[#This Row],[Accession Prefix (NPGS)]]&amp;" "&amp;Master[[#This Row],[Accession Number -Assigned]]&amp;" **"</f>
        <v>W6 59601 **</v>
      </c>
      <c r="D15" s="17" t="str">
        <f>IF(Master[[#This Row],[Accession Name Category (Identifier 3) -Lookup Picker]]="","",Master[[#This Row],[Accession Name Category (Identifier 3) -Lookup Picker]])</f>
        <v>Other or unclassified name</v>
      </c>
      <c r="E15" s="17" t="str">
        <f>IF(Master[[#This Row],[Accession Name (Identifier 3)]]="","",Master[[#This Row],[Accession Name (Identifier 3)]])</f>
        <v>EV16</v>
      </c>
      <c r="F15" s="141" t="str">
        <f>IF(Master[[#This Row],[Accession Name Cooperator (Identifier 3) -name, organization]]="","",Master[[#This Row],[Accession Name Cooperator (Identifier 3) -name, organization]])</f>
        <v/>
      </c>
      <c r="G15" s="141" t="str">
        <f t="shared" si="0"/>
        <v>Y</v>
      </c>
      <c r="I15" s="8"/>
      <c r="M15" s="8"/>
    </row>
    <row r="16" spans="1:13" x14ac:dyDescent="0.25">
      <c r="B16" s="141" t="str">
        <f>Master[[#This Row],[Accession Prefix (NPGS)]]&amp;" "&amp;Master[[#This Row],[Accession Number -Assigned]]</f>
        <v>W6 59602</v>
      </c>
      <c r="C16" s="141" t="str">
        <f>Master[[#This Row],[Accession Prefix (NPGS)]]&amp;" "&amp;Master[[#This Row],[Accession Number -Assigned]]&amp;" **"</f>
        <v>W6 59602 **</v>
      </c>
      <c r="D16" s="17" t="str">
        <f>IF(Master[[#This Row],[Accession Name Category (Identifier 3) -Lookup Picker]]="","",Master[[#This Row],[Accession Name Category (Identifier 3) -Lookup Picker]])</f>
        <v>Other or unclassified name</v>
      </c>
      <c r="E16" s="17" t="str">
        <f>IF(Master[[#This Row],[Accession Name (Identifier 3)]]="","",Master[[#This Row],[Accession Name (Identifier 3)]])</f>
        <v>EV22</v>
      </c>
      <c r="F16" s="141" t="str">
        <f>IF(Master[[#This Row],[Accession Name Cooperator (Identifier 3) -name, organization]]="","",Master[[#This Row],[Accession Name Cooperator (Identifier 3) -name, organization]])</f>
        <v/>
      </c>
      <c r="G16" s="141" t="str">
        <f t="shared" si="0"/>
        <v>Y</v>
      </c>
      <c r="I16" s="8"/>
      <c r="M16" s="8"/>
    </row>
    <row r="17" spans="2:13" x14ac:dyDescent="0.25">
      <c r="B17" s="141" t="str">
        <f>Master[[#This Row],[Accession Prefix (NPGS)]]&amp;" "&amp;Master[[#This Row],[Accession Number -Assigned]]</f>
        <v>W6 59603</v>
      </c>
      <c r="C17" s="141" t="str">
        <f>Master[[#This Row],[Accession Prefix (NPGS)]]&amp;" "&amp;Master[[#This Row],[Accession Number -Assigned]]&amp;" **"</f>
        <v>W6 59603 **</v>
      </c>
      <c r="D17" s="17" t="str">
        <f>IF(Master[[#This Row],[Accession Name Category (Identifier 3) -Lookup Picker]]="","",Master[[#This Row],[Accession Name Category (Identifier 3) -Lookup Picker]])</f>
        <v>Other or unclassified name</v>
      </c>
      <c r="E17" s="17" t="str">
        <f>IF(Master[[#This Row],[Accession Name (Identifier 3)]]="","",Master[[#This Row],[Accession Name (Identifier 3)]])</f>
        <v>MG33</v>
      </c>
      <c r="F17" s="141" t="str">
        <f>IF(Master[[#This Row],[Accession Name Cooperator (Identifier 3) -name, organization]]="","",Master[[#This Row],[Accession Name Cooperator (Identifier 3) -name, organization]])</f>
        <v/>
      </c>
      <c r="G17" s="141" t="str">
        <f t="shared" si="0"/>
        <v>Y</v>
      </c>
      <c r="I17" s="8"/>
      <c r="M17" s="8"/>
    </row>
    <row r="18" spans="2:13" x14ac:dyDescent="0.25">
      <c r="B18" s="141" t="str">
        <f>Master[[#This Row],[Accession Prefix (NPGS)]]&amp;" "&amp;Master[[#This Row],[Accession Number -Assigned]]</f>
        <v>W6 59604</v>
      </c>
      <c r="C18" s="141" t="str">
        <f>Master[[#This Row],[Accession Prefix (NPGS)]]&amp;" "&amp;Master[[#This Row],[Accession Number -Assigned]]&amp;" **"</f>
        <v>W6 59604 **</v>
      </c>
      <c r="D18" s="17" t="str">
        <f>IF(Master[[#This Row],[Accession Name Category (Identifier 3) -Lookup Picker]]="","",Master[[#This Row],[Accession Name Category (Identifier 3) -Lookup Picker]])</f>
        <v>Other or unclassified name</v>
      </c>
      <c r="E18" s="17" t="str">
        <f>IF(Master[[#This Row],[Accession Name (Identifier 3)]]="","",Master[[#This Row],[Accession Name (Identifier 3)]])</f>
        <v>MG34</v>
      </c>
      <c r="F18" s="141" t="str">
        <f>IF(Master[[#This Row],[Accession Name Cooperator (Identifier 3) -name, organization]]="","",Master[[#This Row],[Accession Name Cooperator (Identifier 3) -name, organization]])</f>
        <v/>
      </c>
      <c r="G18" s="141" t="str">
        <f t="shared" si="0"/>
        <v>Y</v>
      </c>
      <c r="I18" s="8"/>
      <c r="M18" s="8"/>
    </row>
    <row r="19" spans="2:13" x14ac:dyDescent="0.25">
      <c r="B19" s="141" t="str">
        <f>Master[[#This Row],[Accession Prefix (NPGS)]]&amp;" "&amp;Master[[#This Row],[Accession Number -Assigned]]</f>
        <v>W6 59605</v>
      </c>
      <c r="C19" s="141" t="str">
        <f>Master[[#This Row],[Accession Prefix (NPGS)]]&amp;" "&amp;Master[[#This Row],[Accession Number -Assigned]]&amp;" **"</f>
        <v>W6 59605 **</v>
      </c>
      <c r="D19" s="17" t="str">
        <f>IF(Master[[#This Row],[Accession Name Category (Identifier 3) -Lookup Picker]]="","",Master[[#This Row],[Accession Name Category (Identifier 3) -Lookup Picker]])</f>
        <v>Other or unclassified name</v>
      </c>
      <c r="E19" s="17" t="str">
        <f>IF(Master[[#This Row],[Accession Name (Identifier 3)]]="","",Master[[#This Row],[Accession Name (Identifier 3)]])</f>
        <v>MG35</v>
      </c>
      <c r="F19" s="141" t="str">
        <f>IF(Master[[#This Row],[Accession Name Cooperator (Identifier 3) -name, organization]]="","",Master[[#This Row],[Accession Name Cooperator (Identifier 3) -name, organization]])</f>
        <v/>
      </c>
      <c r="G19" s="141" t="str">
        <f t="shared" si="0"/>
        <v>Y</v>
      </c>
      <c r="I19" s="8"/>
      <c r="M19" s="8"/>
    </row>
    <row r="20" spans="2:13" x14ac:dyDescent="0.25">
      <c r="B20" s="141" t="str">
        <f>Master[[#This Row],[Accession Prefix (NPGS)]]&amp;" "&amp;Master[[#This Row],[Accession Number -Assigned]]</f>
        <v>W6 59606</v>
      </c>
      <c r="C20" s="141" t="str">
        <f>Master[[#This Row],[Accession Prefix (NPGS)]]&amp;" "&amp;Master[[#This Row],[Accession Number -Assigned]]&amp;" **"</f>
        <v>W6 59606 **</v>
      </c>
      <c r="D20" s="17" t="str">
        <f>IF(Master[[#This Row],[Accession Name Category (Identifier 3) -Lookup Picker]]="","",Master[[#This Row],[Accession Name Category (Identifier 3) -Lookup Picker]])</f>
        <v>Other or unclassified name</v>
      </c>
      <c r="E20" s="17" t="str">
        <f>IF(Master[[#This Row],[Accession Name (Identifier 3)]]="","",Master[[#This Row],[Accession Name (Identifier 3)]])</f>
        <v>MG29</v>
      </c>
      <c r="F20" s="141" t="str">
        <f>IF(Master[[#This Row],[Accession Name Cooperator (Identifier 3) -name, organization]]="","",Master[[#This Row],[Accession Name Cooperator (Identifier 3) -name, organization]])</f>
        <v/>
      </c>
      <c r="G20" s="141" t="str">
        <f t="shared" si="0"/>
        <v>Y</v>
      </c>
      <c r="I20" s="8"/>
      <c r="M20" s="8"/>
    </row>
    <row r="21" spans="2:13" x14ac:dyDescent="0.25">
      <c r="B21" s="141" t="str">
        <f>Master[[#This Row],[Accession Prefix (NPGS)]]&amp;" "&amp;Master[[#This Row],[Accession Number -Assigned]]</f>
        <v>W6 59607</v>
      </c>
      <c r="C21" s="141" t="str">
        <f>Master[[#This Row],[Accession Prefix (NPGS)]]&amp;" "&amp;Master[[#This Row],[Accession Number -Assigned]]&amp;" **"</f>
        <v>W6 59607 **</v>
      </c>
      <c r="D21" s="17" t="str">
        <f>IF(Master[[#This Row],[Accession Name Category (Identifier 3) -Lookup Picker]]="","",Master[[#This Row],[Accession Name Category (Identifier 3) -Lookup Picker]])</f>
        <v>Other or unclassified name</v>
      </c>
      <c r="E21" s="17" t="str">
        <f>IF(Master[[#This Row],[Accession Name (Identifier 3)]]="","",Master[[#This Row],[Accession Name (Identifier 3)]])</f>
        <v>EV21</v>
      </c>
      <c r="F21" s="141" t="str">
        <f>IF(Master[[#This Row],[Accession Name Cooperator (Identifier 3) -name, organization]]="","",Master[[#This Row],[Accession Name Cooperator (Identifier 3) -name, organization]])</f>
        <v/>
      </c>
      <c r="G21" s="141" t="str">
        <f t="shared" si="0"/>
        <v>Y</v>
      </c>
      <c r="I21" s="8"/>
      <c r="M21" s="8"/>
    </row>
    <row r="22" spans="2:13" x14ac:dyDescent="0.25">
      <c r="B22" s="141" t="str">
        <f>Master[[#This Row],[Accession Prefix (NPGS)]]&amp;" "&amp;Master[[#This Row],[Accession Number -Assigned]]</f>
        <v>W6 59608</v>
      </c>
      <c r="C22" s="141" t="str">
        <f>Master[[#This Row],[Accession Prefix (NPGS)]]&amp;" "&amp;Master[[#This Row],[Accession Number -Assigned]]&amp;" **"</f>
        <v>W6 59608 **</v>
      </c>
      <c r="D22" s="76" t="str">
        <f>IF(Master[[#This Row],[Accession Name Category (Identifier 3) -Lookup Picker]]="","",Master[[#This Row],[Accession Name Category (Identifier 3) -Lookup Picker]])</f>
        <v>Other or unclassified name</v>
      </c>
      <c r="E22" s="76" t="str">
        <f>IF(Master[[#This Row],[Accession Name (Identifier 3)]]="","",Master[[#This Row],[Accession Name (Identifier 3)]])</f>
        <v>EV13</v>
      </c>
      <c r="F22" s="45" t="str">
        <f>IF(Master[[#This Row],[Accession Name Cooperator (Identifier 3) -name, organization]]="","",Master[[#This Row],[Accession Name Cooperator (Identifier 3) -name, organization]])</f>
        <v/>
      </c>
      <c r="G22" s="141" t="str">
        <f t="shared" si="0"/>
        <v>Y</v>
      </c>
      <c r="I22" s="8"/>
      <c r="M22" s="8"/>
    </row>
    <row r="23" spans="2:13" x14ac:dyDescent="0.25">
      <c r="B23" s="141" t="str">
        <f>Master[[#This Row],[Accession Prefix (NPGS)]]&amp;" "&amp;Master[[#This Row],[Accession Number -Assigned]]</f>
        <v>W6 59609</v>
      </c>
      <c r="C23" s="141" t="str">
        <f>Master[[#This Row],[Accession Prefix (NPGS)]]&amp;" "&amp;Master[[#This Row],[Accession Number -Assigned]]&amp;" **"</f>
        <v>W6 59609 **</v>
      </c>
      <c r="D23" s="76" t="str">
        <f>IF(Master[[#This Row],[Accession Name Category (Identifier 3) -Lookup Picker]]="","",Master[[#This Row],[Accession Name Category (Identifier 3) -Lookup Picker]])</f>
        <v>Other or unclassified name</v>
      </c>
      <c r="E23" s="76" t="str">
        <f>IF(Master[[#This Row],[Accession Name (Identifier 3)]]="","",Master[[#This Row],[Accession Name (Identifier 3)]])</f>
        <v>EV17</v>
      </c>
      <c r="F23" s="45" t="str">
        <f>IF(Master[[#This Row],[Accession Name Cooperator (Identifier 3) -name, organization]]="","",Master[[#This Row],[Accession Name Cooperator (Identifier 3) -name, organization]])</f>
        <v/>
      </c>
      <c r="G23" s="141" t="str">
        <f t="shared" si="0"/>
        <v>Y</v>
      </c>
      <c r="I23" s="8"/>
      <c r="M23" s="8"/>
    </row>
    <row r="24" spans="2:13" x14ac:dyDescent="0.25">
      <c r="B24" s="141" t="str">
        <f>Master[[#This Row],[Accession Prefix (NPGS)]]&amp;" "&amp;Master[[#This Row],[Accession Number -Assigned]]</f>
        <v>W6 59610</v>
      </c>
      <c r="C24" s="141" t="str">
        <f>Master[[#This Row],[Accession Prefix (NPGS)]]&amp;" "&amp;Master[[#This Row],[Accession Number -Assigned]]&amp;" **"</f>
        <v>W6 59610 **</v>
      </c>
      <c r="D24" s="76" t="str">
        <f>IF(Master[[#This Row],[Accession Name Category (Identifier 3) -Lookup Picker]]="","",Master[[#This Row],[Accession Name Category (Identifier 3) -Lookup Picker]])</f>
        <v>Other or unclassified name</v>
      </c>
      <c r="E24" s="76" t="str">
        <f>IF(Master[[#This Row],[Accession Name (Identifier 3)]]="","",Master[[#This Row],[Accession Name (Identifier 3)]])</f>
        <v>MG36</v>
      </c>
      <c r="F24" s="45" t="str">
        <f>IF(Master[[#This Row],[Accession Name Cooperator (Identifier 3) -name, organization]]="","",Master[[#This Row],[Accession Name Cooperator (Identifier 3) -name, organization]])</f>
        <v/>
      </c>
      <c r="G24" s="141" t="str">
        <f t="shared" si="0"/>
        <v>Y</v>
      </c>
      <c r="I24" s="8"/>
      <c r="M24" s="8"/>
    </row>
    <row r="25" spans="2:13" x14ac:dyDescent="0.25">
      <c r="B25" s="141" t="str">
        <f>Master[[#This Row],[Accession Prefix (NPGS)]]&amp;" "&amp;Master[[#This Row],[Accession Number -Assigned]]</f>
        <v>W6 59611</v>
      </c>
      <c r="C25" s="141" t="str">
        <f>Master[[#This Row],[Accession Prefix (NPGS)]]&amp;" "&amp;Master[[#This Row],[Accession Number -Assigned]]&amp;" **"</f>
        <v>W6 59611 **</v>
      </c>
      <c r="D25" s="76" t="str">
        <f>IF(Master[[#This Row],[Accession Name Category (Identifier 3) -Lookup Picker]]="","",Master[[#This Row],[Accession Name Category (Identifier 3) -Lookup Picker]])</f>
        <v>Other or unclassified name</v>
      </c>
      <c r="E25" s="76" t="str">
        <f>IF(Master[[#This Row],[Accession Name (Identifier 3)]]="","",Master[[#This Row],[Accession Name (Identifier 3)]])</f>
        <v>EV18</v>
      </c>
      <c r="F25" s="45" t="str">
        <f>IF(Master[[#This Row],[Accession Name Cooperator (Identifier 3) -name, organization]]="","",Master[[#This Row],[Accession Name Cooperator (Identifier 3) -name, organization]])</f>
        <v/>
      </c>
      <c r="G25" s="141" t="str">
        <f t="shared" si="0"/>
        <v>Y</v>
      </c>
      <c r="I25" s="8"/>
      <c r="M25" s="8"/>
    </row>
    <row r="26" spans="2:13" x14ac:dyDescent="0.25">
      <c r="B26" s="141" t="str">
        <f>Master[[#This Row],[Accession Prefix (NPGS)]]&amp;" "&amp;Master[[#This Row],[Accession Number -Assigned]]</f>
        <v>W6 59612</v>
      </c>
      <c r="C26" s="141" t="str">
        <f>Master[[#This Row],[Accession Prefix (NPGS)]]&amp;" "&amp;Master[[#This Row],[Accession Number -Assigned]]&amp;" **"</f>
        <v>W6 59612 **</v>
      </c>
      <c r="D26" s="76" t="str">
        <f>IF(Master[[#This Row],[Accession Name Category (Identifier 3) -Lookup Picker]]="","",Master[[#This Row],[Accession Name Category (Identifier 3) -Lookup Picker]])</f>
        <v>Other or unclassified name</v>
      </c>
      <c r="E26" s="76" t="str">
        <f>IF(Master[[#This Row],[Accession Name (Identifier 3)]]="","",Master[[#This Row],[Accession Name (Identifier 3)]])</f>
        <v>EV19</v>
      </c>
      <c r="F26" s="45" t="str">
        <f>IF(Master[[#This Row],[Accession Name Cooperator (Identifier 3) -name, organization]]="","",Master[[#This Row],[Accession Name Cooperator (Identifier 3) -name, organization]])</f>
        <v/>
      </c>
      <c r="G26" s="141" t="str">
        <f t="shared" si="0"/>
        <v>Y</v>
      </c>
      <c r="I26" s="8"/>
      <c r="M26" s="8"/>
    </row>
    <row r="27" spans="2:13" x14ac:dyDescent="0.25">
      <c r="B27" s="141" t="str">
        <f>Master[[#This Row],[Accession Prefix (NPGS)]]&amp;" "&amp;Master[[#This Row],[Accession Number -Assigned]]</f>
        <v>W6 59613</v>
      </c>
      <c r="C27" s="141" t="str">
        <f>Master[[#This Row],[Accession Prefix (NPGS)]]&amp;" "&amp;Master[[#This Row],[Accession Number -Assigned]]&amp;" **"</f>
        <v>W6 59613 **</v>
      </c>
      <c r="D27" s="76" t="str">
        <f>IF(Master[[#This Row],[Accession Name Category (Identifier 3) -Lookup Picker]]="","",Master[[#This Row],[Accession Name Category (Identifier 3) -Lookup Picker]])</f>
        <v>Other or unclassified name</v>
      </c>
      <c r="E27" s="76" t="str">
        <f>IF(Master[[#This Row],[Accession Name (Identifier 3)]]="","",Master[[#This Row],[Accession Name (Identifier 3)]])</f>
        <v>MG31</v>
      </c>
      <c r="F27" s="45" t="str">
        <f>IF(Master[[#This Row],[Accession Name Cooperator (Identifier 3) -name, organization]]="","",Master[[#This Row],[Accession Name Cooperator (Identifier 3) -name, organization]])</f>
        <v/>
      </c>
      <c r="G27" s="141" t="str">
        <f t="shared" si="0"/>
        <v>Y</v>
      </c>
      <c r="I27" s="8"/>
      <c r="M27" s="8"/>
    </row>
    <row r="28" spans="2:13" x14ac:dyDescent="0.25">
      <c r="B28" s="141" t="str">
        <f>Master[[#This Row],[Accession Prefix (NPGS)]]&amp;" "&amp;Master[[#This Row],[Accession Number -Assigned]]</f>
        <v>W6 59614</v>
      </c>
      <c r="C28" s="141" t="str">
        <f>Master[[#This Row],[Accession Prefix (NPGS)]]&amp;" "&amp;Master[[#This Row],[Accession Number -Assigned]]&amp;" **"</f>
        <v>W6 59614 **</v>
      </c>
      <c r="D28" s="76" t="str">
        <f>IF(Master[[#This Row],[Accession Name Category (Identifier 3) -Lookup Picker]]="","",Master[[#This Row],[Accession Name Category (Identifier 3) -Lookup Picker]])</f>
        <v>Other or unclassified name</v>
      </c>
      <c r="E28" s="76" t="str">
        <f>IF(Master[[#This Row],[Accession Name (Identifier 3)]]="","",Master[[#This Row],[Accession Name (Identifier 3)]])</f>
        <v>EV20</v>
      </c>
      <c r="F28" s="45" t="str">
        <f>IF(Master[[#This Row],[Accession Name Cooperator (Identifier 3) -name, organization]]="","",Master[[#This Row],[Accession Name Cooperator (Identifier 3) -name, organization]])</f>
        <v/>
      </c>
      <c r="G28" s="141" t="str">
        <f t="shared" si="0"/>
        <v>Y</v>
      </c>
      <c r="I28" s="8"/>
      <c r="M28" s="8"/>
    </row>
    <row r="29" spans="2:13" x14ac:dyDescent="0.25">
      <c r="B29" s="141" t="str">
        <f>Master[[#This Row],[Accession Prefix (NPGS)]]&amp;" "&amp;Master[[#This Row],[Accession Number -Assigned]]</f>
        <v>W6 59615</v>
      </c>
      <c r="C29" s="141" t="str">
        <f>Master[[#This Row],[Accession Prefix (NPGS)]]&amp;" "&amp;Master[[#This Row],[Accession Number -Assigned]]&amp;" **"</f>
        <v>W6 59615 **</v>
      </c>
      <c r="D29" s="76" t="str">
        <f>IF(Master[[#This Row],[Accession Name Category (Identifier 3) -Lookup Picker]]="","",Master[[#This Row],[Accession Name Category (Identifier 3) -Lookup Picker]])</f>
        <v>Other or unclassified name</v>
      </c>
      <c r="E29" s="76" t="str">
        <f>IF(Master[[#This Row],[Accession Name (Identifier 3)]]="","",Master[[#This Row],[Accession Name (Identifier 3)]])</f>
        <v>EV26</v>
      </c>
      <c r="F29" s="45" t="str">
        <f>IF(Master[[#This Row],[Accession Name Cooperator (Identifier 3) -name, organization]]="","",Master[[#This Row],[Accession Name Cooperator (Identifier 3) -name, organization]])</f>
        <v/>
      </c>
      <c r="G29" s="141" t="str">
        <f t="shared" si="0"/>
        <v>Y</v>
      </c>
      <c r="I29" s="8"/>
      <c r="M29" s="8"/>
    </row>
    <row r="30" spans="2:13" x14ac:dyDescent="0.25">
      <c r="B30" s="141" t="str">
        <f>Master[[#This Row],[Accession Prefix (NPGS)]]&amp;" "&amp;Master[[#This Row],[Accession Number -Assigned]]</f>
        <v>W6 59616</v>
      </c>
      <c r="C30" s="141" t="str">
        <f>Master[[#This Row],[Accession Prefix (NPGS)]]&amp;" "&amp;Master[[#This Row],[Accession Number -Assigned]]&amp;" **"</f>
        <v>W6 59616 **</v>
      </c>
      <c r="D30" s="76" t="str">
        <f>IF(Master[[#This Row],[Accession Name Category (Identifier 3) -Lookup Picker]]="","",Master[[#This Row],[Accession Name Category (Identifier 3) -Lookup Picker]])</f>
        <v>Other or unclassified name</v>
      </c>
      <c r="E30" s="76" t="str">
        <f>IF(Master[[#This Row],[Accession Name (Identifier 3)]]="","",Master[[#This Row],[Accession Name (Identifier 3)]])</f>
        <v>EV24</v>
      </c>
      <c r="F30" s="45" t="str">
        <f>IF(Master[[#This Row],[Accession Name Cooperator (Identifier 3) -name, organization]]="","",Master[[#This Row],[Accession Name Cooperator (Identifier 3) -name, organization]])</f>
        <v/>
      </c>
      <c r="G30" s="141" t="str">
        <f t="shared" si="0"/>
        <v>Y</v>
      </c>
      <c r="I30" s="8"/>
      <c r="M30" s="8"/>
    </row>
    <row r="31" spans="2:13" x14ac:dyDescent="0.25">
      <c r="B31" s="141" t="str">
        <f>Master[[#This Row],[Accession Prefix (NPGS)]]&amp;" "&amp;Master[[#This Row],[Accession Number -Assigned]]</f>
        <v>W6 59617</v>
      </c>
      <c r="C31" s="141" t="str">
        <f>Master[[#This Row],[Accession Prefix (NPGS)]]&amp;" "&amp;Master[[#This Row],[Accession Number -Assigned]]&amp;" **"</f>
        <v>W6 59617 **</v>
      </c>
      <c r="D31" s="76" t="str">
        <f>IF(Master[[#This Row],[Accession Name Category (Identifier 3) -Lookup Picker]]="","",Master[[#This Row],[Accession Name Category (Identifier 3) -Lookup Picker]])</f>
        <v/>
      </c>
      <c r="E31" s="76" t="str">
        <f>IF(Master[[#This Row],[Accession Name (Identifier 3)]]="","",Master[[#This Row],[Accession Name (Identifier 3)]])</f>
        <v/>
      </c>
      <c r="F31" s="45" t="str">
        <f>IF(Master[[#This Row],[Accession Name Cooperator (Identifier 3) -name, organization]]="","",Master[[#This Row],[Accession Name Cooperator (Identifier 3) -name, organization]])</f>
        <v/>
      </c>
      <c r="G31" s="141" t="str">
        <f t="shared" si="0"/>
        <v>Y</v>
      </c>
      <c r="I31" s="8"/>
      <c r="M31" s="8"/>
    </row>
    <row r="32" spans="2:13" x14ac:dyDescent="0.25">
      <c r="B32" s="141" t="str">
        <f>Master[[#This Row],[Accession Prefix (NPGS)]]&amp;" "&amp;Master[[#This Row],[Accession Number -Assigned]]</f>
        <v>W6 59618</v>
      </c>
      <c r="C32" s="141" t="str">
        <f>Master[[#This Row],[Accession Prefix (NPGS)]]&amp;" "&amp;Master[[#This Row],[Accession Number -Assigned]]&amp;" **"</f>
        <v>W6 59618 **</v>
      </c>
      <c r="D32" s="76" t="str">
        <f>IF(Master[[#This Row],[Accession Name Category (Identifier 3) -Lookup Picker]]="","",Master[[#This Row],[Accession Name Category (Identifier 3) -Lookup Picker]])</f>
        <v/>
      </c>
      <c r="E32" s="76" t="str">
        <f>IF(Master[[#This Row],[Accession Name (Identifier 3)]]="","",Master[[#This Row],[Accession Name (Identifier 3)]])</f>
        <v/>
      </c>
      <c r="F32" s="45" t="str">
        <f>IF(Master[[#This Row],[Accession Name Cooperator (Identifier 3) -name, organization]]="","",Master[[#This Row],[Accession Name Cooperator (Identifier 3) -name, organization]])</f>
        <v/>
      </c>
      <c r="G32" s="141" t="str">
        <f t="shared" si="0"/>
        <v>Y</v>
      </c>
      <c r="I32" s="8"/>
      <c r="M32" s="8"/>
    </row>
    <row r="33" spans="2:13" x14ac:dyDescent="0.25">
      <c r="B33" s="141" t="str">
        <f>Master[[#This Row],[Accession Prefix (NPGS)]]&amp;" "&amp;Master[[#This Row],[Accession Number -Assigned]]</f>
        <v>W6 59619</v>
      </c>
      <c r="C33" s="141" t="str">
        <f>Master[[#This Row],[Accession Prefix (NPGS)]]&amp;" "&amp;Master[[#This Row],[Accession Number -Assigned]]&amp;" **"</f>
        <v>W6 59619 **</v>
      </c>
      <c r="D33" s="76" t="str">
        <f>IF(Master[[#This Row],[Accession Name Category (Identifier 3) -Lookup Picker]]="","",Master[[#This Row],[Accession Name Category (Identifier 3) -Lookup Picker]])</f>
        <v/>
      </c>
      <c r="E33" s="76" t="str">
        <f>IF(Master[[#This Row],[Accession Name (Identifier 3)]]="","",Master[[#This Row],[Accession Name (Identifier 3)]])</f>
        <v/>
      </c>
      <c r="F33" s="45" t="str">
        <f>IF(Master[[#This Row],[Accession Name Cooperator (Identifier 3) -name, organization]]="","",Master[[#This Row],[Accession Name Cooperator (Identifier 3) -name, organization]])</f>
        <v/>
      </c>
      <c r="G33" s="141" t="str">
        <f t="shared" si="0"/>
        <v>Y</v>
      </c>
      <c r="I33" s="8"/>
      <c r="M33" s="8"/>
    </row>
    <row r="34" spans="2:13" x14ac:dyDescent="0.25">
      <c r="B34" s="141" t="str">
        <f>Master[[#This Row],[Accession Prefix (NPGS)]]&amp;" "&amp;Master[[#This Row],[Accession Number -Assigned]]</f>
        <v>W6 59620</v>
      </c>
      <c r="C34" s="141" t="str">
        <f>Master[[#This Row],[Accession Prefix (NPGS)]]&amp;" "&amp;Master[[#This Row],[Accession Number -Assigned]]&amp;" **"</f>
        <v>W6 59620 **</v>
      </c>
      <c r="D34" s="76" t="str">
        <f>IF(Master[[#This Row],[Accession Name Category (Identifier 3) -Lookup Picker]]="","",Master[[#This Row],[Accession Name Category (Identifier 3) -Lookup Picker]])</f>
        <v/>
      </c>
      <c r="E34" s="76" t="str">
        <f>IF(Master[[#This Row],[Accession Name (Identifier 3)]]="","",Master[[#This Row],[Accession Name (Identifier 3)]])</f>
        <v/>
      </c>
      <c r="F34" s="45" t="str">
        <f>IF(Master[[#This Row],[Accession Name Cooperator (Identifier 3) -name, organization]]="","",Master[[#This Row],[Accession Name Cooperator (Identifier 3) -name, organization]])</f>
        <v/>
      </c>
      <c r="G34" s="141" t="str">
        <f t="shared" si="0"/>
        <v>Y</v>
      </c>
      <c r="I34" s="8"/>
      <c r="M34" s="8"/>
    </row>
    <row r="35" spans="2:13" x14ac:dyDescent="0.25">
      <c r="B35" s="141" t="str">
        <f>Master[[#This Row],[Accession Prefix (NPGS)]]&amp;" "&amp;Master[[#This Row],[Accession Number -Assigned]]</f>
        <v>W6 59621</v>
      </c>
      <c r="C35" s="141" t="str">
        <f>Master[[#This Row],[Accession Prefix (NPGS)]]&amp;" "&amp;Master[[#This Row],[Accession Number -Assigned]]&amp;" **"</f>
        <v>W6 59621 **</v>
      </c>
      <c r="D35" s="76" t="str">
        <f>IF(Master[[#This Row],[Accession Name Category (Identifier 3) -Lookup Picker]]="","",Master[[#This Row],[Accession Name Category (Identifier 3) -Lookup Picker]])</f>
        <v/>
      </c>
      <c r="E35" s="76" t="str">
        <f>IF(Master[[#This Row],[Accession Name (Identifier 3)]]="","",Master[[#This Row],[Accession Name (Identifier 3)]])</f>
        <v/>
      </c>
      <c r="F35" s="45" t="str">
        <f>IF(Master[[#This Row],[Accession Name Cooperator (Identifier 3) -name, organization]]="","",Master[[#This Row],[Accession Name Cooperator (Identifier 3) -name, organization]])</f>
        <v/>
      </c>
      <c r="G35" s="141" t="str">
        <f t="shared" si="0"/>
        <v>Y</v>
      </c>
      <c r="I35" s="8"/>
      <c r="M35" s="8"/>
    </row>
    <row r="36" spans="2:13" x14ac:dyDescent="0.25">
      <c r="B36" s="141" t="str">
        <f>Master[[#This Row],[Accession Prefix (NPGS)]]&amp;" "&amp;Master[[#This Row],[Accession Number -Assigned]]</f>
        <v>W6 59622</v>
      </c>
      <c r="C36" s="141" t="str">
        <f>Master[[#This Row],[Accession Prefix (NPGS)]]&amp;" "&amp;Master[[#This Row],[Accession Number -Assigned]]&amp;" **"</f>
        <v>W6 59622 **</v>
      </c>
      <c r="D36" s="76" t="str">
        <f>IF(Master[[#This Row],[Accession Name Category (Identifier 3) -Lookup Picker]]="","",Master[[#This Row],[Accession Name Category (Identifier 3) -Lookup Picker]])</f>
        <v/>
      </c>
      <c r="E36" s="76" t="str">
        <f>IF(Master[[#This Row],[Accession Name (Identifier 3)]]="","",Master[[#This Row],[Accession Name (Identifier 3)]])</f>
        <v/>
      </c>
      <c r="F36" s="45" t="str">
        <f>IF(Master[[#This Row],[Accession Name Cooperator (Identifier 3) -name, organization]]="","",Master[[#This Row],[Accession Name Cooperator (Identifier 3) -name, organization]])</f>
        <v/>
      </c>
      <c r="G36" s="141" t="str">
        <f t="shared" si="0"/>
        <v>Y</v>
      </c>
      <c r="I36" s="8"/>
      <c r="M36" s="8"/>
    </row>
    <row r="37" spans="2:13" x14ac:dyDescent="0.25">
      <c r="B37" s="141" t="str">
        <f>Master[[#This Row],[Accession Prefix (NPGS)]]&amp;" "&amp;Master[[#This Row],[Accession Number -Assigned]]</f>
        <v>W6 59623</v>
      </c>
      <c r="C37" s="141" t="str">
        <f>Master[[#This Row],[Accession Prefix (NPGS)]]&amp;" "&amp;Master[[#This Row],[Accession Number -Assigned]]&amp;" **"</f>
        <v>W6 59623 **</v>
      </c>
      <c r="D37" s="76" t="str">
        <f>IF(Master[[#This Row],[Accession Name Category (Identifier 3) -Lookup Picker]]="","",Master[[#This Row],[Accession Name Category (Identifier 3) -Lookup Picker]])</f>
        <v/>
      </c>
      <c r="E37" s="76" t="str">
        <f>IF(Master[[#This Row],[Accession Name (Identifier 3)]]="","",Master[[#This Row],[Accession Name (Identifier 3)]])</f>
        <v/>
      </c>
      <c r="F37" s="45" t="str">
        <f>IF(Master[[#This Row],[Accession Name Cooperator (Identifier 3) -name, organization]]="","",Master[[#This Row],[Accession Name Cooperator (Identifier 3) -name, organization]])</f>
        <v/>
      </c>
      <c r="G37" s="141" t="str">
        <f t="shared" si="0"/>
        <v>Y</v>
      </c>
      <c r="I37" s="8"/>
      <c r="M37" s="8"/>
    </row>
    <row r="38" spans="2:13" x14ac:dyDescent="0.25">
      <c r="B38" s="141" t="str">
        <f>Master[[#This Row],[Accession Prefix (NPGS)]]&amp;" "&amp;Master[[#This Row],[Accession Number -Assigned]]</f>
        <v>W6 59624</v>
      </c>
      <c r="C38" s="141" t="str">
        <f>Master[[#This Row],[Accession Prefix (NPGS)]]&amp;" "&amp;Master[[#This Row],[Accession Number -Assigned]]&amp;" **"</f>
        <v>W6 59624 **</v>
      </c>
      <c r="D38" s="76" t="str">
        <f>IF(Master[[#This Row],[Accession Name Category (Identifier 3) -Lookup Picker]]="","",Master[[#This Row],[Accession Name Category (Identifier 3) -Lookup Picker]])</f>
        <v/>
      </c>
      <c r="E38" s="76" t="str">
        <f>IF(Master[[#This Row],[Accession Name (Identifier 3)]]="","",Master[[#This Row],[Accession Name (Identifier 3)]])</f>
        <v/>
      </c>
      <c r="F38" s="45" t="str">
        <f>IF(Master[[#This Row],[Accession Name Cooperator (Identifier 3) -name, organization]]="","",Master[[#This Row],[Accession Name Cooperator (Identifier 3) -name, organization]])</f>
        <v/>
      </c>
      <c r="G38" s="141" t="str">
        <f t="shared" si="0"/>
        <v>Y</v>
      </c>
      <c r="I38" s="8"/>
      <c r="M38" s="8"/>
    </row>
    <row r="39" spans="2:13" x14ac:dyDescent="0.25">
      <c r="B39" s="141" t="str">
        <f>Master[[#This Row],[Accession Prefix (NPGS)]]&amp;" "&amp;Master[[#This Row],[Accession Number -Assigned]]</f>
        <v>W6 59625</v>
      </c>
      <c r="C39" s="141" t="str">
        <f>Master[[#This Row],[Accession Prefix (NPGS)]]&amp;" "&amp;Master[[#This Row],[Accession Number -Assigned]]&amp;" **"</f>
        <v>W6 59625 **</v>
      </c>
      <c r="D39" s="76" t="str">
        <f>IF(Master[[#This Row],[Accession Name Category (Identifier 3) -Lookup Picker]]="","",Master[[#This Row],[Accession Name Category (Identifier 3) -Lookup Picker]])</f>
        <v/>
      </c>
      <c r="E39" s="76" t="str">
        <f>IF(Master[[#This Row],[Accession Name (Identifier 3)]]="","",Master[[#This Row],[Accession Name (Identifier 3)]])</f>
        <v/>
      </c>
      <c r="F39" s="45" t="str">
        <f>IF(Master[[#This Row],[Accession Name Cooperator (Identifier 3) -name, organization]]="","",Master[[#This Row],[Accession Name Cooperator (Identifier 3) -name, organization]])</f>
        <v/>
      </c>
      <c r="G39" s="141" t="str">
        <f t="shared" si="0"/>
        <v>Y</v>
      </c>
      <c r="I39" s="8"/>
      <c r="M39" s="8"/>
    </row>
    <row r="40" spans="2:13" x14ac:dyDescent="0.25">
      <c r="B40" s="141" t="str">
        <f>Master[[#This Row],[Accession Prefix (NPGS)]]&amp;" "&amp;Master[[#This Row],[Accession Number -Assigned]]</f>
        <v>W6 59626</v>
      </c>
      <c r="C40" s="141" t="str">
        <f>Master[[#This Row],[Accession Prefix (NPGS)]]&amp;" "&amp;Master[[#This Row],[Accession Number -Assigned]]&amp;" **"</f>
        <v>W6 59626 **</v>
      </c>
      <c r="D40" s="76" t="str">
        <f>IF(Master[[#This Row],[Accession Name Category (Identifier 3) -Lookup Picker]]="","",Master[[#This Row],[Accession Name Category (Identifier 3) -Lookup Picker]])</f>
        <v/>
      </c>
      <c r="E40" s="76" t="str">
        <f>IF(Master[[#This Row],[Accession Name (Identifier 3)]]="","",Master[[#This Row],[Accession Name (Identifier 3)]])</f>
        <v/>
      </c>
      <c r="F40" s="45" t="str">
        <f>IF(Master[[#This Row],[Accession Name Cooperator (Identifier 3) -name, organization]]="","",Master[[#This Row],[Accession Name Cooperator (Identifier 3) -name, organization]])</f>
        <v/>
      </c>
      <c r="G40" s="141" t="str">
        <f t="shared" si="0"/>
        <v>Y</v>
      </c>
      <c r="I40" s="8"/>
      <c r="M40" s="8"/>
    </row>
    <row r="41" spans="2:13" x14ac:dyDescent="0.25">
      <c r="B41" s="141" t="str">
        <f>Master[[#This Row],[Accession Prefix (NPGS)]]&amp;" "&amp;Master[[#This Row],[Accession Number -Assigned]]</f>
        <v>W6 59627</v>
      </c>
      <c r="C41" s="141" t="str">
        <f>Master[[#This Row],[Accession Prefix (NPGS)]]&amp;" "&amp;Master[[#This Row],[Accession Number -Assigned]]&amp;" **"</f>
        <v>W6 59627 **</v>
      </c>
      <c r="D41" s="76" t="str">
        <f>IF(Master[[#This Row],[Accession Name Category (Identifier 3) -Lookup Picker]]="","",Master[[#This Row],[Accession Name Category (Identifier 3) -Lookup Picker]])</f>
        <v/>
      </c>
      <c r="E41" s="76" t="str">
        <f>IF(Master[[#This Row],[Accession Name (Identifier 3)]]="","",Master[[#This Row],[Accession Name (Identifier 3)]])</f>
        <v/>
      </c>
      <c r="F41" s="45" t="str">
        <f>IF(Master[[#This Row],[Accession Name Cooperator (Identifier 3) -name, organization]]="","",Master[[#This Row],[Accession Name Cooperator (Identifier 3) -name, organization]])</f>
        <v/>
      </c>
      <c r="G41" s="141" t="str">
        <f t="shared" si="0"/>
        <v>Y</v>
      </c>
      <c r="I41" s="8"/>
      <c r="M41" s="8"/>
    </row>
    <row r="42" spans="2:13" x14ac:dyDescent="0.25">
      <c r="B42" s="141" t="str">
        <f>Master[[#This Row],[Accession Prefix (NPGS)]]&amp;" "&amp;Master[[#This Row],[Accession Number -Assigned]]</f>
        <v>W6 59628</v>
      </c>
      <c r="C42" s="141" t="str">
        <f>Master[[#This Row],[Accession Prefix (NPGS)]]&amp;" "&amp;Master[[#This Row],[Accession Number -Assigned]]&amp;" **"</f>
        <v>W6 59628 **</v>
      </c>
      <c r="D42" s="76" t="str">
        <f>IF(Master[[#This Row],[Accession Name Category (Identifier 3) -Lookup Picker]]="","",Master[[#This Row],[Accession Name Category (Identifier 3) -Lookup Picker]])</f>
        <v/>
      </c>
      <c r="E42" s="76" t="str">
        <f>IF(Master[[#This Row],[Accession Name (Identifier 3)]]="","",Master[[#This Row],[Accession Name (Identifier 3)]])</f>
        <v/>
      </c>
      <c r="F42" s="45" t="str">
        <f>IF(Master[[#This Row],[Accession Name Cooperator (Identifier 3) -name, organization]]="","",Master[[#This Row],[Accession Name Cooperator (Identifier 3) -name, organization]])</f>
        <v/>
      </c>
      <c r="G42" s="141" t="str">
        <f t="shared" si="0"/>
        <v>Y</v>
      </c>
      <c r="I42" s="8"/>
      <c r="M42" s="8"/>
    </row>
    <row r="43" spans="2:13" x14ac:dyDescent="0.25">
      <c r="B43" s="141" t="str">
        <f>Master[[#This Row],[Accession Prefix (NPGS)]]&amp;" "&amp;Master[[#This Row],[Accession Number -Assigned]]</f>
        <v>W6 59629</v>
      </c>
      <c r="C43" s="141" t="str">
        <f>Master[[#This Row],[Accession Prefix (NPGS)]]&amp;" "&amp;Master[[#This Row],[Accession Number -Assigned]]&amp;" **"</f>
        <v>W6 59629 **</v>
      </c>
      <c r="D43" s="76" t="str">
        <f>IF(Master[[#This Row],[Accession Name Category (Identifier 3) -Lookup Picker]]="","",Master[[#This Row],[Accession Name Category (Identifier 3) -Lookup Picker]])</f>
        <v/>
      </c>
      <c r="E43" s="76" t="str">
        <f>IF(Master[[#This Row],[Accession Name (Identifier 3)]]="","",Master[[#This Row],[Accession Name (Identifier 3)]])</f>
        <v/>
      </c>
      <c r="F43" s="45" t="str">
        <f>IF(Master[[#This Row],[Accession Name Cooperator (Identifier 3) -name, organization]]="","",Master[[#This Row],[Accession Name Cooperator (Identifier 3) -name, organization]])</f>
        <v/>
      </c>
      <c r="G43" s="141" t="str">
        <f t="shared" si="0"/>
        <v>Y</v>
      </c>
      <c r="I43" s="8"/>
      <c r="M43" s="8"/>
    </row>
    <row r="44" spans="2:13" x14ac:dyDescent="0.25">
      <c r="B44" s="141" t="str">
        <f>Master[[#This Row],[Accession Prefix (NPGS)]]&amp;" "&amp;Master[[#This Row],[Accession Number -Assigned]]</f>
        <v>W6 59630</v>
      </c>
      <c r="C44" s="141" t="str">
        <f>Master[[#This Row],[Accession Prefix (NPGS)]]&amp;" "&amp;Master[[#This Row],[Accession Number -Assigned]]&amp;" **"</f>
        <v>W6 59630 **</v>
      </c>
      <c r="D44" s="76" t="str">
        <f>IF(Master[[#This Row],[Accession Name Category (Identifier 3) -Lookup Picker]]="","",Master[[#This Row],[Accession Name Category (Identifier 3) -Lookup Picker]])</f>
        <v/>
      </c>
      <c r="E44" s="76" t="str">
        <f>IF(Master[[#This Row],[Accession Name (Identifier 3)]]="","",Master[[#This Row],[Accession Name (Identifier 3)]])</f>
        <v/>
      </c>
      <c r="F44" s="45" t="str">
        <f>IF(Master[[#This Row],[Accession Name Cooperator (Identifier 3) -name, organization]]="","",Master[[#This Row],[Accession Name Cooperator (Identifier 3) -name, organization]])</f>
        <v/>
      </c>
      <c r="G44" s="141" t="str">
        <f t="shared" si="0"/>
        <v>Y</v>
      </c>
      <c r="I44" s="8"/>
      <c r="M44" s="8"/>
    </row>
    <row r="45" spans="2:13" x14ac:dyDescent="0.25">
      <c r="B45" s="141" t="str">
        <f>Master[[#This Row],[Accession Prefix (NPGS)]]&amp;" "&amp;Master[[#This Row],[Accession Number -Assigned]]</f>
        <v>W6 59631</v>
      </c>
      <c r="C45" s="141" t="str">
        <f>Master[[#This Row],[Accession Prefix (NPGS)]]&amp;" "&amp;Master[[#This Row],[Accession Number -Assigned]]&amp;" **"</f>
        <v>W6 59631 **</v>
      </c>
      <c r="D45" s="76" t="str">
        <f>IF(Master[[#This Row],[Accession Name Category (Identifier 3) -Lookup Picker]]="","",Master[[#This Row],[Accession Name Category (Identifier 3) -Lookup Picker]])</f>
        <v/>
      </c>
      <c r="E45" s="76" t="str">
        <f>IF(Master[[#This Row],[Accession Name (Identifier 3)]]="","",Master[[#This Row],[Accession Name (Identifier 3)]])</f>
        <v/>
      </c>
      <c r="F45" s="45" t="str">
        <f>IF(Master[[#This Row],[Accession Name Cooperator (Identifier 3) -name, organization]]="","",Master[[#This Row],[Accession Name Cooperator (Identifier 3) -name, organization]])</f>
        <v/>
      </c>
      <c r="G45" s="141" t="str">
        <f t="shared" si="0"/>
        <v>Y</v>
      </c>
      <c r="I45" s="8"/>
      <c r="M45" s="8"/>
    </row>
    <row r="46" spans="2:13" x14ac:dyDescent="0.25">
      <c r="B46" s="141" t="str">
        <f>Master[[#This Row],[Accession Prefix (NPGS)]]&amp;" "&amp;Master[[#This Row],[Accession Number -Assigned]]</f>
        <v>W6 59632</v>
      </c>
      <c r="C46" s="141" t="str">
        <f>Master[[#This Row],[Accession Prefix (NPGS)]]&amp;" "&amp;Master[[#This Row],[Accession Number -Assigned]]&amp;" **"</f>
        <v>W6 59632 **</v>
      </c>
      <c r="D46" s="76" t="str">
        <f>IF(Master[[#This Row],[Accession Name Category (Identifier 3) -Lookup Picker]]="","",Master[[#This Row],[Accession Name Category (Identifier 3) -Lookup Picker]])</f>
        <v/>
      </c>
      <c r="E46" s="76" t="str">
        <f>IF(Master[[#This Row],[Accession Name (Identifier 3)]]="","",Master[[#This Row],[Accession Name (Identifier 3)]])</f>
        <v/>
      </c>
      <c r="F46" s="45" t="str">
        <f>IF(Master[[#This Row],[Accession Name Cooperator (Identifier 3) -name, organization]]="","",Master[[#This Row],[Accession Name Cooperator (Identifier 3) -name, organization]])</f>
        <v/>
      </c>
      <c r="G46" s="141" t="str">
        <f t="shared" si="0"/>
        <v>Y</v>
      </c>
      <c r="I46" s="8"/>
      <c r="M46" s="8"/>
    </row>
    <row r="47" spans="2:13" x14ac:dyDescent="0.25">
      <c r="B47" s="141" t="str">
        <f>Master[[#This Row],[Accession Prefix (NPGS)]]&amp;" "&amp;Master[[#This Row],[Accession Number -Assigned]]</f>
        <v>W6 59633</v>
      </c>
      <c r="C47" s="141" t="str">
        <f>Master[[#This Row],[Accession Prefix (NPGS)]]&amp;" "&amp;Master[[#This Row],[Accession Number -Assigned]]&amp;" **"</f>
        <v>W6 59633 **</v>
      </c>
      <c r="D47" s="76" t="str">
        <f>IF(Master[[#This Row],[Accession Name Category (Identifier 3) -Lookup Picker]]="","",Master[[#This Row],[Accession Name Category (Identifier 3) -Lookup Picker]])</f>
        <v/>
      </c>
      <c r="E47" s="76" t="str">
        <f>IF(Master[[#This Row],[Accession Name (Identifier 3)]]="","",Master[[#This Row],[Accession Name (Identifier 3)]])</f>
        <v/>
      </c>
      <c r="F47" s="45" t="str">
        <f>IF(Master[[#This Row],[Accession Name Cooperator (Identifier 3) -name, organization]]="","",Master[[#This Row],[Accession Name Cooperator (Identifier 3) -name, organization]])</f>
        <v/>
      </c>
      <c r="G47" s="141" t="str">
        <f t="shared" si="0"/>
        <v>Y</v>
      </c>
      <c r="I47" s="8"/>
      <c r="M47" s="8"/>
    </row>
    <row r="48" spans="2:13" x14ac:dyDescent="0.25">
      <c r="B48" s="141" t="str">
        <f>Master[[#This Row],[Accession Prefix (NPGS)]]&amp;" "&amp;Master[[#This Row],[Accession Number -Assigned]]</f>
        <v>W6 59634</v>
      </c>
      <c r="C48" s="141" t="str">
        <f>Master[[#This Row],[Accession Prefix (NPGS)]]&amp;" "&amp;Master[[#This Row],[Accession Number -Assigned]]&amp;" **"</f>
        <v>W6 59634 **</v>
      </c>
      <c r="D48" s="76" t="str">
        <f>IF(Master[[#This Row],[Accession Name Category (Identifier 3) -Lookup Picker]]="","",Master[[#This Row],[Accession Name Category (Identifier 3) -Lookup Picker]])</f>
        <v/>
      </c>
      <c r="E48" s="76" t="str">
        <f>IF(Master[[#This Row],[Accession Name (Identifier 3)]]="","",Master[[#This Row],[Accession Name (Identifier 3)]])</f>
        <v/>
      </c>
      <c r="F48" s="45" t="str">
        <f>IF(Master[[#This Row],[Accession Name Cooperator (Identifier 3) -name, organization]]="","",Master[[#This Row],[Accession Name Cooperator (Identifier 3) -name, organization]])</f>
        <v/>
      </c>
      <c r="G48" s="141" t="str">
        <f t="shared" si="0"/>
        <v>Y</v>
      </c>
      <c r="I48" s="8"/>
      <c r="M48" s="8"/>
    </row>
    <row r="49" spans="2:13" x14ac:dyDescent="0.25">
      <c r="B49" s="141" t="str">
        <f>Master[[#This Row],[Accession Prefix (NPGS)]]&amp;" "&amp;Master[[#This Row],[Accession Number -Assigned]]</f>
        <v>W6 59635</v>
      </c>
      <c r="C49" s="141" t="str">
        <f>Master[[#This Row],[Accession Prefix (NPGS)]]&amp;" "&amp;Master[[#This Row],[Accession Number -Assigned]]&amp;" **"</f>
        <v>W6 59635 **</v>
      </c>
      <c r="D49" s="76" t="str">
        <f>IF(Master[[#This Row],[Accession Name Category (Identifier 3) -Lookup Picker]]="","",Master[[#This Row],[Accession Name Category (Identifier 3) -Lookup Picker]])</f>
        <v/>
      </c>
      <c r="E49" s="76" t="str">
        <f>IF(Master[[#This Row],[Accession Name (Identifier 3)]]="","",Master[[#This Row],[Accession Name (Identifier 3)]])</f>
        <v/>
      </c>
      <c r="F49" s="45" t="str">
        <f>IF(Master[[#This Row],[Accession Name Cooperator (Identifier 3) -name, organization]]="","",Master[[#This Row],[Accession Name Cooperator (Identifier 3) -name, organization]])</f>
        <v/>
      </c>
      <c r="G49" s="141" t="str">
        <f t="shared" si="0"/>
        <v>Y</v>
      </c>
      <c r="I49" s="8"/>
      <c r="M49" s="8"/>
    </row>
    <row r="50" spans="2:13" x14ac:dyDescent="0.25">
      <c r="B50" s="141" t="str">
        <f>Master[[#This Row],[Accession Prefix (NPGS)]]&amp;" "&amp;Master[[#This Row],[Accession Number -Assigned]]</f>
        <v>W6 59636</v>
      </c>
      <c r="C50" s="141" t="str">
        <f>Master[[#This Row],[Accession Prefix (NPGS)]]&amp;" "&amp;Master[[#This Row],[Accession Number -Assigned]]&amp;" **"</f>
        <v>W6 59636 **</v>
      </c>
      <c r="D50" s="76" t="str">
        <f>IF(Master[[#This Row],[Accession Name Category (Identifier 3) -Lookup Picker]]="","",Master[[#This Row],[Accession Name Category (Identifier 3) -Lookup Picker]])</f>
        <v/>
      </c>
      <c r="E50" s="76" t="str">
        <f>IF(Master[[#This Row],[Accession Name (Identifier 3)]]="","",Master[[#This Row],[Accession Name (Identifier 3)]])</f>
        <v/>
      </c>
      <c r="F50" s="45" t="str">
        <f>IF(Master[[#This Row],[Accession Name Cooperator (Identifier 3) -name, organization]]="","",Master[[#This Row],[Accession Name Cooperator (Identifier 3) -name, organization]])</f>
        <v/>
      </c>
      <c r="G50" s="141" t="str">
        <f t="shared" si="0"/>
        <v>Y</v>
      </c>
      <c r="I50" s="8"/>
      <c r="M50" s="8"/>
    </row>
    <row r="51" spans="2:13" x14ac:dyDescent="0.25">
      <c r="B51" s="141" t="str">
        <f>Master[[#This Row],[Accession Prefix (NPGS)]]&amp;" "&amp;Master[[#This Row],[Accession Number -Assigned]]</f>
        <v>W6 59637</v>
      </c>
      <c r="C51" s="141" t="str">
        <f>Master[[#This Row],[Accession Prefix (NPGS)]]&amp;" "&amp;Master[[#This Row],[Accession Number -Assigned]]&amp;" **"</f>
        <v>W6 59637 **</v>
      </c>
      <c r="D51" s="76" t="str">
        <f>IF(Master[[#This Row],[Accession Name Category (Identifier 3) -Lookup Picker]]="","",Master[[#This Row],[Accession Name Category (Identifier 3) -Lookup Picker]])</f>
        <v/>
      </c>
      <c r="E51" s="76" t="str">
        <f>IF(Master[[#This Row],[Accession Name (Identifier 3)]]="","",Master[[#This Row],[Accession Name (Identifier 3)]])</f>
        <v/>
      </c>
      <c r="F51" s="45" t="str">
        <f>IF(Master[[#This Row],[Accession Name Cooperator (Identifier 3) -name, organization]]="","",Master[[#This Row],[Accession Name Cooperator (Identifier 3) -name, organization]])</f>
        <v/>
      </c>
      <c r="G51" s="141" t="str">
        <f t="shared" si="0"/>
        <v>Y</v>
      </c>
      <c r="I51" s="8"/>
      <c r="M51" s="8"/>
    </row>
    <row r="52" spans="2:13" x14ac:dyDescent="0.25">
      <c r="B52" s="141" t="str">
        <f>Master[[#This Row],[Accession Prefix (NPGS)]]&amp;" "&amp;Master[[#This Row],[Accession Number -Assigned]]</f>
        <v>W6 59638</v>
      </c>
      <c r="C52" s="141" t="str">
        <f>Master[[#This Row],[Accession Prefix (NPGS)]]&amp;" "&amp;Master[[#This Row],[Accession Number -Assigned]]&amp;" **"</f>
        <v>W6 59638 **</v>
      </c>
      <c r="D52" s="76" t="str">
        <f>IF(Master[[#This Row],[Accession Name Category (Identifier 3) -Lookup Picker]]="","",Master[[#This Row],[Accession Name Category (Identifier 3) -Lookup Picker]])</f>
        <v/>
      </c>
      <c r="E52" s="76" t="str">
        <f>IF(Master[[#This Row],[Accession Name (Identifier 3)]]="","",Master[[#This Row],[Accession Name (Identifier 3)]])</f>
        <v/>
      </c>
      <c r="F52" s="45" t="str">
        <f>IF(Master[[#This Row],[Accession Name Cooperator (Identifier 3) -name, organization]]="","",Master[[#This Row],[Accession Name Cooperator (Identifier 3) -name, organization]])</f>
        <v/>
      </c>
      <c r="G52" s="141" t="str">
        <f t="shared" si="0"/>
        <v>Y</v>
      </c>
      <c r="I52" s="8"/>
      <c r="M52" s="8"/>
    </row>
    <row r="53" spans="2:13" x14ac:dyDescent="0.25">
      <c r="B53" s="141" t="str">
        <f>Master[[#This Row],[Accession Prefix (NPGS)]]&amp;" "&amp;Master[[#This Row],[Accession Number -Assigned]]</f>
        <v>W6 59639</v>
      </c>
      <c r="C53" s="141" t="str">
        <f>Master[[#This Row],[Accession Prefix (NPGS)]]&amp;" "&amp;Master[[#This Row],[Accession Number -Assigned]]&amp;" **"</f>
        <v>W6 59639 **</v>
      </c>
      <c r="D53" s="76" t="str">
        <f>IF(Master[[#This Row],[Accession Name Category (Identifier 3) -Lookup Picker]]="","",Master[[#This Row],[Accession Name Category (Identifier 3) -Lookup Picker]])</f>
        <v/>
      </c>
      <c r="E53" s="76" t="str">
        <f>IF(Master[[#This Row],[Accession Name (Identifier 3)]]="","",Master[[#This Row],[Accession Name (Identifier 3)]])</f>
        <v/>
      </c>
      <c r="F53" s="45" t="str">
        <f>IF(Master[[#This Row],[Accession Name Cooperator (Identifier 3) -name, organization]]="","",Master[[#This Row],[Accession Name Cooperator (Identifier 3) -name, organization]])</f>
        <v/>
      </c>
      <c r="G53" s="141" t="str">
        <f t="shared" si="0"/>
        <v>Y</v>
      </c>
      <c r="I53" s="8"/>
      <c r="M53" s="8"/>
    </row>
    <row r="54" spans="2:13" x14ac:dyDescent="0.25">
      <c r="B54" s="141" t="str">
        <f>Master[[#This Row],[Accession Prefix (NPGS)]]&amp;" "&amp;Master[[#This Row],[Accession Number -Assigned]]</f>
        <v>W6 59640</v>
      </c>
      <c r="C54" s="141" t="str">
        <f>Master[[#This Row],[Accession Prefix (NPGS)]]&amp;" "&amp;Master[[#This Row],[Accession Number -Assigned]]&amp;" **"</f>
        <v>W6 59640 **</v>
      </c>
      <c r="D54" s="76" t="str">
        <f>IF(Master[[#This Row],[Accession Name Category (Identifier 3) -Lookup Picker]]="","",Master[[#This Row],[Accession Name Category (Identifier 3) -Lookup Picker]])</f>
        <v/>
      </c>
      <c r="E54" s="76" t="str">
        <f>IF(Master[[#This Row],[Accession Name (Identifier 3)]]="","",Master[[#This Row],[Accession Name (Identifier 3)]])</f>
        <v/>
      </c>
      <c r="F54" s="45" t="str">
        <f>IF(Master[[#This Row],[Accession Name Cooperator (Identifier 3) -name, organization]]="","",Master[[#This Row],[Accession Name Cooperator (Identifier 3) -name, organization]])</f>
        <v/>
      </c>
      <c r="G54" s="141" t="str">
        <f t="shared" si="0"/>
        <v>Y</v>
      </c>
      <c r="I54" s="8"/>
      <c r="M54" s="8"/>
    </row>
    <row r="55" spans="2:13" x14ac:dyDescent="0.25">
      <c r="B55" s="141" t="str">
        <f>Master[[#This Row],[Accession Prefix (NPGS)]]&amp;" "&amp;Master[[#This Row],[Accession Number -Assigned]]</f>
        <v>W6 59641</v>
      </c>
      <c r="C55" s="141" t="str">
        <f>Master[[#This Row],[Accession Prefix (NPGS)]]&amp;" "&amp;Master[[#This Row],[Accession Number -Assigned]]&amp;" **"</f>
        <v>W6 59641 **</v>
      </c>
      <c r="D55" s="76" t="str">
        <f>IF(Master[[#This Row],[Accession Name Category (Identifier 3) -Lookup Picker]]="","",Master[[#This Row],[Accession Name Category (Identifier 3) -Lookup Picker]])</f>
        <v/>
      </c>
      <c r="E55" s="76" t="str">
        <f>IF(Master[[#This Row],[Accession Name (Identifier 3)]]="","",Master[[#This Row],[Accession Name (Identifier 3)]])</f>
        <v/>
      </c>
      <c r="F55" s="45" t="str">
        <f>IF(Master[[#This Row],[Accession Name Cooperator (Identifier 3) -name, organization]]="","",Master[[#This Row],[Accession Name Cooperator (Identifier 3) -name, organization]])</f>
        <v/>
      </c>
      <c r="G55" s="141" t="str">
        <f t="shared" si="0"/>
        <v>Y</v>
      </c>
      <c r="I55" s="8"/>
      <c r="M55" s="8"/>
    </row>
    <row r="56" spans="2:13" x14ac:dyDescent="0.25">
      <c r="B56" s="141" t="str">
        <f>Master[[#This Row],[Accession Prefix (NPGS)]]&amp;" "&amp;Master[[#This Row],[Accession Number -Assigned]]</f>
        <v>W6 59642</v>
      </c>
      <c r="C56" s="141" t="str">
        <f>Master[[#This Row],[Accession Prefix (NPGS)]]&amp;" "&amp;Master[[#This Row],[Accession Number -Assigned]]&amp;" **"</f>
        <v>W6 59642 **</v>
      </c>
      <c r="D56" s="76" t="str">
        <f>IF(Master[[#This Row],[Accession Name Category (Identifier 3) -Lookup Picker]]="","",Master[[#This Row],[Accession Name Category (Identifier 3) -Lookup Picker]])</f>
        <v/>
      </c>
      <c r="E56" s="76" t="str">
        <f>IF(Master[[#This Row],[Accession Name (Identifier 3)]]="","",Master[[#This Row],[Accession Name (Identifier 3)]])</f>
        <v/>
      </c>
      <c r="F56" s="45" t="str">
        <f>IF(Master[[#This Row],[Accession Name Cooperator (Identifier 3) -name, organization]]="","",Master[[#This Row],[Accession Name Cooperator (Identifier 3) -name, organization]])</f>
        <v/>
      </c>
      <c r="G56" s="141" t="str">
        <f t="shared" si="0"/>
        <v>Y</v>
      </c>
      <c r="I56" s="8"/>
      <c r="M56" s="8"/>
    </row>
    <row r="57" spans="2:13" x14ac:dyDescent="0.25">
      <c r="B57" s="141" t="str">
        <f>Master[[#This Row],[Accession Prefix (NPGS)]]&amp;" "&amp;Master[[#This Row],[Accession Number -Assigned]]</f>
        <v>W6 59643</v>
      </c>
      <c r="C57" s="141" t="str">
        <f>Master[[#This Row],[Accession Prefix (NPGS)]]&amp;" "&amp;Master[[#This Row],[Accession Number -Assigned]]&amp;" **"</f>
        <v>W6 59643 **</v>
      </c>
      <c r="D57" s="76" t="str">
        <f>IF(Master[[#This Row],[Accession Name Category (Identifier 3) -Lookup Picker]]="","",Master[[#This Row],[Accession Name Category (Identifier 3) -Lookup Picker]])</f>
        <v/>
      </c>
      <c r="E57" s="76" t="str">
        <f>IF(Master[[#This Row],[Accession Name (Identifier 3)]]="","",Master[[#This Row],[Accession Name (Identifier 3)]])</f>
        <v/>
      </c>
      <c r="F57" s="45" t="str">
        <f>IF(Master[[#This Row],[Accession Name Cooperator (Identifier 3) -name, organization]]="","",Master[[#This Row],[Accession Name Cooperator (Identifier 3) -name, organization]])</f>
        <v/>
      </c>
      <c r="G57" s="141" t="str">
        <f t="shared" si="0"/>
        <v>Y</v>
      </c>
      <c r="I57" s="8"/>
      <c r="M57" s="8"/>
    </row>
    <row r="58" spans="2:13" x14ac:dyDescent="0.25">
      <c r="B58" s="141" t="str">
        <f>Master[[#This Row],[Accession Prefix (NPGS)]]&amp;" "&amp;Master[[#This Row],[Accession Number -Assigned]]</f>
        <v>W6 59644</v>
      </c>
      <c r="C58" s="141" t="str">
        <f>Master[[#This Row],[Accession Prefix (NPGS)]]&amp;" "&amp;Master[[#This Row],[Accession Number -Assigned]]&amp;" **"</f>
        <v>W6 59644 **</v>
      </c>
      <c r="D58" s="76" t="str">
        <f>IF(Master[[#This Row],[Accession Name Category (Identifier 3) -Lookup Picker]]="","",Master[[#This Row],[Accession Name Category (Identifier 3) -Lookup Picker]])</f>
        <v/>
      </c>
      <c r="E58" s="76" t="str">
        <f>IF(Master[[#This Row],[Accession Name (Identifier 3)]]="","",Master[[#This Row],[Accession Name (Identifier 3)]])</f>
        <v/>
      </c>
      <c r="F58" s="45" t="str">
        <f>IF(Master[[#This Row],[Accession Name Cooperator (Identifier 3) -name, organization]]="","",Master[[#This Row],[Accession Name Cooperator (Identifier 3) -name, organization]])</f>
        <v/>
      </c>
      <c r="G58" s="141" t="str">
        <f t="shared" si="0"/>
        <v>Y</v>
      </c>
      <c r="I58" s="8"/>
      <c r="M58" s="8"/>
    </row>
    <row r="59" spans="2:13" x14ac:dyDescent="0.25">
      <c r="B59" s="141" t="str">
        <f>Master[[#This Row],[Accession Prefix (NPGS)]]&amp;" "&amp;Master[[#This Row],[Accession Number -Assigned]]</f>
        <v>W6 59645</v>
      </c>
      <c r="C59" s="141" t="str">
        <f>Master[[#This Row],[Accession Prefix (NPGS)]]&amp;" "&amp;Master[[#This Row],[Accession Number -Assigned]]&amp;" **"</f>
        <v>W6 59645 **</v>
      </c>
      <c r="D59" s="76" t="str">
        <f>IF(Master[[#This Row],[Accession Name Category (Identifier 3) -Lookup Picker]]="","",Master[[#This Row],[Accession Name Category (Identifier 3) -Lookup Picker]])</f>
        <v/>
      </c>
      <c r="E59" s="76" t="str">
        <f>IF(Master[[#This Row],[Accession Name (Identifier 3)]]="","",Master[[#This Row],[Accession Name (Identifier 3)]])</f>
        <v/>
      </c>
      <c r="F59" s="45" t="str">
        <f>IF(Master[[#This Row],[Accession Name Cooperator (Identifier 3) -name, organization]]="","",Master[[#This Row],[Accession Name Cooperator (Identifier 3) -name, organization]])</f>
        <v/>
      </c>
      <c r="G59" s="141" t="str">
        <f t="shared" si="0"/>
        <v>Y</v>
      </c>
      <c r="I59" s="8"/>
      <c r="M59" s="8"/>
    </row>
    <row r="60" spans="2:13" x14ac:dyDescent="0.25">
      <c r="B60" s="141" t="str">
        <f>Master[[#This Row],[Accession Prefix (NPGS)]]&amp;" "&amp;Master[[#This Row],[Accession Number -Assigned]]</f>
        <v>W6 59646</v>
      </c>
      <c r="C60" s="141" t="str">
        <f>Master[[#This Row],[Accession Prefix (NPGS)]]&amp;" "&amp;Master[[#This Row],[Accession Number -Assigned]]&amp;" **"</f>
        <v>W6 59646 **</v>
      </c>
      <c r="D60" s="76" t="str">
        <f>IF(Master[[#This Row],[Accession Name Category (Identifier 3) -Lookup Picker]]="","",Master[[#This Row],[Accession Name Category (Identifier 3) -Lookup Picker]])</f>
        <v/>
      </c>
      <c r="E60" s="76" t="str">
        <f>IF(Master[[#This Row],[Accession Name (Identifier 3)]]="","",Master[[#This Row],[Accession Name (Identifier 3)]])</f>
        <v/>
      </c>
      <c r="F60" s="45" t="str">
        <f>IF(Master[[#This Row],[Accession Name Cooperator (Identifier 3) -name, organization]]="","",Master[[#This Row],[Accession Name Cooperator (Identifier 3) -name, organization]])</f>
        <v/>
      </c>
      <c r="G60" s="141" t="str">
        <f t="shared" si="0"/>
        <v>Y</v>
      </c>
      <c r="I60" s="8"/>
      <c r="M60" s="8"/>
    </row>
    <row r="61" spans="2:13" x14ac:dyDescent="0.25">
      <c r="B61" s="141" t="str">
        <f>Master[[#This Row],[Accession Prefix (NPGS)]]&amp;" "&amp;Master[[#This Row],[Accession Number -Assigned]]</f>
        <v>W6 59647</v>
      </c>
      <c r="C61" s="141" t="str">
        <f>Master[[#This Row],[Accession Prefix (NPGS)]]&amp;" "&amp;Master[[#This Row],[Accession Number -Assigned]]&amp;" **"</f>
        <v>W6 59647 **</v>
      </c>
      <c r="D61" s="76" t="str">
        <f>IF(Master[[#This Row],[Accession Name Category (Identifier 3) -Lookup Picker]]="","",Master[[#This Row],[Accession Name Category (Identifier 3) -Lookup Picker]])</f>
        <v/>
      </c>
      <c r="E61" s="76" t="str">
        <f>IF(Master[[#This Row],[Accession Name (Identifier 3)]]="","",Master[[#This Row],[Accession Name (Identifier 3)]])</f>
        <v/>
      </c>
      <c r="F61" s="45" t="str">
        <f>IF(Master[[#This Row],[Accession Name Cooperator (Identifier 3) -name, organization]]="","",Master[[#This Row],[Accession Name Cooperator (Identifier 3) -name, organization]])</f>
        <v/>
      </c>
      <c r="G61" s="141" t="str">
        <f t="shared" si="0"/>
        <v>Y</v>
      </c>
      <c r="I61" s="8"/>
      <c r="M61" s="8"/>
    </row>
    <row r="62" spans="2:13" x14ac:dyDescent="0.25">
      <c r="B62" s="141" t="str">
        <f>Master[[#This Row],[Accession Prefix (NPGS)]]&amp;" "&amp;Master[[#This Row],[Accession Number -Assigned]]</f>
        <v>W6 59648</v>
      </c>
      <c r="C62" s="141" t="str">
        <f>Master[[#This Row],[Accession Prefix (NPGS)]]&amp;" "&amp;Master[[#This Row],[Accession Number -Assigned]]&amp;" **"</f>
        <v>W6 59648 **</v>
      </c>
      <c r="D62" s="76" t="str">
        <f>IF(Master[[#This Row],[Accession Name Category (Identifier 3) -Lookup Picker]]="","",Master[[#This Row],[Accession Name Category (Identifier 3) -Lookup Picker]])</f>
        <v/>
      </c>
      <c r="E62" s="76" t="str">
        <f>IF(Master[[#This Row],[Accession Name (Identifier 3)]]="","",Master[[#This Row],[Accession Name (Identifier 3)]])</f>
        <v/>
      </c>
      <c r="F62" s="45" t="str">
        <f>IF(Master[[#This Row],[Accession Name Cooperator (Identifier 3) -name, organization]]="","",Master[[#This Row],[Accession Name Cooperator (Identifier 3) -name, organization]])</f>
        <v/>
      </c>
      <c r="G62" s="141" t="str">
        <f t="shared" si="0"/>
        <v>Y</v>
      </c>
      <c r="I62" s="8"/>
      <c r="M62" s="8"/>
    </row>
    <row r="63" spans="2:13" x14ac:dyDescent="0.25">
      <c r="B63" s="141" t="str">
        <f>Master[[#This Row],[Accession Prefix (NPGS)]]&amp;" "&amp;Master[[#This Row],[Accession Number -Assigned]]</f>
        <v>W6 59649</v>
      </c>
      <c r="C63" s="141" t="str">
        <f>Master[[#This Row],[Accession Prefix (NPGS)]]&amp;" "&amp;Master[[#This Row],[Accession Number -Assigned]]&amp;" **"</f>
        <v>W6 59649 **</v>
      </c>
      <c r="D63" s="76" t="str">
        <f>IF(Master[[#This Row],[Accession Name Category (Identifier 3) -Lookup Picker]]="","",Master[[#This Row],[Accession Name Category (Identifier 3) -Lookup Picker]])</f>
        <v/>
      </c>
      <c r="E63" s="76" t="str">
        <f>IF(Master[[#This Row],[Accession Name (Identifier 3)]]="","",Master[[#This Row],[Accession Name (Identifier 3)]])</f>
        <v/>
      </c>
      <c r="F63" s="45" t="str">
        <f>IF(Master[[#This Row],[Accession Name Cooperator (Identifier 3) -name, organization]]="","",Master[[#This Row],[Accession Name Cooperator (Identifier 3) -name, organization]])</f>
        <v/>
      </c>
      <c r="G63" s="141" t="str">
        <f t="shared" si="0"/>
        <v>Y</v>
      </c>
      <c r="I63" s="8"/>
      <c r="M63" s="8"/>
    </row>
    <row r="64" spans="2:13" x14ac:dyDescent="0.25">
      <c r="B64" s="141" t="str">
        <f>Master[[#This Row],[Accession Prefix (NPGS)]]&amp;" "&amp;Master[[#This Row],[Accession Number -Assigned]]</f>
        <v>W6 59650</v>
      </c>
      <c r="C64" s="141" t="str">
        <f>Master[[#This Row],[Accession Prefix (NPGS)]]&amp;" "&amp;Master[[#This Row],[Accession Number -Assigned]]&amp;" **"</f>
        <v>W6 59650 **</v>
      </c>
      <c r="D64" s="76" t="str">
        <f>IF(Master[[#This Row],[Accession Name Category (Identifier 3) -Lookup Picker]]="","",Master[[#This Row],[Accession Name Category (Identifier 3) -Lookup Picker]])</f>
        <v/>
      </c>
      <c r="E64" s="76" t="str">
        <f>IF(Master[[#This Row],[Accession Name (Identifier 3)]]="","",Master[[#This Row],[Accession Name (Identifier 3)]])</f>
        <v/>
      </c>
      <c r="F64" s="45" t="str">
        <f>IF(Master[[#This Row],[Accession Name Cooperator (Identifier 3) -name, organization]]="","",Master[[#This Row],[Accession Name Cooperator (Identifier 3) -name, organization]])</f>
        <v/>
      </c>
      <c r="G64" s="141" t="str">
        <f t="shared" si="0"/>
        <v>Y</v>
      </c>
      <c r="I64" s="8"/>
      <c r="M64" s="8"/>
    </row>
    <row r="65" spans="2:13" x14ac:dyDescent="0.25">
      <c r="B65" s="141" t="str">
        <f>Master[[#This Row],[Accession Prefix (NPGS)]]&amp;" "&amp;Master[[#This Row],[Accession Number -Assigned]]</f>
        <v>W6 59651</v>
      </c>
      <c r="C65" s="141" t="str">
        <f>Master[[#This Row],[Accession Prefix (NPGS)]]&amp;" "&amp;Master[[#This Row],[Accession Number -Assigned]]&amp;" **"</f>
        <v>W6 59651 **</v>
      </c>
      <c r="D65" s="76" t="str">
        <f>IF(Master[[#This Row],[Accession Name Category (Identifier 3) -Lookup Picker]]="","",Master[[#This Row],[Accession Name Category (Identifier 3) -Lookup Picker]])</f>
        <v/>
      </c>
      <c r="E65" s="76" t="str">
        <f>IF(Master[[#This Row],[Accession Name (Identifier 3)]]="","",Master[[#This Row],[Accession Name (Identifier 3)]])</f>
        <v/>
      </c>
      <c r="F65" s="45" t="str">
        <f>IF(Master[[#This Row],[Accession Name Cooperator (Identifier 3) -name, organization]]="","",Master[[#This Row],[Accession Name Cooperator (Identifier 3) -name, organization]])</f>
        <v/>
      </c>
      <c r="G65" s="141" t="str">
        <f t="shared" si="0"/>
        <v>Y</v>
      </c>
      <c r="I65" s="8"/>
      <c r="M65" s="8"/>
    </row>
    <row r="66" spans="2:13" x14ac:dyDescent="0.25">
      <c r="B66" s="141" t="str">
        <f>Master[[#This Row],[Accession Prefix (NPGS)]]&amp;" "&amp;Master[[#This Row],[Accession Number -Assigned]]</f>
        <v>W6 59652</v>
      </c>
      <c r="C66" s="141" t="str">
        <f>Master[[#This Row],[Accession Prefix (NPGS)]]&amp;" "&amp;Master[[#This Row],[Accession Number -Assigned]]&amp;" **"</f>
        <v>W6 59652 **</v>
      </c>
      <c r="D66" s="76" t="str">
        <f>IF(Master[[#This Row],[Accession Name Category (Identifier 3) -Lookup Picker]]="","",Master[[#This Row],[Accession Name Category (Identifier 3) -Lookup Picker]])</f>
        <v/>
      </c>
      <c r="E66" s="76" t="str">
        <f>IF(Master[[#This Row],[Accession Name (Identifier 3)]]="","",Master[[#This Row],[Accession Name (Identifier 3)]])</f>
        <v/>
      </c>
      <c r="F66" s="45" t="str">
        <f>IF(Master[[#This Row],[Accession Name Cooperator (Identifier 3) -name, organization]]="","",Master[[#This Row],[Accession Name Cooperator (Identifier 3) -name, organization]])</f>
        <v/>
      </c>
      <c r="G66" s="141" t="str">
        <f t="shared" si="0"/>
        <v>Y</v>
      </c>
      <c r="I66" s="8"/>
      <c r="M66" s="8"/>
    </row>
    <row r="67" spans="2:13" x14ac:dyDescent="0.25">
      <c r="B67" s="141" t="str">
        <f>Master[[#This Row],[Accession Prefix (NPGS)]]&amp;" "&amp;Master[[#This Row],[Accession Number -Assigned]]</f>
        <v>W6 59653</v>
      </c>
      <c r="C67" s="141" t="str">
        <f>Master[[#This Row],[Accession Prefix (NPGS)]]&amp;" "&amp;Master[[#This Row],[Accession Number -Assigned]]&amp;" **"</f>
        <v>W6 59653 **</v>
      </c>
      <c r="D67" s="76" t="str">
        <f>IF(Master[[#This Row],[Accession Name Category (Identifier 3) -Lookup Picker]]="","",Master[[#This Row],[Accession Name Category (Identifier 3) -Lookup Picker]])</f>
        <v/>
      </c>
      <c r="E67" s="76" t="str">
        <f>IF(Master[[#This Row],[Accession Name (Identifier 3)]]="","",Master[[#This Row],[Accession Name (Identifier 3)]])</f>
        <v/>
      </c>
      <c r="F67" s="45" t="str">
        <f>IF(Master[[#This Row],[Accession Name Cooperator (Identifier 3) -name, organization]]="","",Master[[#This Row],[Accession Name Cooperator (Identifier 3) -name, organization]])</f>
        <v/>
      </c>
      <c r="G67" s="141" t="str">
        <f t="shared" ref="G67:G130" si="1">"Y"</f>
        <v>Y</v>
      </c>
      <c r="I67" s="8"/>
      <c r="M67" s="8"/>
    </row>
    <row r="68" spans="2:13" x14ac:dyDescent="0.25">
      <c r="B68" s="141" t="str">
        <f>Master[[#This Row],[Accession Prefix (NPGS)]]&amp;" "&amp;Master[[#This Row],[Accession Number -Assigned]]</f>
        <v>W6 59654</v>
      </c>
      <c r="C68" s="141" t="str">
        <f>Master[[#This Row],[Accession Prefix (NPGS)]]&amp;" "&amp;Master[[#This Row],[Accession Number -Assigned]]&amp;" **"</f>
        <v>W6 59654 **</v>
      </c>
      <c r="D68" s="76" t="str">
        <f>IF(Master[[#This Row],[Accession Name Category (Identifier 3) -Lookup Picker]]="","",Master[[#This Row],[Accession Name Category (Identifier 3) -Lookup Picker]])</f>
        <v/>
      </c>
      <c r="E68" s="76" t="str">
        <f>IF(Master[[#This Row],[Accession Name (Identifier 3)]]="","",Master[[#This Row],[Accession Name (Identifier 3)]])</f>
        <v/>
      </c>
      <c r="F68" s="45" t="str">
        <f>IF(Master[[#This Row],[Accession Name Cooperator (Identifier 3) -name, organization]]="","",Master[[#This Row],[Accession Name Cooperator (Identifier 3) -name, organization]])</f>
        <v/>
      </c>
      <c r="G68" s="141" t="str">
        <f t="shared" si="1"/>
        <v>Y</v>
      </c>
      <c r="I68" s="8"/>
      <c r="M68" s="8"/>
    </row>
    <row r="69" spans="2:13" x14ac:dyDescent="0.25">
      <c r="B69" s="141" t="str">
        <f>Master[[#This Row],[Accession Prefix (NPGS)]]&amp;" "&amp;Master[[#This Row],[Accession Number -Assigned]]</f>
        <v>W6 59655</v>
      </c>
      <c r="C69" s="141" t="str">
        <f>Master[[#This Row],[Accession Prefix (NPGS)]]&amp;" "&amp;Master[[#This Row],[Accession Number -Assigned]]&amp;" **"</f>
        <v>W6 59655 **</v>
      </c>
      <c r="D69" s="76" t="str">
        <f>IF(Master[[#This Row],[Accession Name Category (Identifier 3) -Lookup Picker]]="","",Master[[#This Row],[Accession Name Category (Identifier 3) -Lookup Picker]])</f>
        <v/>
      </c>
      <c r="E69" s="76" t="str">
        <f>IF(Master[[#This Row],[Accession Name (Identifier 3)]]="","",Master[[#This Row],[Accession Name (Identifier 3)]])</f>
        <v/>
      </c>
      <c r="F69" s="45" t="str">
        <f>IF(Master[[#This Row],[Accession Name Cooperator (Identifier 3) -name, organization]]="","",Master[[#This Row],[Accession Name Cooperator (Identifier 3) -name, organization]])</f>
        <v/>
      </c>
      <c r="G69" s="141" t="str">
        <f t="shared" si="1"/>
        <v>Y</v>
      </c>
      <c r="I69" s="8"/>
      <c r="M69" s="8"/>
    </row>
    <row r="70" spans="2:13" x14ac:dyDescent="0.25">
      <c r="B70" s="141" t="str">
        <f>Master[[#This Row],[Accession Prefix (NPGS)]]&amp;" "&amp;Master[[#This Row],[Accession Number -Assigned]]</f>
        <v>W6 59656</v>
      </c>
      <c r="C70" s="141" t="str">
        <f>Master[[#This Row],[Accession Prefix (NPGS)]]&amp;" "&amp;Master[[#This Row],[Accession Number -Assigned]]&amp;" **"</f>
        <v>W6 59656 **</v>
      </c>
      <c r="D70" s="76" t="str">
        <f>IF(Master[[#This Row],[Accession Name Category (Identifier 3) -Lookup Picker]]="","",Master[[#This Row],[Accession Name Category (Identifier 3) -Lookup Picker]])</f>
        <v/>
      </c>
      <c r="E70" s="76" t="str">
        <f>IF(Master[[#This Row],[Accession Name (Identifier 3)]]="","",Master[[#This Row],[Accession Name (Identifier 3)]])</f>
        <v/>
      </c>
      <c r="F70" s="45" t="str">
        <f>IF(Master[[#This Row],[Accession Name Cooperator (Identifier 3) -name, organization]]="","",Master[[#This Row],[Accession Name Cooperator (Identifier 3) -name, organization]])</f>
        <v/>
      </c>
      <c r="G70" s="141" t="str">
        <f t="shared" si="1"/>
        <v>Y</v>
      </c>
      <c r="I70" s="8"/>
      <c r="M70" s="8"/>
    </row>
    <row r="71" spans="2:13" x14ac:dyDescent="0.25">
      <c r="B71" s="141" t="str">
        <f>Master[[#This Row],[Accession Prefix (NPGS)]]&amp;" "&amp;Master[[#This Row],[Accession Number -Assigned]]</f>
        <v>W6 59657</v>
      </c>
      <c r="C71" s="141" t="str">
        <f>Master[[#This Row],[Accession Prefix (NPGS)]]&amp;" "&amp;Master[[#This Row],[Accession Number -Assigned]]&amp;" **"</f>
        <v>W6 59657 **</v>
      </c>
      <c r="D71" s="76" t="str">
        <f>IF(Master[[#This Row],[Accession Name Category (Identifier 3) -Lookup Picker]]="","",Master[[#This Row],[Accession Name Category (Identifier 3) -Lookup Picker]])</f>
        <v/>
      </c>
      <c r="E71" s="76" t="str">
        <f>IF(Master[[#This Row],[Accession Name (Identifier 3)]]="","",Master[[#This Row],[Accession Name (Identifier 3)]])</f>
        <v/>
      </c>
      <c r="F71" s="45" t="str">
        <f>IF(Master[[#This Row],[Accession Name Cooperator (Identifier 3) -name, organization]]="","",Master[[#This Row],[Accession Name Cooperator (Identifier 3) -name, organization]])</f>
        <v/>
      </c>
      <c r="G71" s="141" t="str">
        <f t="shared" si="1"/>
        <v>Y</v>
      </c>
      <c r="I71" s="8"/>
      <c r="M71" s="8"/>
    </row>
    <row r="72" spans="2:13" x14ac:dyDescent="0.25">
      <c r="B72" s="141" t="str">
        <f>Master[[#This Row],[Accession Prefix (NPGS)]]&amp;" "&amp;Master[[#This Row],[Accession Number -Assigned]]</f>
        <v>W6 59658</v>
      </c>
      <c r="C72" s="141" t="str">
        <f>Master[[#This Row],[Accession Prefix (NPGS)]]&amp;" "&amp;Master[[#This Row],[Accession Number -Assigned]]&amp;" **"</f>
        <v>W6 59658 **</v>
      </c>
      <c r="D72" s="76" t="str">
        <f>IF(Master[[#This Row],[Accession Name Category (Identifier 3) -Lookup Picker]]="","",Master[[#This Row],[Accession Name Category (Identifier 3) -Lookup Picker]])</f>
        <v/>
      </c>
      <c r="E72" s="76" t="str">
        <f>IF(Master[[#This Row],[Accession Name (Identifier 3)]]="","",Master[[#This Row],[Accession Name (Identifier 3)]])</f>
        <v/>
      </c>
      <c r="F72" s="45" t="str">
        <f>IF(Master[[#This Row],[Accession Name Cooperator (Identifier 3) -name, organization]]="","",Master[[#This Row],[Accession Name Cooperator (Identifier 3) -name, organization]])</f>
        <v/>
      </c>
      <c r="G72" s="141" t="str">
        <f t="shared" si="1"/>
        <v>Y</v>
      </c>
      <c r="I72" s="8"/>
      <c r="M72" s="8"/>
    </row>
    <row r="73" spans="2:13" x14ac:dyDescent="0.25">
      <c r="B73" s="141" t="str">
        <f>Master[[#This Row],[Accession Prefix (NPGS)]]&amp;" "&amp;Master[[#This Row],[Accession Number -Assigned]]</f>
        <v>W6 59659</v>
      </c>
      <c r="C73" s="141" t="str">
        <f>Master[[#This Row],[Accession Prefix (NPGS)]]&amp;" "&amp;Master[[#This Row],[Accession Number -Assigned]]&amp;" **"</f>
        <v>W6 59659 **</v>
      </c>
      <c r="D73" s="76" t="str">
        <f>IF(Master[[#This Row],[Accession Name Category (Identifier 3) -Lookup Picker]]="","",Master[[#This Row],[Accession Name Category (Identifier 3) -Lookup Picker]])</f>
        <v/>
      </c>
      <c r="E73" s="76" t="str">
        <f>IF(Master[[#This Row],[Accession Name (Identifier 3)]]="","",Master[[#This Row],[Accession Name (Identifier 3)]])</f>
        <v/>
      </c>
      <c r="F73" s="45" t="str">
        <f>IF(Master[[#This Row],[Accession Name Cooperator (Identifier 3) -name, organization]]="","",Master[[#This Row],[Accession Name Cooperator (Identifier 3) -name, organization]])</f>
        <v/>
      </c>
      <c r="G73" s="141" t="str">
        <f t="shared" si="1"/>
        <v>Y</v>
      </c>
      <c r="I73" s="8"/>
      <c r="M73" s="8"/>
    </row>
    <row r="74" spans="2:13" x14ac:dyDescent="0.25">
      <c r="B74" s="141" t="str">
        <f>Master[[#This Row],[Accession Prefix (NPGS)]]&amp;" "&amp;Master[[#This Row],[Accession Number -Assigned]]</f>
        <v>W6 59660</v>
      </c>
      <c r="C74" s="141" t="str">
        <f>Master[[#This Row],[Accession Prefix (NPGS)]]&amp;" "&amp;Master[[#This Row],[Accession Number -Assigned]]&amp;" **"</f>
        <v>W6 59660 **</v>
      </c>
      <c r="D74" s="76" t="str">
        <f>IF(Master[[#This Row],[Accession Name Category (Identifier 3) -Lookup Picker]]="","",Master[[#This Row],[Accession Name Category (Identifier 3) -Lookup Picker]])</f>
        <v/>
      </c>
      <c r="E74" s="76" t="str">
        <f>IF(Master[[#This Row],[Accession Name (Identifier 3)]]="","",Master[[#This Row],[Accession Name (Identifier 3)]])</f>
        <v/>
      </c>
      <c r="F74" s="45" t="str">
        <f>IF(Master[[#This Row],[Accession Name Cooperator (Identifier 3) -name, organization]]="","",Master[[#This Row],[Accession Name Cooperator (Identifier 3) -name, organization]])</f>
        <v/>
      </c>
      <c r="G74" s="141" t="str">
        <f t="shared" si="1"/>
        <v>Y</v>
      </c>
      <c r="I74" s="8"/>
      <c r="M74" s="8"/>
    </row>
    <row r="75" spans="2:13" x14ac:dyDescent="0.25">
      <c r="B75" s="141" t="str">
        <f>Master[[#This Row],[Accession Prefix (NPGS)]]&amp;" "&amp;Master[[#This Row],[Accession Number -Assigned]]</f>
        <v>W6 59661</v>
      </c>
      <c r="C75" s="141" t="str">
        <f>Master[[#This Row],[Accession Prefix (NPGS)]]&amp;" "&amp;Master[[#This Row],[Accession Number -Assigned]]&amp;" **"</f>
        <v>W6 59661 **</v>
      </c>
      <c r="D75" s="76" t="str">
        <f>IF(Master[[#This Row],[Accession Name Category (Identifier 3) -Lookup Picker]]="","",Master[[#This Row],[Accession Name Category (Identifier 3) -Lookup Picker]])</f>
        <v/>
      </c>
      <c r="E75" s="76" t="str">
        <f>IF(Master[[#This Row],[Accession Name (Identifier 3)]]="","",Master[[#This Row],[Accession Name (Identifier 3)]])</f>
        <v/>
      </c>
      <c r="F75" s="45" t="str">
        <f>IF(Master[[#This Row],[Accession Name Cooperator (Identifier 3) -name, organization]]="","",Master[[#This Row],[Accession Name Cooperator (Identifier 3) -name, organization]])</f>
        <v/>
      </c>
      <c r="G75" s="141" t="str">
        <f t="shared" si="1"/>
        <v>Y</v>
      </c>
      <c r="I75" s="8"/>
      <c r="M75" s="8"/>
    </row>
    <row r="76" spans="2:13" x14ac:dyDescent="0.25">
      <c r="B76" s="141" t="str">
        <f>Master[[#This Row],[Accession Prefix (NPGS)]]&amp;" "&amp;Master[[#This Row],[Accession Number -Assigned]]</f>
        <v>W6 59662</v>
      </c>
      <c r="C76" s="141" t="str">
        <f>Master[[#This Row],[Accession Prefix (NPGS)]]&amp;" "&amp;Master[[#This Row],[Accession Number -Assigned]]&amp;" **"</f>
        <v>W6 59662 **</v>
      </c>
      <c r="D76" s="76" t="str">
        <f>IF(Master[[#This Row],[Accession Name Category (Identifier 3) -Lookup Picker]]="","",Master[[#This Row],[Accession Name Category (Identifier 3) -Lookup Picker]])</f>
        <v/>
      </c>
      <c r="E76" s="76" t="str">
        <f>IF(Master[[#This Row],[Accession Name (Identifier 3)]]="","",Master[[#This Row],[Accession Name (Identifier 3)]])</f>
        <v/>
      </c>
      <c r="F76" s="45" t="str">
        <f>IF(Master[[#This Row],[Accession Name Cooperator (Identifier 3) -name, organization]]="","",Master[[#This Row],[Accession Name Cooperator (Identifier 3) -name, organization]])</f>
        <v/>
      </c>
      <c r="G76" s="141" t="str">
        <f t="shared" si="1"/>
        <v>Y</v>
      </c>
      <c r="I76" s="8"/>
      <c r="M76" s="8"/>
    </row>
    <row r="77" spans="2:13" x14ac:dyDescent="0.25">
      <c r="B77" s="141" t="str">
        <f>Master[[#This Row],[Accession Prefix (NPGS)]]&amp;" "&amp;Master[[#This Row],[Accession Number -Assigned]]</f>
        <v>W6 59663</v>
      </c>
      <c r="C77" s="141" t="str">
        <f>Master[[#This Row],[Accession Prefix (NPGS)]]&amp;" "&amp;Master[[#This Row],[Accession Number -Assigned]]&amp;" **"</f>
        <v>W6 59663 **</v>
      </c>
      <c r="D77" s="76" t="str">
        <f>IF(Master[[#This Row],[Accession Name Category (Identifier 3) -Lookup Picker]]="","",Master[[#This Row],[Accession Name Category (Identifier 3) -Lookup Picker]])</f>
        <v/>
      </c>
      <c r="E77" s="76" t="str">
        <f>IF(Master[[#This Row],[Accession Name (Identifier 3)]]="","",Master[[#This Row],[Accession Name (Identifier 3)]])</f>
        <v/>
      </c>
      <c r="F77" s="45" t="str">
        <f>IF(Master[[#This Row],[Accession Name Cooperator (Identifier 3) -name, organization]]="","",Master[[#This Row],[Accession Name Cooperator (Identifier 3) -name, organization]])</f>
        <v/>
      </c>
      <c r="G77" s="141" t="str">
        <f t="shared" si="1"/>
        <v>Y</v>
      </c>
      <c r="I77" s="8"/>
      <c r="M77" s="8"/>
    </row>
    <row r="78" spans="2:13" x14ac:dyDescent="0.25">
      <c r="B78" s="141" t="str">
        <f>Master[[#This Row],[Accession Prefix (NPGS)]]&amp;" "&amp;Master[[#This Row],[Accession Number -Assigned]]</f>
        <v>W6 59664</v>
      </c>
      <c r="C78" s="141" t="str">
        <f>Master[[#This Row],[Accession Prefix (NPGS)]]&amp;" "&amp;Master[[#This Row],[Accession Number -Assigned]]&amp;" **"</f>
        <v>W6 59664 **</v>
      </c>
      <c r="D78" s="76" t="str">
        <f>IF(Master[[#This Row],[Accession Name Category (Identifier 3) -Lookup Picker]]="","",Master[[#This Row],[Accession Name Category (Identifier 3) -Lookup Picker]])</f>
        <v/>
      </c>
      <c r="E78" s="76" t="str">
        <f>IF(Master[[#This Row],[Accession Name (Identifier 3)]]="","",Master[[#This Row],[Accession Name (Identifier 3)]])</f>
        <v/>
      </c>
      <c r="F78" s="45" t="str">
        <f>IF(Master[[#This Row],[Accession Name Cooperator (Identifier 3) -name, organization]]="","",Master[[#This Row],[Accession Name Cooperator (Identifier 3) -name, organization]])</f>
        <v/>
      </c>
      <c r="G78" s="141" t="str">
        <f t="shared" si="1"/>
        <v>Y</v>
      </c>
      <c r="I78" s="8"/>
      <c r="M78" s="8"/>
    </row>
    <row r="79" spans="2:13" x14ac:dyDescent="0.25">
      <c r="B79" s="141" t="str">
        <f>Master[[#This Row],[Accession Prefix (NPGS)]]&amp;" "&amp;Master[[#This Row],[Accession Number -Assigned]]</f>
        <v>W6 59665</v>
      </c>
      <c r="C79" s="141" t="str">
        <f>Master[[#This Row],[Accession Prefix (NPGS)]]&amp;" "&amp;Master[[#This Row],[Accession Number -Assigned]]&amp;" **"</f>
        <v>W6 59665 **</v>
      </c>
      <c r="D79" s="76" t="str">
        <f>IF(Master[[#This Row],[Accession Name Category (Identifier 3) -Lookup Picker]]="","",Master[[#This Row],[Accession Name Category (Identifier 3) -Lookup Picker]])</f>
        <v/>
      </c>
      <c r="E79" s="76" t="str">
        <f>IF(Master[[#This Row],[Accession Name (Identifier 3)]]="","",Master[[#This Row],[Accession Name (Identifier 3)]])</f>
        <v/>
      </c>
      <c r="F79" s="45" t="str">
        <f>IF(Master[[#This Row],[Accession Name Cooperator (Identifier 3) -name, organization]]="","",Master[[#This Row],[Accession Name Cooperator (Identifier 3) -name, organization]])</f>
        <v/>
      </c>
      <c r="G79" s="141" t="str">
        <f t="shared" si="1"/>
        <v>Y</v>
      </c>
      <c r="I79" s="8"/>
      <c r="M79" s="8"/>
    </row>
    <row r="80" spans="2:13" x14ac:dyDescent="0.25">
      <c r="B80" s="141" t="str">
        <f>Master[[#This Row],[Accession Prefix (NPGS)]]&amp;" "&amp;Master[[#This Row],[Accession Number -Assigned]]</f>
        <v>W6 59666</v>
      </c>
      <c r="C80" s="141" t="str">
        <f>Master[[#This Row],[Accession Prefix (NPGS)]]&amp;" "&amp;Master[[#This Row],[Accession Number -Assigned]]&amp;" **"</f>
        <v>W6 59666 **</v>
      </c>
      <c r="D80" s="76" t="str">
        <f>IF(Master[[#This Row],[Accession Name Category (Identifier 3) -Lookup Picker]]="","",Master[[#This Row],[Accession Name Category (Identifier 3) -Lookup Picker]])</f>
        <v/>
      </c>
      <c r="E80" s="76" t="str">
        <f>IF(Master[[#This Row],[Accession Name (Identifier 3)]]="","",Master[[#This Row],[Accession Name (Identifier 3)]])</f>
        <v/>
      </c>
      <c r="F80" s="45" t="str">
        <f>IF(Master[[#This Row],[Accession Name Cooperator (Identifier 3) -name, organization]]="","",Master[[#This Row],[Accession Name Cooperator (Identifier 3) -name, organization]])</f>
        <v/>
      </c>
      <c r="G80" s="141" t="str">
        <f t="shared" si="1"/>
        <v>Y</v>
      </c>
      <c r="I80" s="8"/>
      <c r="M80" s="8"/>
    </row>
    <row r="81" spans="2:13" x14ac:dyDescent="0.25">
      <c r="B81" s="141" t="str">
        <f>Master[[#This Row],[Accession Prefix (NPGS)]]&amp;" "&amp;Master[[#This Row],[Accession Number -Assigned]]</f>
        <v>W6 59667</v>
      </c>
      <c r="C81" s="141" t="str">
        <f>Master[[#This Row],[Accession Prefix (NPGS)]]&amp;" "&amp;Master[[#This Row],[Accession Number -Assigned]]&amp;" **"</f>
        <v>W6 59667 **</v>
      </c>
      <c r="D81" s="76" t="str">
        <f>IF(Master[[#This Row],[Accession Name Category (Identifier 3) -Lookup Picker]]="","",Master[[#This Row],[Accession Name Category (Identifier 3) -Lookup Picker]])</f>
        <v/>
      </c>
      <c r="E81" s="76" t="str">
        <f>IF(Master[[#This Row],[Accession Name (Identifier 3)]]="","",Master[[#This Row],[Accession Name (Identifier 3)]])</f>
        <v/>
      </c>
      <c r="F81" s="45" t="str">
        <f>IF(Master[[#This Row],[Accession Name Cooperator (Identifier 3) -name, organization]]="","",Master[[#This Row],[Accession Name Cooperator (Identifier 3) -name, organization]])</f>
        <v/>
      </c>
      <c r="G81" s="141" t="str">
        <f t="shared" si="1"/>
        <v>Y</v>
      </c>
      <c r="I81" s="8"/>
      <c r="M81" s="8"/>
    </row>
    <row r="82" spans="2:13" x14ac:dyDescent="0.25">
      <c r="B82" s="141" t="str">
        <f>Master[[#This Row],[Accession Prefix (NPGS)]]&amp;" "&amp;Master[[#This Row],[Accession Number -Assigned]]</f>
        <v>W6 59668</v>
      </c>
      <c r="C82" s="141" t="str">
        <f>Master[[#This Row],[Accession Prefix (NPGS)]]&amp;" "&amp;Master[[#This Row],[Accession Number -Assigned]]&amp;" **"</f>
        <v>W6 59668 **</v>
      </c>
      <c r="D82" s="76" t="str">
        <f>IF(Master[[#This Row],[Accession Name Category (Identifier 3) -Lookup Picker]]="","",Master[[#This Row],[Accession Name Category (Identifier 3) -Lookup Picker]])</f>
        <v/>
      </c>
      <c r="E82" s="76" t="str">
        <f>IF(Master[[#This Row],[Accession Name (Identifier 3)]]="","",Master[[#This Row],[Accession Name (Identifier 3)]])</f>
        <v/>
      </c>
      <c r="F82" s="45" t="str">
        <f>IF(Master[[#This Row],[Accession Name Cooperator (Identifier 3) -name, organization]]="","",Master[[#This Row],[Accession Name Cooperator (Identifier 3) -name, organization]])</f>
        <v/>
      </c>
      <c r="G82" s="141" t="str">
        <f t="shared" si="1"/>
        <v>Y</v>
      </c>
      <c r="I82" s="8"/>
      <c r="M82" s="8"/>
    </row>
    <row r="83" spans="2:13" x14ac:dyDescent="0.25">
      <c r="B83" s="141" t="str">
        <f>Master[[#This Row],[Accession Prefix (NPGS)]]&amp;" "&amp;Master[[#This Row],[Accession Number -Assigned]]</f>
        <v>W6 59669</v>
      </c>
      <c r="C83" s="141" t="str">
        <f>Master[[#This Row],[Accession Prefix (NPGS)]]&amp;" "&amp;Master[[#This Row],[Accession Number -Assigned]]&amp;" **"</f>
        <v>W6 59669 **</v>
      </c>
      <c r="D83" s="76" t="str">
        <f>IF(Master[[#This Row],[Accession Name Category (Identifier 3) -Lookup Picker]]="","",Master[[#This Row],[Accession Name Category (Identifier 3) -Lookup Picker]])</f>
        <v/>
      </c>
      <c r="E83" s="76" t="str">
        <f>IF(Master[[#This Row],[Accession Name (Identifier 3)]]="","",Master[[#This Row],[Accession Name (Identifier 3)]])</f>
        <v/>
      </c>
      <c r="F83" s="45" t="str">
        <f>IF(Master[[#This Row],[Accession Name Cooperator (Identifier 3) -name, organization]]="","",Master[[#This Row],[Accession Name Cooperator (Identifier 3) -name, organization]])</f>
        <v/>
      </c>
      <c r="G83" s="141" t="str">
        <f t="shared" si="1"/>
        <v>Y</v>
      </c>
      <c r="I83" s="8"/>
      <c r="M83" s="8"/>
    </row>
    <row r="84" spans="2:13" x14ac:dyDescent="0.25">
      <c r="B84" s="141" t="str">
        <f>Master[[#This Row],[Accession Prefix (NPGS)]]&amp;" "&amp;Master[[#This Row],[Accession Number -Assigned]]</f>
        <v>W6 59670</v>
      </c>
      <c r="C84" s="141" t="str">
        <f>Master[[#This Row],[Accession Prefix (NPGS)]]&amp;" "&amp;Master[[#This Row],[Accession Number -Assigned]]&amp;" **"</f>
        <v>W6 59670 **</v>
      </c>
      <c r="D84" s="76" t="str">
        <f>IF(Master[[#This Row],[Accession Name Category (Identifier 3) -Lookup Picker]]="","",Master[[#This Row],[Accession Name Category (Identifier 3) -Lookup Picker]])</f>
        <v/>
      </c>
      <c r="E84" s="76" t="str">
        <f>IF(Master[[#This Row],[Accession Name (Identifier 3)]]="","",Master[[#This Row],[Accession Name (Identifier 3)]])</f>
        <v/>
      </c>
      <c r="F84" s="45" t="str">
        <f>IF(Master[[#This Row],[Accession Name Cooperator (Identifier 3) -name, organization]]="","",Master[[#This Row],[Accession Name Cooperator (Identifier 3) -name, organization]])</f>
        <v/>
      </c>
      <c r="G84" s="141" t="str">
        <f t="shared" si="1"/>
        <v>Y</v>
      </c>
      <c r="I84" s="8"/>
      <c r="M84" s="8"/>
    </row>
    <row r="85" spans="2:13" x14ac:dyDescent="0.25">
      <c r="B85" s="141" t="str">
        <f>Master[[#This Row],[Accession Prefix (NPGS)]]&amp;" "&amp;Master[[#This Row],[Accession Number -Assigned]]</f>
        <v>W6 59671</v>
      </c>
      <c r="C85" s="141" t="str">
        <f>Master[[#This Row],[Accession Prefix (NPGS)]]&amp;" "&amp;Master[[#This Row],[Accession Number -Assigned]]&amp;" **"</f>
        <v>W6 59671 **</v>
      </c>
      <c r="D85" s="76" t="str">
        <f>IF(Master[[#This Row],[Accession Name Category (Identifier 3) -Lookup Picker]]="","",Master[[#This Row],[Accession Name Category (Identifier 3) -Lookup Picker]])</f>
        <v/>
      </c>
      <c r="E85" s="76" t="str">
        <f>IF(Master[[#This Row],[Accession Name (Identifier 3)]]="","",Master[[#This Row],[Accession Name (Identifier 3)]])</f>
        <v/>
      </c>
      <c r="F85" s="45" t="str">
        <f>IF(Master[[#This Row],[Accession Name Cooperator (Identifier 3) -name, organization]]="","",Master[[#This Row],[Accession Name Cooperator (Identifier 3) -name, organization]])</f>
        <v/>
      </c>
      <c r="G85" s="141" t="str">
        <f t="shared" si="1"/>
        <v>Y</v>
      </c>
      <c r="I85" s="8"/>
      <c r="M85" s="8"/>
    </row>
    <row r="86" spans="2:13" x14ac:dyDescent="0.25">
      <c r="B86" s="141" t="str">
        <f>Master[[#This Row],[Accession Prefix (NPGS)]]&amp;" "&amp;Master[[#This Row],[Accession Number -Assigned]]</f>
        <v>W6 59672</v>
      </c>
      <c r="C86" s="141" t="str">
        <f>Master[[#This Row],[Accession Prefix (NPGS)]]&amp;" "&amp;Master[[#This Row],[Accession Number -Assigned]]&amp;" **"</f>
        <v>W6 59672 **</v>
      </c>
      <c r="D86" s="76" t="str">
        <f>IF(Master[[#This Row],[Accession Name Category (Identifier 3) -Lookup Picker]]="","",Master[[#This Row],[Accession Name Category (Identifier 3) -Lookup Picker]])</f>
        <v/>
      </c>
      <c r="E86" s="76" t="str">
        <f>IF(Master[[#This Row],[Accession Name (Identifier 3)]]="","",Master[[#This Row],[Accession Name (Identifier 3)]])</f>
        <v/>
      </c>
      <c r="F86" s="45" t="str">
        <f>IF(Master[[#This Row],[Accession Name Cooperator (Identifier 3) -name, organization]]="","",Master[[#This Row],[Accession Name Cooperator (Identifier 3) -name, organization]])</f>
        <v/>
      </c>
      <c r="G86" s="141" t="str">
        <f t="shared" si="1"/>
        <v>Y</v>
      </c>
      <c r="I86" s="8"/>
      <c r="M86" s="8"/>
    </row>
    <row r="87" spans="2:13" x14ac:dyDescent="0.25">
      <c r="B87" s="141" t="str">
        <f>Master[[#This Row],[Accession Prefix (NPGS)]]&amp;" "&amp;Master[[#This Row],[Accession Number -Assigned]]</f>
        <v>W6 59673</v>
      </c>
      <c r="C87" s="141" t="str">
        <f>Master[[#This Row],[Accession Prefix (NPGS)]]&amp;" "&amp;Master[[#This Row],[Accession Number -Assigned]]&amp;" **"</f>
        <v>W6 59673 **</v>
      </c>
      <c r="D87" s="76" t="str">
        <f>IF(Master[[#This Row],[Accession Name Category (Identifier 3) -Lookup Picker]]="","",Master[[#This Row],[Accession Name Category (Identifier 3) -Lookup Picker]])</f>
        <v/>
      </c>
      <c r="E87" s="76" t="str">
        <f>IF(Master[[#This Row],[Accession Name (Identifier 3)]]="","",Master[[#This Row],[Accession Name (Identifier 3)]])</f>
        <v/>
      </c>
      <c r="F87" s="45" t="str">
        <f>IF(Master[[#This Row],[Accession Name Cooperator (Identifier 3) -name, organization]]="","",Master[[#This Row],[Accession Name Cooperator (Identifier 3) -name, organization]])</f>
        <v/>
      </c>
      <c r="G87" s="141" t="str">
        <f t="shared" si="1"/>
        <v>Y</v>
      </c>
      <c r="I87" s="8"/>
      <c r="M87" s="8"/>
    </row>
    <row r="88" spans="2:13" x14ac:dyDescent="0.25">
      <c r="B88" s="141" t="str">
        <f>Master[[#This Row],[Accession Prefix (NPGS)]]&amp;" "&amp;Master[[#This Row],[Accession Number -Assigned]]</f>
        <v>W6 59674</v>
      </c>
      <c r="C88" s="141" t="str">
        <f>Master[[#This Row],[Accession Prefix (NPGS)]]&amp;" "&amp;Master[[#This Row],[Accession Number -Assigned]]&amp;" **"</f>
        <v>W6 59674 **</v>
      </c>
      <c r="D88" s="76" t="str">
        <f>IF(Master[[#This Row],[Accession Name Category (Identifier 3) -Lookup Picker]]="","",Master[[#This Row],[Accession Name Category (Identifier 3) -Lookup Picker]])</f>
        <v/>
      </c>
      <c r="E88" s="76" t="str">
        <f>IF(Master[[#This Row],[Accession Name (Identifier 3)]]="","",Master[[#This Row],[Accession Name (Identifier 3)]])</f>
        <v/>
      </c>
      <c r="F88" s="45" t="str">
        <f>IF(Master[[#This Row],[Accession Name Cooperator (Identifier 3) -name, organization]]="","",Master[[#This Row],[Accession Name Cooperator (Identifier 3) -name, organization]])</f>
        <v/>
      </c>
      <c r="G88" s="141" t="str">
        <f t="shared" si="1"/>
        <v>Y</v>
      </c>
      <c r="I88" s="8"/>
      <c r="M88" s="8"/>
    </row>
    <row r="89" spans="2:13" x14ac:dyDescent="0.25">
      <c r="B89" s="141" t="str">
        <f>Master[[#This Row],[Accession Prefix (NPGS)]]&amp;" "&amp;Master[[#This Row],[Accession Number -Assigned]]</f>
        <v>W6 59675</v>
      </c>
      <c r="C89" s="141" t="str">
        <f>Master[[#This Row],[Accession Prefix (NPGS)]]&amp;" "&amp;Master[[#This Row],[Accession Number -Assigned]]&amp;" **"</f>
        <v>W6 59675 **</v>
      </c>
      <c r="D89" s="76" t="str">
        <f>IF(Master[[#This Row],[Accession Name Category (Identifier 3) -Lookup Picker]]="","",Master[[#This Row],[Accession Name Category (Identifier 3) -Lookup Picker]])</f>
        <v/>
      </c>
      <c r="E89" s="76" t="str">
        <f>IF(Master[[#This Row],[Accession Name (Identifier 3)]]="","",Master[[#This Row],[Accession Name (Identifier 3)]])</f>
        <v/>
      </c>
      <c r="F89" s="45" t="str">
        <f>IF(Master[[#This Row],[Accession Name Cooperator (Identifier 3) -name, organization]]="","",Master[[#This Row],[Accession Name Cooperator (Identifier 3) -name, organization]])</f>
        <v/>
      </c>
      <c r="G89" s="141" t="str">
        <f t="shared" si="1"/>
        <v>Y</v>
      </c>
      <c r="I89" s="8"/>
      <c r="M89" s="8"/>
    </row>
    <row r="90" spans="2:13" x14ac:dyDescent="0.25">
      <c r="B90" s="141" t="str">
        <f>Master[[#This Row],[Accession Prefix (NPGS)]]&amp;" "&amp;Master[[#This Row],[Accession Number -Assigned]]</f>
        <v>W6 59676</v>
      </c>
      <c r="C90" s="141" t="str">
        <f>Master[[#This Row],[Accession Prefix (NPGS)]]&amp;" "&amp;Master[[#This Row],[Accession Number -Assigned]]&amp;" **"</f>
        <v>W6 59676 **</v>
      </c>
      <c r="D90" s="76" t="str">
        <f>IF(Master[[#This Row],[Accession Name Category (Identifier 3) -Lookup Picker]]="","",Master[[#This Row],[Accession Name Category (Identifier 3) -Lookup Picker]])</f>
        <v/>
      </c>
      <c r="E90" s="76" t="str">
        <f>IF(Master[[#This Row],[Accession Name (Identifier 3)]]="","",Master[[#This Row],[Accession Name (Identifier 3)]])</f>
        <v/>
      </c>
      <c r="F90" s="45" t="str">
        <f>IF(Master[[#This Row],[Accession Name Cooperator (Identifier 3) -name, organization]]="","",Master[[#This Row],[Accession Name Cooperator (Identifier 3) -name, organization]])</f>
        <v/>
      </c>
      <c r="G90" s="141" t="str">
        <f t="shared" si="1"/>
        <v>Y</v>
      </c>
      <c r="I90" s="8"/>
      <c r="M90" s="8"/>
    </row>
    <row r="91" spans="2:13" x14ac:dyDescent="0.25">
      <c r="B91" s="141" t="str">
        <f>Master[[#This Row],[Accession Prefix (NPGS)]]&amp;" "&amp;Master[[#This Row],[Accession Number -Assigned]]</f>
        <v>W6 59677</v>
      </c>
      <c r="C91" s="141" t="str">
        <f>Master[[#This Row],[Accession Prefix (NPGS)]]&amp;" "&amp;Master[[#This Row],[Accession Number -Assigned]]&amp;" **"</f>
        <v>W6 59677 **</v>
      </c>
      <c r="D91" s="76" t="str">
        <f>IF(Master[[#This Row],[Accession Name Category (Identifier 3) -Lookup Picker]]="","",Master[[#This Row],[Accession Name Category (Identifier 3) -Lookup Picker]])</f>
        <v/>
      </c>
      <c r="E91" s="76" t="str">
        <f>IF(Master[[#This Row],[Accession Name (Identifier 3)]]="","",Master[[#This Row],[Accession Name (Identifier 3)]])</f>
        <v/>
      </c>
      <c r="F91" s="45" t="str">
        <f>IF(Master[[#This Row],[Accession Name Cooperator (Identifier 3) -name, organization]]="","",Master[[#This Row],[Accession Name Cooperator (Identifier 3) -name, organization]])</f>
        <v/>
      </c>
      <c r="G91" s="141" t="str">
        <f t="shared" si="1"/>
        <v>Y</v>
      </c>
      <c r="I91" s="8"/>
      <c r="M91" s="8"/>
    </row>
    <row r="92" spans="2:13" x14ac:dyDescent="0.25">
      <c r="B92" s="141" t="str">
        <f>Master[[#This Row],[Accession Prefix (NPGS)]]&amp;" "&amp;Master[[#This Row],[Accession Number -Assigned]]</f>
        <v>W6 59678</v>
      </c>
      <c r="C92" s="141" t="str">
        <f>Master[[#This Row],[Accession Prefix (NPGS)]]&amp;" "&amp;Master[[#This Row],[Accession Number -Assigned]]&amp;" **"</f>
        <v>W6 59678 **</v>
      </c>
      <c r="D92" s="76" t="str">
        <f>IF(Master[[#This Row],[Accession Name Category (Identifier 3) -Lookup Picker]]="","",Master[[#This Row],[Accession Name Category (Identifier 3) -Lookup Picker]])</f>
        <v/>
      </c>
      <c r="E92" s="76" t="str">
        <f>IF(Master[[#This Row],[Accession Name (Identifier 3)]]="","",Master[[#This Row],[Accession Name (Identifier 3)]])</f>
        <v/>
      </c>
      <c r="F92" s="45" t="str">
        <f>IF(Master[[#This Row],[Accession Name Cooperator (Identifier 3) -name, organization]]="","",Master[[#This Row],[Accession Name Cooperator (Identifier 3) -name, organization]])</f>
        <v/>
      </c>
      <c r="G92" s="141" t="str">
        <f t="shared" si="1"/>
        <v>Y</v>
      </c>
      <c r="I92" s="8"/>
      <c r="M92" s="8"/>
    </row>
    <row r="93" spans="2:13" x14ac:dyDescent="0.25">
      <c r="B93" s="141" t="str">
        <f>Master[[#This Row],[Accession Prefix (NPGS)]]&amp;" "&amp;Master[[#This Row],[Accession Number -Assigned]]</f>
        <v>W6 59679</v>
      </c>
      <c r="C93" s="141" t="str">
        <f>Master[[#This Row],[Accession Prefix (NPGS)]]&amp;" "&amp;Master[[#This Row],[Accession Number -Assigned]]&amp;" **"</f>
        <v>W6 59679 **</v>
      </c>
      <c r="D93" s="76" t="str">
        <f>IF(Master[[#This Row],[Accession Name Category (Identifier 3) -Lookup Picker]]="","",Master[[#This Row],[Accession Name Category (Identifier 3) -Lookup Picker]])</f>
        <v/>
      </c>
      <c r="E93" s="76" t="str">
        <f>IF(Master[[#This Row],[Accession Name (Identifier 3)]]="","",Master[[#This Row],[Accession Name (Identifier 3)]])</f>
        <v/>
      </c>
      <c r="F93" s="45" t="str">
        <f>IF(Master[[#This Row],[Accession Name Cooperator (Identifier 3) -name, organization]]="","",Master[[#This Row],[Accession Name Cooperator (Identifier 3) -name, organization]])</f>
        <v/>
      </c>
      <c r="G93" s="141" t="str">
        <f t="shared" si="1"/>
        <v>Y</v>
      </c>
      <c r="I93" s="8"/>
      <c r="M93" s="8"/>
    </row>
    <row r="94" spans="2:13" x14ac:dyDescent="0.25">
      <c r="B94" s="141" t="str">
        <f>Master[[#This Row],[Accession Prefix (NPGS)]]&amp;" "&amp;Master[[#This Row],[Accession Number -Assigned]]</f>
        <v>W6 59680</v>
      </c>
      <c r="C94" s="141" t="str">
        <f>Master[[#This Row],[Accession Prefix (NPGS)]]&amp;" "&amp;Master[[#This Row],[Accession Number -Assigned]]&amp;" **"</f>
        <v>W6 59680 **</v>
      </c>
      <c r="D94" s="76" t="str">
        <f>IF(Master[[#This Row],[Accession Name Category (Identifier 3) -Lookup Picker]]="","",Master[[#This Row],[Accession Name Category (Identifier 3) -Lookup Picker]])</f>
        <v/>
      </c>
      <c r="E94" s="76" t="str">
        <f>IF(Master[[#This Row],[Accession Name (Identifier 3)]]="","",Master[[#This Row],[Accession Name (Identifier 3)]])</f>
        <v/>
      </c>
      <c r="F94" s="45" t="str">
        <f>IF(Master[[#This Row],[Accession Name Cooperator (Identifier 3) -name, organization]]="","",Master[[#This Row],[Accession Name Cooperator (Identifier 3) -name, organization]])</f>
        <v/>
      </c>
      <c r="G94" s="141" t="str">
        <f t="shared" si="1"/>
        <v>Y</v>
      </c>
      <c r="I94" s="8"/>
      <c r="M94" s="8"/>
    </row>
    <row r="95" spans="2:13" x14ac:dyDescent="0.25">
      <c r="B95" s="141" t="str">
        <f>Master[[#This Row],[Accession Prefix (NPGS)]]&amp;" "&amp;Master[[#This Row],[Accession Number -Assigned]]</f>
        <v>W6 59681</v>
      </c>
      <c r="C95" s="141" t="str">
        <f>Master[[#This Row],[Accession Prefix (NPGS)]]&amp;" "&amp;Master[[#This Row],[Accession Number -Assigned]]&amp;" **"</f>
        <v>W6 59681 **</v>
      </c>
      <c r="D95" s="76" t="str">
        <f>IF(Master[[#This Row],[Accession Name Category (Identifier 3) -Lookup Picker]]="","",Master[[#This Row],[Accession Name Category (Identifier 3) -Lookup Picker]])</f>
        <v/>
      </c>
      <c r="E95" s="76" t="str">
        <f>IF(Master[[#This Row],[Accession Name (Identifier 3)]]="","",Master[[#This Row],[Accession Name (Identifier 3)]])</f>
        <v/>
      </c>
      <c r="F95" s="45" t="str">
        <f>IF(Master[[#This Row],[Accession Name Cooperator (Identifier 3) -name, organization]]="","",Master[[#This Row],[Accession Name Cooperator (Identifier 3) -name, organization]])</f>
        <v/>
      </c>
      <c r="G95" s="141" t="str">
        <f t="shared" si="1"/>
        <v>Y</v>
      </c>
      <c r="I95" s="8"/>
      <c r="M95" s="8"/>
    </row>
    <row r="96" spans="2:13" x14ac:dyDescent="0.25">
      <c r="B96" s="141" t="str">
        <f>Master[[#This Row],[Accession Prefix (NPGS)]]&amp;" "&amp;Master[[#This Row],[Accession Number -Assigned]]</f>
        <v>W6 59682</v>
      </c>
      <c r="C96" s="141" t="str">
        <f>Master[[#This Row],[Accession Prefix (NPGS)]]&amp;" "&amp;Master[[#This Row],[Accession Number -Assigned]]&amp;" **"</f>
        <v>W6 59682 **</v>
      </c>
      <c r="D96" s="76" t="str">
        <f>IF(Master[[#This Row],[Accession Name Category (Identifier 3) -Lookup Picker]]="","",Master[[#This Row],[Accession Name Category (Identifier 3) -Lookup Picker]])</f>
        <v/>
      </c>
      <c r="E96" s="76" t="str">
        <f>IF(Master[[#This Row],[Accession Name (Identifier 3)]]="","",Master[[#This Row],[Accession Name (Identifier 3)]])</f>
        <v/>
      </c>
      <c r="F96" s="45" t="str">
        <f>IF(Master[[#This Row],[Accession Name Cooperator (Identifier 3) -name, organization]]="","",Master[[#This Row],[Accession Name Cooperator (Identifier 3) -name, organization]])</f>
        <v/>
      </c>
      <c r="G96" s="141" t="str">
        <f t="shared" si="1"/>
        <v>Y</v>
      </c>
      <c r="I96" s="8"/>
      <c r="M96" s="8"/>
    </row>
    <row r="97" spans="2:13" x14ac:dyDescent="0.25">
      <c r="B97" s="141" t="str">
        <f>Master[[#This Row],[Accession Prefix (NPGS)]]&amp;" "&amp;Master[[#This Row],[Accession Number -Assigned]]</f>
        <v>W6 59683</v>
      </c>
      <c r="C97" s="141" t="str">
        <f>Master[[#This Row],[Accession Prefix (NPGS)]]&amp;" "&amp;Master[[#This Row],[Accession Number -Assigned]]&amp;" **"</f>
        <v>W6 59683 **</v>
      </c>
      <c r="D97" s="76" t="str">
        <f>IF(Master[[#This Row],[Accession Name Category (Identifier 3) -Lookup Picker]]="","",Master[[#This Row],[Accession Name Category (Identifier 3) -Lookup Picker]])</f>
        <v/>
      </c>
      <c r="E97" s="76" t="str">
        <f>IF(Master[[#This Row],[Accession Name (Identifier 3)]]="","",Master[[#This Row],[Accession Name (Identifier 3)]])</f>
        <v/>
      </c>
      <c r="F97" s="45" t="str">
        <f>IF(Master[[#This Row],[Accession Name Cooperator (Identifier 3) -name, organization]]="","",Master[[#This Row],[Accession Name Cooperator (Identifier 3) -name, organization]])</f>
        <v/>
      </c>
      <c r="G97" s="141" t="str">
        <f t="shared" si="1"/>
        <v>Y</v>
      </c>
      <c r="I97" s="8"/>
      <c r="M97" s="8"/>
    </row>
    <row r="98" spans="2:13" x14ac:dyDescent="0.25">
      <c r="B98" s="141" t="str">
        <f>Master[[#This Row],[Accession Prefix (NPGS)]]&amp;" "&amp;Master[[#This Row],[Accession Number -Assigned]]</f>
        <v>W6 59684</v>
      </c>
      <c r="C98" s="141" t="str">
        <f>Master[[#This Row],[Accession Prefix (NPGS)]]&amp;" "&amp;Master[[#This Row],[Accession Number -Assigned]]&amp;" **"</f>
        <v>W6 59684 **</v>
      </c>
      <c r="D98" s="76" t="str">
        <f>IF(Master[[#This Row],[Accession Name Category (Identifier 3) -Lookup Picker]]="","",Master[[#This Row],[Accession Name Category (Identifier 3) -Lookup Picker]])</f>
        <v/>
      </c>
      <c r="E98" s="76" t="str">
        <f>IF(Master[[#This Row],[Accession Name (Identifier 3)]]="","",Master[[#This Row],[Accession Name (Identifier 3)]])</f>
        <v/>
      </c>
      <c r="F98" s="45" t="str">
        <f>IF(Master[[#This Row],[Accession Name Cooperator (Identifier 3) -name, organization]]="","",Master[[#This Row],[Accession Name Cooperator (Identifier 3) -name, organization]])</f>
        <v/>
      </c>
      <c r="G98" s="141" t="str">
        <f t="shared" si="1"/>
        <v>Y</v>
      </c>
      <c r="I98" s="8"/>
      <c r="M98" s="8"/>
    </row>
    <row r="99" spans="2:13" x14ac:dyDescent="0.25">
      <c r="B99" s="141" t="str">
        <f>Master[[#This Row],[Accession Prefix (NPGS)]]&amp;" "&amp;Master[[#This Row],[Accession Number -Assigned]]</f>
        <v>W6 59685</v>
      </c>
      <c r="C99" s="141" t="str">
        <f>Master[[#This Row],[Accession Prefix (NPGS)]]&amp;" "&amp;Master[[#This Row],[Accession Number -Assigned]]&amp;" **"</f>
        <v>W6 59685 **</v>
      </c>
      <c r="D99" s="76" t="str">
        <f>IF(Master[[#This Row],[Accession Name Category (Identifier 3) -Lookup Picker]]="","",Master[[#This Row],[Accession Name Category (Identifier 3) -Lookup Picker]])</f>
        <v/>
      </c>
      <c r="E99" s="76" t="str">
        <f>IF(Master[[#This Row],[Accession Name (Identifier 3)]]="","",Master[[#This Row],[Accession Name (Identifier 3)]])</f>
        <v/>
      </c>
      <c r="F99" s="45" t="str">
        <f>IF(Master[[#This Row],[Accession Name Cooperator (Identifier 3) -name, organization]]="","",Master[[#This Row],[Accession Name Cooperator (Identifier 3) -name, organization]])</f>
        <v/>
      </c>
      <c r="G99" s="141" t="str">
        <f t="shared" si="1"/>
        <v>Y</v>
      </c>
      <c r="I99" s="8"/>
      <c r="M99" s="8"/>
    </row>
    <row r="100" spans="2:13" x14ac:dyDescent="0.25">
      <c r="B100" s="141" t="str">
        <f>Master[[#This Row],[Accession Prefix (NPGS)]]&amp;" "&amp;Master[[#This Row],[Accession Number -Assigned]]</f>
        <v>W6 59686</v>
      </c>
      <c r="C100" s="141" t="str">
        <f>Master[[#This Row],[Accession Prefix (NPGS)]]&amp;" "&amp;Master[[#This Row],[Accession Number -Assigned]]&amp;" **"</f>
        <v>W6 59686 **</v>
      </c>
      <c r="D100" s="76" t="str">
        <f>IF(Master[[#This Row],[Accession Name Category (Identifier 3) -Lookup Picker]]="","",Master[[#This Row],[Accession Name Category (Identifier 3) -Lookup Picker]])</f>
        <v/>
      </c>
      <c r="E100" s="76" t="str">
        <f>IF(Master[[#This Row],[Accession Name (Identifier 3)]]="","",Master[[#This Row],[Accession Name (Identifier 3)]])</f>
        <v/>
      </c>
      <c r="F100" s="45" t="str">
        <f>IF(Master[[#This Row],[Accession Name Cooperator (Identifier 3) -name, organization]]="","",Master[[#This Row],[Accession Name Cooperator (Identifier 3) -name, organization]])</f>
        <v/>
      </c>
      <c r="G100" s="141" t="str">
        <f t="shared" si="1"/>
        <v>Y</v>
      </c>
    </row>
    <row r="101" spans="2:13" x14ac:dyDescent="0.25">
      <c r="B101" s="141" t="str">
        <f>Master[[#This Row],[Accession Prefix (NPGS)]]&amp;" "&amp;Master[[#This Row],[Accession Number -Assigned]]</f>
        <v>W6 59687</v>
      </c>
      <c r="C101" s="141" t="str">
        <f>Master[[#This Row],[Accession Prefix (NPGS)]]&amp;" "&amp;Master[[#This Row],[Accession Number -Assigned]]&amp;" **"</f>
        <v>W6 59687 **</v>
      </c>
      <c r="D101" s="76" t="str">
        <f>IF(Master[[#This Row],[Accession Name Category (Identifier 3) -Lookup Picker]]="","",Master[[#This Row],[Accession Name Category (Identifier 3) -Lookup Picker]])</f>
        <v/>
      </c>
      <c r="E101" s="76" t="str">
        <f>IF(Master[[#This Row],[Accession Name (Identifier 3)]]="","",Master[[#This Row],[Accession Name (Identifier 3)]])</f>
        <v/>
      </c>
      <c r="F101" s="45" t="str">
        <f>IF(Master[[#This Row],[Accession Name Cooperator (Identifier 3) -name, organization]]="","",Master[[#This Row],[Accession Name Cooperator (Identifier 3) -name, organization]])</f>
        <v/>
      </c>
      <c r="G101" s="141" t="str">
        <f t="shared" si="1"/>
        <v>Y</v>
      </c>
    </row>
    <row r="102" spans="2:13" x14ac:dyDescent="0.25">
      <c r="B102" s="141" t="str">
        <f>Master[[#This Row],[Accession Prefix (NPGS)]]&amp;" "&amp;Master[[#This Row],[Accession Number -Assigned]]</f>
        <v>W6 59688</v>
      </c>
      <c r="C102" s="141" t="str">
        <f>Master[[#This Row],[Accession Prefix (NPGS)]]&amp;" "&amp;Master[[#This Row],[Accession Number -Assigned]]&amp;" **"</f>
        <v>W6 59688 **</v>
      </c>
      <c r="D102" s="76" t="str">
        <f>IF(Master[[#This Row],[Accession Name Category (Identifier 3) -Lookup Picker]]="","",Master[[#This Row],[Accession Name Category (Identifier 3) -Lookup Picker]])</f>
        <v/>
      </c>
      <c r="E102" s="76" t="str">
        <f>IF(Master[[#This Row],[Accession Name (Identifier 3)]]="","",Master[[#This Row],[Accession Name (Identifier 3)]])</f>
        <v/>
      </c>
      <c r="F102" s="45" t="str">
        <f>IF(Master[[#This Row],[Accession Name Cooperator (Identifier 3) -name, organization]]="","",Master[[#This Row],[Accession Name Cooperator (Identifier 3) -name, organization]])</f>
        <v/>
      </c>
      <c r="G102" s="141" t="str">
        <f t="shared" si="1"/>
        <v>Y</v>
      </c>
    </row>
    <row r="103" spans="2:13" x14ac:dyDescent="0.25">
      <c r="B103" s="141" t="str">
        <f>Master[[#This Row],[Accession Prefix (NPGS)]]&amp;" "&amp;Master[[#This Row],[Accession Number -Assigned]]</f>
        <v>W6 59689</v>
      </c>
      <c r="C103" s="141" t="str">
        <f>Master[[#This Row],[Accession Prefix (NPGS)]]&amp;" "&amp;Master[[#This Row],[Accession Number -Assigned]]&amp;" **"</f>
        <v>W6 59689 **</v>
      </c>
      <c r="D103" s="76" t="str">
        <f>IF(Master[[#This Row],[Accession Name Category (Identifier 3) -Lookup Picker]]="","",Master[[#This Row],[Accession Name Category (Identifier 3) -Lookup Picker]])</f>
        <v/>
      </c>
      <c r="E103" s="76" t="str">
        <f>IF(Master[[#This Row],[Accession Name (Identifier 3)]]="","",Master[[#This Row],[Accession Name (Identifier 3)]])</f>
        <v/>
      </c>
      <c r="F103" s="45" t="str">
        <f>IF(Master[[#This Row],[Accession Name Cooperator (Identifier 3) -name, organization]]="","",Master[[#This Row],[Accession Name Cooperator (Identifier 3) -name, organization]])</f>
        <v/>
      </c>
      <c r="G103" s="141" t="str">
        <f t="shared" si="1"/>
        <v>Y</v>
      </c>
    </row>
    <row r="104" spans="2:13" x14ac:dyDescent="0.25">
      <c r="B104" s="141" t="str">
        <f>Master[[#This Row],[Accession Prefix (NPGS)]]&amp;" "&amp;Master[[#This Row],[Accession Number -Assigned]]</f>
        <v>W6 59690</v>
      </c>
      <c r="C104" s="141" t="str">
        <f>Master[[#This Row],[Accession Prefix (NPGS)]]&amp;" "&amp;Master[[#This Row],[Accession Number -Assigned]]&amp;" **"</f>
        <v>W6 59690 **</v>
      </c>
      <c r="D104" s="76" t="str">
        <f>IF(Master[[#This Row],[Accession Name Category (Identifier 3) -Lookup Picker]]="","",Master[[#This Row],[Accession Name Category (Identifier 3) -Lookup Picker]])</f>
        <v/>
      </c>
      <c r="E104" s="76" t="str">
        <f>IF(Master[[#This Row],[Accession Name (Identifier 3)]]="","",Master[[#This Row],[Accession Name (Identifier 3)]])</f>
        <v/>
      </c>
      <c r="F104" s="45" t="str">
        <f>IF(Master[[#This Row],[Accession Name Cooperator (Identifier 3) -name, organization]]="","",Master[[#This Row],[Accession Name Cooperator (Identifier 3) -name, organization]])</f>
        <v/>
      </c>
      <c r="G104" s="141" t="str">
        <f t="shared" si="1"/>
        <v>Y</v>
      </c>
    </row>
    <row r="105" spans="2:13" x14ac:dyDescent="0.25">
      <c r="B105" s="141" t="str">
        <f>Master[[#This Row],[Accession Prefix (NPGS)]]&amp;" "&amp;Master[[#This Row],[Accession Number -Assigned]]</f>
        <v>W6 59691</v>
      </c>
      <c r="C105" s="141" t="str">
        <f>Master[[#This Row],[Accession Prefix (NPGS)]]&amp;" "&amp;Master[[#This Row],[Accession Number -Assigned]]&amp;" **"</f>
        <v>W6 59691 **</v>
      </c>
      <c r="D105" s="76" t="str">
        <f>IF(Master[[#This Row],[Accession Name Category (Identifier 3) -Lookup Picker]]="","",Master[[#This Row],[Accession Name Category (Identifier 3) -Lookup Picker]])</f>
        <v/>
      </c>
      <c r="E105" s="76" t="str">
        <f>IF(Master[[#This Row],[Accession Name (Identifier 3)]]="","",Master[[#This Row],[Accession Name (Identifier 3)]])</f>
        <v/>
      </c>
      <c r="F105" s="45" t="str">
        <f>IF(Master[[#This Row],[Accession Name Cooperator (Identifier 3) -name, organization]]="","",Master[[#This Row],[Accession Name Cooperator (Identifier 3) -name, organization]])</f>
        <v/>
      </c>
      <c r="G105" s="141" t="str">
        <f t="shared" si="1"/>
        <v>Y</v>
      </c>
    </row>
    <row r="106" spans="2:13" x14ac:dyDescent="0.25">
      <c r="B106" s="141" t="str">
        <f>Master[[#This Row],[Accession Prefix (NPGS)]]&amp;" "&amp;Master[[#This Row],[Accession Number -Assigned]]</f>
        <v>W6 59692</v>
      </c>
      <c r="C106" s="141" t="str">
        <f>Master[[#This Row],[Accession Prefix (NPGS)]]&amp;" "&amp;Master[[#This Row],[Accession Number -Assigned]]&amp;" **"</f>
        <v>W6 59692 **</v>
      </c>
      <c r="D106" s="76" t="str">
        <f>IF(Master[[#This Row],[Accession Name Category (Identifier 3) -Lookup Picker]]="","",Master[[#This Row],[Accession Name Category (Identifier 3) -Lookup Picker]])</f>
        <v/>
      </c>
      <c r="E106" s="76" t="str">
        <f>IF(Master[[#This Row],[Accession Name (Identifier 3)]]="","",Master[[#This Row],[Accession Name (Identifier 3)]])</f>
        <v/>
      </c>
      <c r="F106" s="45" t="str">
        <f>IF(Master[[#This Row],[Accession Name Cooperator (Identifier 3) -name, organization]]="","",Master[[#This Row],[Accession Name Cooperator (Identifier 3) -name, organization]])</f>
        <v/>
      </c>
      <c r="G106" s="141" t="str">
        <f t="shared" si="1"/>
        <v>Y</v>
      </c>
    </row>
    <row r="107" spans="2:13" x14ac:dyDescent="0.25">
      <c r="B107" s="141" t="str">
        <f>Master[[#This Row],[Accession Prefix (NPGS)]]&amp;" "&amp;Master[[#This Row],[Accession Number -Assigned]]</f>
        <v>W6 59693</v>
      </c>
      <c r="C107" s="141" t="str">
        <f>Master[[#This Row],[Accession Prefix (NPGS)]]&amp;" "&amp;Master[[#This Row],[Accession Number -Assigned]]&amp;" **"</f>
        <v>W6 59693 **</v>
      </c>
      <c r="D107" s="76" t="str">
        <f>IF(Master[[#This Row],[Accession Name Category (Identifier 3) -Lookup Picker]]="","",Master[[#This Row],[Accession Name Category (Identifier 3) -Lookup Picker]])</f>
        <v/>
      </c>
      <c r="E107" s="76" t="str">
        <f>IF(Master[[#This Row],[Accession Name (Identifier 3)]]="","",Master[[#This Row],[Accession Name (Identifier 3)]])</f>
        <v/>
      </c>
      <c r="F107" s="45" t="str">
        <f>IF(Master[[#This Row],[Accession Name Cooperator (Identifier 3) -name, organization]]="","",Master[[#This Row],[Accession Name Cooperator (Identifier 3) -name, organization]])</f>
        <v/>
      </c>
      <c r="G107" s="141" t="str">
        <f t="shared" si="1"/>
        <v>Y</v>
      </c>
    </row>
    <row r="108" spans="2:13" x14ac:dyDescent="0.25">
      <c r="B108" s="141" t="str">
        <f>Master[[#This Row],[Accession Prefix (NPGS)]]&amp;" "&amp;Master[[#This Row],[Accession Number -Assigned]]</f>
        <v>W6 59694</v>
      </c>
      <c r="C108" s="141" t="str">
        <f>Master[[#This Row],[Accession Prefix (NPGS)]]&amp;" "&amp;Master[[#This Row],[Accession Number -Assigned]]&amp;" **"</f>
        <v>W6 59694 **</v>
      </c>
      <c r="D108" s="76" t="str">
        <f>IF(Master[[#This Row],[Accession Name Category (Identifier 3) -Lookup Picker]]="","",Master[[#This Row],[Accession Name Category (Identifier 3) -Lookup Picker]])</f>
        <v/>
      </c>
      <c r="E108" s="76" t="str">
        <f>IF(Master[[#This Row],[Accession Name (Identifier 3)]]="","",Master[[#This Row],[Accession Name (Identifier 3)]])</f>
        <v/>
      </c>
      <c r="F108" s="45" t="str">
        <f>IF(Master[[#This Row],[Accession Name Cooperator (Identifier 3) -name, organization]]="","",Master[[#This Row],[Accession Name Cooperator (Identifier 3) -name, organization]])</f>
        <v/>
      </c>
      <c r="G108" s="141" t="str">
        <f t="shared" si="1"/>
        <v>Y</v>
      </c>
    </row>
    <row r="109" spans="2:13" x14ac:dyDescent="0.25">
      <c r="B109" s="141" t="str">
        <f>Master[[#This Row],[Accession Prefix (NPGS)]]&amp;" "&amp;Master[[#This Row],[Accession Number -Assigned]]</f>
        <v>W6 59695</v>
      </c>
      <c r="C109" s="141" t="str">
        <f>Master[[#This Row],[Accession Prefix (NPGS)]]&amp;" "&amp;Master[[#This Row],[Accession Number -Assigned]]&amp;" **"</f>
        <v>W6 59695 **</v>
      </c>
      <c r="D109" s="76" t="str">
        <f>IF(Master[[#This Row],[Accession Name Category (Identifier 3) -Lookup Picker]]="","",Master[[#This Row],[Accession Name Category (Identifier 3) -Lookup Picker]])</f>
        <v/>
      </c>
      <c r="E109" s="76" t="str">
        <f>IF(Master[[#This Row],[Accession Name (Identifier 3)]]="","",Master[[#This Row],[Accession Name (Identifier 3)]])</f>
        <v/>
      </c>
      <c r="F109" s="45" t="str">
        <f>IF(Master[[#This Row],[Accession Name Cooperator (Identifier 3) -name, organization]]="","",Master[[#This Row],[Accession Name Cooperator (Identifier 3) -name, organization]])</f>
        <v/>
      </c>
      <c r="G109" s="141" t="str">
        <f t="shared" si="1"/>
        <v>Y</v>
      </c>
    </row>
    <row r="110" spans="2:13" x14ac:dyDescent="0.25">
      <c r="B110" s="141" t="str">
        <f>Master[[#This Row],[Accession Prefix (NPGS)]]&amp;" "&amp;Master[[#This Row],[Accession Number -Assigned]]</f>
        <v>W6 59696</v>
      </c>
      <c r="C110" s="141" t="str">
        <f>Master[[#This Row],[Accession Prefix (NPGS)]]&amp;" "&amp;Master[[#This Row],[Accession Number -Assigned]]&amp;" **"</f>
        <v>W6 59696 **</v>
      </c>
      <c r="D110" s="76" t="str">
        <f>IF(Master[[#This Row],[Accession Name Category (Identifier 3) -Lookup Picker]]="","",Master[[#This Row],[Accession Name Category (Identifier 3) -Lookup Picker]])</f>
        <v/>
      </c>
      <c r="E110" s="76" t="str">
        <f>IF(Master[[#This Row],[Accession Name (Identifier 3)]]="","",Master[[#This Row],[Accession Name (Identifier 3)]])</f>
        <v/>
      </c>
      <c r="F110" s="45" t="str">
        <f>IF(Master[[#This Row],[Accession Name Cooperator (Identifier 3) -name, organization]]="","",Master[[#This Row],[Accession Name Cooperator (Identifier 3) -name, organization]])</f>
        <v/>
      </c>
      <c r="G110" s="141" t="str">
        <f t="shared" si="1"/>
        <v>Y</v>
      </c>
    </row>
    <row r="111" spans="2:13" x14ac:dyDescent="0.25">
      <c r="B111" s="141" t="str">
        <f>Master[[#This Row],[Accession Prefix (NPGS)]]&amp;" "&amp;Master[[#This Row],[Accession Number -Assigned]]</f>
        <v>W6 59697</v>
      </c>
      <c r="C111" s="141" t="str">
        <f>Master[[#This Row],[Accession Prefix (NPGS)]]&amp;" "&amp;Master[[#This Row],[Accession Number -Assigned]]&amp;" **"</f>
        <v>W6 59697 **</v>
      </c>
      <c r="D111" s="76" t="str">
        <f>IF(Master[[#This Row],[Accession Name Category (Identifier 3) -Lookup Picker]]="","",Master[[#This Row],[Accession Name Category (Identifier 3) -Lookup Picker]])</f>
        <v/>
      </c>
      <c r="E111" s="76" t="str">
        <f>IF(Master[[#This Row],[Accession Name (Identifier 3)]]="","",Master[[#This Row],[Accession Name (Identifier 3)]])</f>
        <v/>
      </c>
      <c r="F111" s="45" t="str">
        <f>IF(Master[[#This Row],[Accession Name Cooperator (Identifier 3) -name, organization]]="","",Master[[#This Row],[Accession Name Cooperator (Identifier 3) -name, organization]])</f>
        <v/>
      </c>
      <c r="G111" s="141" t="str">
        <f t="shared" si="1"/>
        <v>Y</v>
      </c>
    </row>
    <row r="112" spans="2:13" x14ac:dyDescent="0.25">
      <c r="B112" s="141" t="str">
        <f>Master[[#This Row],[Accession Prefix (NPGS)]]&amp;" "&amp;Master[[#This Row],[Accession Number -Assigned]]</f>
        <v>W6 59698</v>
      </c>
      <c r="C112" s="141" t="str">
        <f>Master[[#This Row],[Accession Prefix (NPGS)]]&amp;" "&amp;Master[[#This Row],[Accession Number -Assigned]]&amp;" **"</f>
        <v>W6 59698 **</v>
      </c>
      <c r="D112" s="76" t="str">
        <f>IF(Master[[#This Row],[Accession Name Category (Identifier 3) -Lookup Picker]]="","",Master[[#This Row],[Accession Name Category (Identifier 3) -Lookup Picker]])</f>
        <v/>
      </c>
      <c r="E112" s="76" t="str">
        <f>IF(Master[[#This Row],[Accession Name (Identifier 3)]]="","",Master[[#This Row],[Accession Name (Identifier 3)]])</f>
        <v/>
      </c>
      <c r="F112" s="45" t="str">
        <f>IF(Master[[#This Row],[Accession Name Cooperator (Identifier 3) -name, organization]]="","",Master[[#This Row],[Accession Name Cooperator (Identifier 3) -name, organization]])</f>
        <v/>
      </c>
      <c r="G112" s="141" t="str">
        <f t="shared" si="1"/>
        <v>Y</v>
      </c>
    </row>
    <row r="113" spans="2:7" x14ac:dyDescent="0.25">
      <c r="B113" s="141" t="str">
        <f>Master[[#This Row],[Accession Prefix (NPGS)]]&amp;" "&amp;Master[[#This Row],[Accession Number -Assigned]]</f>
        <v>W6 59699</v>
      </c>
      <c r="C113" s="141" t="str">
        <f>Master[[#This Row],[Accession Prefix (NPGS)]]&amp;" "&amp;Master[[#This Row],[Accession Number -Assigned]]&amp;" **"</f>
        <v>W6 59699 **</v>
      </c>
      <c r="D113" s="76" t="str">
        <f>IF(Master[[#This Row],[Accession Name Category (Identifier 3) -Lookup Picker]]="","",Master[[#This Row],[Accession Name Category (Identifier 3) -Lookup Picker]])</f>
        <v/>
      </c>
      <c r="E113" s="76" t="str">
        <f>IF(Master[[#This Row],[Accession Name (Identifier 3)]]="","",Master[[#This Row],[Accession Name (Identifier 3)]])</f>
        <v/>
      </c>
      <c r="F113" s="45" t="str">
        <f>IF(Master[[#This Row],[Accession Name Cooperator (Identifier 3) -name, organization]]="","",Master[[#This Row],[Accession Name Cooperator (Identifier 3) -name, organization]])</f>
        <v/>
      </c>
      <c r="G113" s="141" t="str">
        <f t="shared" si="1"/>
        <v>Y</v>
      </c>
    </row>
    <row r="114" spans="2:7" x14ac:dyDescent="0.25">
      <c r="B114" s="141" t="str">
        <f>Master[[#This Row],[Accession Prefix (NPGS)]]&amp;" "&amp;Master[[#This Row],[Accession Number -Assigned]]</f>
        <v>W6 59700</v>
      </c>
      <c r="C114" s="141" t="str">
        <f>Master[[#This Row],[Accession Prefix (NPGS)]]&amp;" "&amp;Master[[#This Row],[Accession Number -Assigned]]&amp;" **"</f>
        <v>W6 59700 **</v>
      </c>
      <c r="D114" s="76" t="str">
        <f>IF(Master[[#This Row],[Accession Name Category (Identifier 3) -Lookup Picker]]="","",Master[[#This Row],[Accession Name Category (Identifier 3) -Lookup Picker]])</f>
        <v/>
      </c>
      <c r="E114" s="76" t="str">
        <f>IF(Master[[#This Row],[Accession Name (Identifier 3)]]="","",Master[[#This Row],[Accession Name (Identifier 3)]])</f>
        <v/>
      </c>
      <c r="F114" s="45" t="str">
        <f>IF(Master[[#This Row],[Accession Name Cooperator (Identifier 3) -name, organization]]="","",Master[[#This Row],[Accession Name Cooperator (Identifier 3) -name, organization]])</f>
        <v/>
      </c>
      <c r="G114" s="141" t="str">
        <f t="shared" si="1"/>
        <v>Y</v>
      </c>
    </row>
    <row r="115" spans="2:7" x14ac:dyDescent="0.25">
      <c r="B115" s="141" t="str">
        <f>Master[[#This Row],[Accession Prefix (NPGS)]]&amp;" "&amp;Master[[#This Row],[Accession Number -Assigned]]</f>
        <v>W6 59701</v>
      </c>
      <c r="C115" s="141" t="str">
        <f>Master[[#This Row],[Accession Prefix (NPGS)]]&amp;" "&amp;Master[[#This Row],[Accession Number -Assigned]]&amp;" **"</f>
        <v>W6 59701 **</v>
      </c>
      <c r="D115" s="76" t="str">
        <f>IF(Master[[#This Row],[Accession Name Category (Identifier 3) -Lookup Picker]]="","",Master[[#This Row],[Accession Name Category (Identifier 3) -Lookup Picker]])</f>
        <v/>
      </c>
      <c r="E115" s="76" t="str">
        <f>IF(Master[[#This Row],[Accession Name (Identifier 3)]]="","",Master[[#This Row],[Accession Name (Identifier 3)]])</f>
        <v/>
      </c>
      <c r="F115" s="45" t="str">
        <f>IF(Master[[#This Row],[Accession Name Cooperator (Identifier 3) -name, organization]]="","",Master[[#This Row],[Accession Name Cooperator (Identifier 3) -name, organization]])</f>
        <v/>
      </c>
      <c r="G115" s="141" t="str">
        <f t="shared" si="1"/>
        <v>Y</v>
      </c>
    </row>
    <row r="116" spans="2:7" x14ac:dyDescent="0.25">
      <c r="B116" s="141" t="str">
        <f>Master[[#This Row],[Accession Prefix (NPGS)]]&amp;" "&amp;Master[[#This Row],[Accession Number -Assigned]]</f>
        <v>W6 59702</v>
      </c>
      <c r="C116" s="141" t="str">
        <f>Master[[#This Row],[Accession Prefix (NPGS)]]&amp;" "&amp;Master[[#This Row],[Accession Number -Assigned]]&amp;" **"</f>
        <v>W6 59702 **</v>
      </c>
      <c r="D116" s="76" t="str">
        <f>IF(Master[[#This Row],[Accession Name Category (Identifier 3) -Lookup Picker]]="","",Master[[#This Row],[Accession Name Category (Identifier 3) -Lookup Picker]])</f>
        <v/>
      </c>
      <c r="E116" s="76" t="str">
        <f>IF(Master[[#This Row],[Accession Name (Identifier 3)]]="","",Master[[#This Row],[Accession Name (Identifier 3)]])</f>
        <v/>
      </c>
      <c r="F116" s="45" t="str">
        <f>IF(Master[[#This Row],[Accession Name Cooperator (Identifier 3) -name, organization]]="","",Master[[#This Row],[Accession Name Cooperator (Identifier 3) -name, organization]])</f>
        <v/>
      </c>
      <c r="G116" s="141" t="str">
        <f t="shared" si="1"/>
        <v>Y</v>
      </c>
    </row>
    <row r="117" spans="2:7" x14ac:dyDescent="0.25">
      <c r="B117" s="141" t="str">
        <f>Master[[#This Row],[Accession Prefix (NPGS)]]&amp;" "&amp;Master[[#This Row],[Accession Number -Assigned]]</f>
        <v>W6 59703</v>
      </c>
      <c r="C117" s="141" t="str">
        <f>Master[[#This Row],[Accession Prefix (NPGS)]]&amp;" "&amp;Master[[#This Row],[Accession Number -Assigned]]&amp;" **"</f>
        <v>W6 59703 **</v>
      </c>
      <c r="D117" s="76" t="str">
        <f>IF(Master[[#This Row],[Accession Name Category (Identifier 3) -Lookup Picker]]="","",Master[[#This Row],[Accession Name Category (Identifier 3) -Lookup Picker]])</f>
        <v/>
      </c>
      <c r="E117" s="76" t="str">
        <f>IF(Master[[#This Row],[Accession Name (Identifier 3)]]="","",Master[[#This Row],[Accession Name (Identifier 3)]])</f>
        <v/>
      </c>
      <c r="F117" s="45" t="str">
        <f>IF(Master[[#This Row],[Accession Name Cooperator (Identifier 3) -name, organization]]="","",Master[[#This Row],[Accession Name Cooperator (Identifier 3) -name, organization]])</f>
        <v/>
      </c>
      <c r="G117" s="141" t="str">
        <f t="shared" si="1"/>
        <v>Y</v>
      </c>
    </row>
    <row r="118" spans="2:7" x14ac:dyDescent="0.25">
      <c r="B118" s="141" t="str">
        <f>Master[[#This Row],[Accession Prefix (NPGS)]]&amp;" "&amp;Master[[#This Row],[Accession Number -Assigned]]</f>
        <v>W6 59704</v>
      </c>
      <c r="C118" s="141" t="str">
        <f>Master[[#This Row],[Accession Prefix (NPGS)]]&amp;" "&amp;Master[[#This Row],[Accession Number -Assigned]]&amp;" **"</f>
        <v>W6 59704 **</v>
      </c>
      <c r="D118" s="76" t="str">
        <f>IF(Master[[#This Row],[Accession Name Category (Identifier 3) -Lookup Picker]]="","",Master[[#This Row],[Accession Name Category (Identifier 3) -Lookup Picker]])</f>
        <v/>
      </c>
      <c r="E118" s="76" t="str">
        <f>IF(Master[[#This Row],[Accession Name (Identifier 3)]]="","",Master[[#This Row],[Accession Name (Identifier 3)]])</f>
        <v/>
      </c>
      <c r="F118" s="45" t="str">
        <f>IF(Master[[#This Row],[Accession Name Cooperator (Identifier 3) -name, organization]]="","",Master[[#This Row],[Accession Name Cooperator (Identifier 3) -name, organization]])</f>
        <v/>
      </c>
      <c r="G118" s="141" t="str">
        <f t="shared" si="1"/>
        <v>Y</v>
      </c>
    </row>
    <row r="119" spans="2:7" x14ac:dyDescent="0.25">
      <c r="B119" s="141" t="str">
        <f>Master[[#This Row],[Accession Prefix (NPGS)]]&amp;" "&amp;Master[[#This Row],[Accession Number -Assigned]]</f>
        <v>W6 59705</v>
      </c>
      <c r="C119" s="141" t="str">
        <f>Master[[#This Row],[Accession Prefix (NPGS)]]&amp;" "&amp;Master[[#This Row],[Accession Number -Assigned]]&amp;" **"</f>
        <v>W6 59705 **</v>
      </c>
      <c r="D119" s="76" t="str">
        <f>IF(Master[[#This Row],[Accession Name Category (Identifier 3) -Lookup Picker]]="","",Master[[#This Row],[Accession Name Category (Identifier 3) -Lookup Picker]])</f>
        <v/>
      </c>
      <c r="E119" s="76" t="str">
        <f>IF(Master[[#This Row],[Accession Name (Identifier 3)]]="","",Master[[#This Row],[Accession Name (Identifier 3)]])</f>
        <v/>
      </c>
      <c r="F119" s="45" t="str">
        <f>IF(Master[[#This Row],[Accession Name Cooperator (Identifier 3) -name, organization]]="","",Master[[#This Row],[Accession Name Cooperator (Identifier 3) -name, organization]])</f>
        <v/>
      </c>
      <c r="G119" s="141" t="str">
        <f t="shared" si="1"/>
        <v>Y</v>
      </c>
    </row>
    <row r="120" spans="2:7" x14ac:dyDescent="0.25">
      <c r="B120" s="141" t="str">
        <f>Master[[#This Row],[Accession Prefix (NPGS)]]&amp;" "&amp;Master[[#This Row],[Accession Number -Assigned]]</f>
        <v>W6 59706</v>
      </c>
      <c r="C120" s="141" t="str">
        <f>Master[[#This Row],[Accession Prefix (NPGS)]]&amp;" "&amp;Master[[#This Row],[Accession Number -Assigned]]&amp;" **"</f>
        <v>W6 59706 **</v>
      </c>
      <c r="D120" s="76" t="str">
        <f>IF(Master[[#This Row],[Accession Name Category (Identifier 3) -Lookup Picker]]="","",Master[[#This Row],[Accession Name Category (Identifier 3) -Lookup Picker]])</f>
        <v/>
      </c>
      <c r="E120" s="76" t="str">
        <f>IF(Master[[#This Row],[Accession Name (Identifier 3)]]="","",Master[[#This Row],[Accession Name (Identifier 3)]])</f>
        <v/>
      </c>
      <c r="F120" s="45" t="str">
        <f>IF(Master[[#This Row],[Accession Name Cooperator (Identifier 3) -name, organization]]="","",Master[[#This Row],[Accession Name Cooperator (Identifier 3) -name, organization]])</f>
        <v/>
      </c>
      <c r="G120" s="141" t="str">
        <f t="shared" si="1"/>
        <v>Y</v>
      </c>
    </row>
    <row r="121" spans="2:7" x14ac:dyDescent="0.25">
      <c r="B121" s="141" t="str">
        <f>Master[[#This Row],[Accession Prefix (NPGS)]]&amp;" "&amp;Master[[#This Row],[Accession Number -Assigned]]</f>
        <v>W6 59707</v>
      </c>
      <c r="C121" s="141" t="str">
        <f>Master[[#This Row],[Accession Prefix (NPGS)]]&amp;" "&amp;Master[[#This Row],[Accession Number -Assigned]]&amp;" **"</f>
        <v>W6 59707 **</v>
      </c>
      <c r="D121" s="76" t="str">
        <f>IF(Master[[#This Row],[Accession Name Category (Identifier 3) -Lookup Picker]]="","",Master[[#This Row],[Accession Name Category (Identifier 3) -Lookup Picker]])</f>
        <v/>
      </c>
      <c r="E121" s="76" t="str">
        <f>IF(Master[[#This Row],[Accession Name (Identifier 3)]]="","",Master[[#This Row],[Accession Name (Identifier 3)]])</f>
        <v/>
      </c>
      <c r="F121" s="45" t="str">
        <f>IF(Master[[#This Row],[Accession Name Cooperator (Identifier 3) -name, organization]]="","",Master[[#This Row],[Accession Name Cooperator (Identifier 3) -name, organization]])</f>
        <v/>
      </c>
      <c r="G121" s="141" t="str">
        <f t="shared" si="1"/>
        <v>Y</v>
      </c>
    </row>
    <row r="122" spans="2:7" x14ac:dyDescent="0.25">
      <c r="B122" s="141" t="str">
        <f>Master[[#This Row],[Accession Prefix (NPGS)]]&amp;" "&amp;Master[[#This Row],[Accession Number -Assigned]]</f>
        <v>W6 59708</v>
      </c>
      <c r="C122" s="141" t="str">
        <f>Master[[#This Row],[Accession Prefix (NPGS)]]&amp;" "&amp;Master[[#This Row],[Accession Number -Assigned]]&amp;" **"</f>
        <v>W6 59708 **</v>
      </c>
      <c r="D122" s="76" t="str">
        <f>IF(Master[[#This Row],[Accession Name Category (Identifier 3) -Lookup Picker]]="","",Master[[#This Row],[Accession Name Category (Identifier 3) -Lookup Picker]])</f>
        <v/>
      </c>
      <c r="E122" s="76" t="str">
        <f>IF(Master[[#This Row],[Accession Name (Identifier 3)]]="","",Master[[#This Row],[Accession Name (Identifier 3)]])</f>
        <v/>
      </c>
      <c r="F122" s="45" t="str">
        <f>IF(Master[[#This Row],[Accession Name Cooperator (Identifier 3) -name, organization]]="","",Master[[#This Row],[Accession Name Cooperator (Identifier 3) -name, organization]])</f>
        <v/>
      </c>
      <c r="G122" s="141" t="str">
        <f t="shared" si="1"/>
        <v>Y</v>
      </c>
    </row>
    <row r="123" spans="2:7" x14ac:dyDescent="0.25">
      <c r="B123" s="141" t="str">
        <f>Master[[#This Row],[Accession Prefix (NPGS)]]&amp;" "&amp;Master[[#This Row],[Accession Number -Assigned]]</f>
        <v>W6 59709</v>
      </c>
      <c r="C123" s="141" t="str">
        <f>Master[[#This Row],[Accession Prefix (NPGS)]]&amp;" "&amp;Master[[#This Row],[Accession Number -Assigned]]&amp;" **"</f>
        <v>W6 59709 **</v>
      </c>
      <c r="D123" s="76" t="str">
        <f>IF(Master[[#This Row],[Accession Name Category (Identifier 3) -Lookup Picker]]="","",Master[[#This Row],[Accession Name Category (Identifier 3) -Lookup Picker]])</f>
        <v/>
      </c>
      <c r="E123" s="76" t="str">
        <f>IF(Master[[#This Row],[Accession Name (Identifier 3)]]="","",Master[[#This Row],[Accession Name (Identifier 3)]])</f>
        <v/>
      </c>
      <c r="F123" s="45" t="str">
        <f>IF(Master[[#This Row],[Accession Name Cooperator (Identifier 3) -name, organization]]="","",Master[[#This Row],[Accession Name Cooperator (Identifier 3) -name, organization]])</f>
        <v/>
      </c>
      <c r="G123" s="141" t="str">
        <f t="shared" si="1"/>
        <v>Y</v>
      </c>
    </row>
    <row r="124" spans="2:7" x14ac:dyDescent="0.25">
      <c r="B124" s="141" t="str">
        <f>Master[[#This Row],[Accession Prefix (NPGS)]]&amp;" "&amp;Master[[#This Row],[Accession Number -Assigned]]</f>
        <v>W6 59710</v>
      </c>
      <c r="C124" s="141" t="str">
        <f>Master[[#This Row],[Accession Prefix (NPGS)]]&amp;" "&amp;Master[[#This Row],[Accession Number -Assigned]]&amp;" **"</f>
        <v>W6 59710 **</v>
      </c>
      <c r="D124" s="76" t="str">
        <f>IF(Master[[#This Row],[Accession Name Category (Identifier 3) -Lookup Picker]]="","",Master[[#This Row],[Accession Name Category (Identifier 3) -Lookup Picker]])</f>
        <v/>
      </c>
      <c r="E124" s="76" t="str">
        <f>IF(Master[[#This Row],[Accession Name (Identifier 3)]]="","",Master[[#This Row],[Accession Name (Identifier 3)]])</f>
        <v/>
      </c>
      <c r="F124" s="45" t="str">
        <f>IF(Master[[#This Row],[Accession Name Cooperator (Identifier 3) -name, organization]]="","",Master[[#This Row],[Accession Name Cooperator (Identifier 3) -name, organization]])</f>
        <v/>
      </c>
      <c r="G124" s="141" t="str">
        <f t="shared" si="1"/>
        <v>Y</v>
      </c>
    </row>
    <row r="125" spans="2:7" x14ac:dyDescent="0.25">
      <c r="B125" s="141" t="str">
        <f>Master[[#This Row],[Accession Prefix (NPGS)]]&amp;" "&amp;Master[[#This Row],[Accession Number -Assigned]]</f>
        <v>W6 59711</v>
      </c>
      <c r="C125" s="141" t="str">
        <f>Master[[#This Row],[Accession Prefix (NPGS)]]&amp;" "&amp;Master[[#This Row],[Accession Number -Assigned]]&amp;" **"</f>
        <v>W6 59711 **</v>
      </c>
      <c r="D125" s="76" t="str">
        <f>IF(Master[[#This Row],[Accession Name Category (Identifier 3) -Lookup Picker]]="","",Master[[#This Row],[Accession Name Category (Identifier 3) -Lookup Picker]])</f>
        <v/>
      </c>
      <c r="E125" s="76" t="str">
        <f>IF(Master[[#This Row],[Accession Name (Identifier 3)]]="","",Master[[#This Row],[Accession Name (Identifier 3)]])</f>
        <v/>
      </c>
      <c r="F125" s="45" t="str">
        <f>IF(Master[[#This Row],[Accession Name Cooperator (Identifier 3) -name, organization]]="","",Master[[#This Row],[Accession Name Cooperator (Identifier 3) -name, organization]])</f>
        <v/>
      </c>
      <c r="G125" s="141" t="str">
        <f t="shared" si="1"/>
        <v>Y</v>
      </c>
    </row>
    <row r="126" spans="2:7" x14ac:dyDescent="0.25">
      <c r="B126" s="141" t="str">
        <f>Master[[#This Row],[Accession Prefix (NPGS)]]&amp;" "&amp;Master[[#This Row],[Accession Number -Assigned]]</f>
        <v>W6 59712</v>
      </c>
      <c r="C126" s="141" t="str">
        <f>Master[[#This Row],[Accession Prefix (NPGS)]]&amp;" "&amp;Master[[#This Row],[Accession Number -Assigned]]&amp;" **"</f>
        <v>W6 59712 **</v>
      </c>
      <c r="D126" s="76" t="str">
        <f>IF(Master[[#This Row],[Accession Name Category (Identifier 3) -Lookup Picker]]="","",Master[[#This Row],[Accession Name Category (Identifier 3) -Lookup Picker]])</f>
        <v/>
      </c>
      <c r="E126" s="76" t="str">
        <f>IF(Master[[#This Row],[Accession Name (Identifier 3)]]="","",Master[[#This Row],[Accession Name (Identifier 3)]])</f>
        <v/>
      </c>
      <c r="F126" s="45" t="str">
        <f>IF(Master[[#This Row],[Accession Name Cooperator (Identifier 3) -name, organization]]="","",Master[[#This Row],[Accession Name Cooperator (Identifier 3) -name, organization]])</f>
        <v/>
      </c>
      <c r="G126" s="141" t="str">
        <f t="shared" si="1"/>
        <v>Y</v>
      </c>
    </row>
    <row r="127" spans="2:7" x14ac:dyDescent="0.25">
      <c r="B127" s="141" t="str">
        <f>Master[[#This Row],[Accession Prefix (NPGS)]]&amp;" "&amp;Master[[#This Row],[Accession Number -Assigned]]</f>
        <v>W6 59713</v>
      </c>
      <c r="C127" s="141" t="str">
        <f>Master[[#This Row],[Accession Prefix (NPGS)]]&amp;" "&amp;Master[[#This Row],[Accession Number -Assigned]]&amp;" **"</f>
        <v>W6 59713 **</v>
      </c>
      <c r="D127" s="76" t="str">
        <f>IF(Master[[#This Row],[Accession Name Category (Identifier 3) -Lookup Picker]]="","",Master[[#This Row],[Accession Name Category (Identifier 3) -Lookup Picker]])</f>
        <v/>
      </c>
      <c r="E127" s="76" t="str">
        <f>IF(Master[[#This Row],[Accession Name (Identifier 3)]]="","",Master[[#This Row],[Accession Name (Identifier 3)]])</f>
        <v/>
      </c>
      <c r="F127" s="45" t="str">
        <f>IF(Master[[#This Row],[Accession Name Cooperator (Identifier 3) -name, organization]]="","",Master[[#This Row],[Accession Name Cooperator (Identifier 3) -name, organization]])</f>
        <v/>
      </c>
      <c r="G127" s="141" t="str">
        <f t="shared" si="1"/>
        <v>Y</v>
      </c>
    </row>
    <row r="128" spans="2:7" x14ac:dyDescent="0.25">
      <c r="B128" s="141" t="str">
        <f>Master[[#This Row],[Accession Prefix (NPGS)]]&amp;" "&amp;Master[[#This Row],[Accession Number -Assigned]]</f>
        <v>W6 59714</v>
      </c>
      <c r="C128" s="141" t="str">
        <f>Master[[#This Row],[Accession Prefix (NPGS)]]&amp;" "&amp;Master[[#This Row],[Accession Number -Assigned]]&amp;" **"</f>
        <v>W6 59714 **</v>
      </c>
      <c r="D128" s="76" t="str">
        <f>IF(Master[[#This Row],[Accession Name Category (Identifier 3) -Lookup Picker]]="","",Master[[#This Row],[Accession Name Category (Identifier 3) -Lookup Picker]])</f>
        <v/>
      </c>
      <c r="E128" s="76" t="str">
        <f>IF(Master[[#This Row],[Accession Name (Identifier 3)]]="","",Master[[#This Row],[Accession Name (Identifier 3)]])</f>
        <v/>
      </c>
      <c r="F128" s="45" t="str">
        <f>IF(Master[[#This Row],[Accession Name Cooperator (Identifier 3) -name, organization]]="","",Master[[#This Row],[Accession Name Cooperator (Identifier 3) -name, organization]])</f>
        <v/>
      </c>
      <c r="G128" s="141" t="str">
        <f t="shared" si="1"/>
        <v>Y</v>
      </c>
    </row>
    <row r="129" spans="2:7" x14ac:dyDescent="0.25">
      <c r="B129" s="141" t="str">
        <f>Master[[#This Row],[Accession Prefix (NPGS)]]&amp;" "&amp;Master[[#This Row],[Accession Number -Assigned]]</f>
        <v>W6 59715</v>
      </c>
      <c r="C129" s="141" t="str">
        <f>Master[[#This Row],[Accession Prefix (NPGS)]]&amp;" "&amp;Master[[#This Row],[Accession Number -Assigned]]&amp;" **"</f>
        <v>W6 59715 **</v>
      </c>
      <c r="D129" s="76" t="str">
        <f>IF(Master[[#This Row],[Accession Name Category (Identifier 3) -Lookup Picker]]="","",Master[[#This Row],[Accession Name Category (Identifier 3) -Lookup Picker]])</f>
        <v/>
      </c>
      <c r="E129" s="76" t="str">
        <f>IF(Master[[#This Row],[Accession Name (Identifier 3)]]="","",Master[[#This Row],[Accession Name (Identifier 3)]])</f>
        <v/>
      </c>
      <c r="F129" s="45" t="str">
        <f>IF(Master[[#This Row],[Accession Name Cooperator (Identifier 3) -name, organization]]="","",Master[[#This Row],[Accession Name Cooperator (Identifier 3) -name, organization]])</f>
        <v/>
      </c>
      <c r="G129" s="141" t="str">
        <f t="shared" si="1"/>
        <v>Y</v>
      </c>
    </row>
    <row r="130" spans="2:7" x14ac:dyDescent="0.25">
      <c r="B130" s="141" t="str">
        <f>Master[[#This Row],[Accession Prefix (NPGS)]]&amp;" "&amp;Master[[#This Row],[Accession Number -Assigned]]</f>
        <v>W6 59716</v>
      </c>
      <c r="C130" s="141" t="str">
        <f>Master[[#This Row],[Accession Prefix (NPGS)]]&amp;" "&amp;Master[[#This Row],[Accession Number -Assigned]]&amp;" **"</f>
        <v>W6 59716 **</v>
      </c>
      <c r="D130" s="76" t="str">
        <f>IF(Master[[#This Row],[Accession Name Category (Identifier 3) -Lookup Picker]]="","",Master[[#This Row],[Accession Name Category (Identifier 3) -Lookup Picker]])</f>
        <v/>
      </c>
      <c r="E130" s="76" t="str">
        <f>IF(Master[[#This Row],[Accession Name (Identifier 3)]]="","",Master[[#This Row],[Accession Name (Identifier 3)]])</f>
        <v/>
      </c>
      <c r="F130" s="45" t="str">
        <f>IF(Master[[#This Row],[Accession Name Cooperator (Identifier 3) -name, organization]]="","",Master[[#This Row],[Accession Name Cooperator (Identifier 3) -name, organization]])</f>
        <v/>
      </c>
      <c r="G130" s="141" t="str">
        <f t="shared" si="1"/>
        <v>Y</v>
      </c>
    </row>
    <row r="131" spans="2:7" x14ac:dyDescent="0.25">
      <c r="B131" s="141" t="str">
        <f>Master[[#This Row],[Accession Prefix (NPGS)]]&amp;" "&amp;Master[[#This Row],[Accession Number -Assigned]]</f>
        <v>W6 59717</v>
      </c>
      <c r="C131" s="141" t="str">
        <f>Master[[#This Row],[Accession Prefix (NPGS)]]&amp;" "&amp;Master[[#This Row],[Accession Number -Assigned]]&amp;" **"</f>
        <v>W6 59717 **</v>
      </c>
      <c r="D131" s="76" t="str">
        <f>IF(Master[[#This Row],[Accession Name Category (Identifier 3) -Lookup Picker]]="","",Master[[#This Row],[Accession Name Category (Identifier 3) -Lookup Picker]])</f>
        <v/>
      </c>
      <c r="E131" s="76" t="str">
        <f>IF(Master[[#This Row],[Accession Name (Identifier 3)]]="","",Master[[#This Row],[Accession Name (Identifier 3)]])</f>
        <v/>
      </c>
      <c r="F131" s="45" t="str">
        <f>IF(Master[[#This Row],[Accession Name Cooperator (Identifier 3) -name, organization]]="","",Master[[#This Row],[Accession Name Cooperator (Identifier 3) -name, organization]])</f>
        <v/>
      </c>
      <c r="G131" s="141" t="str">
        <f t="shared" ref="G131:G194" si="2">"Y"</f>
        <v>Y</v>
      </c>
    </row>
    <row r="132" spans="2:7" x14ac:dyDescent="0.25">
      <c r="B132" s="141" t="str">
        <f>Master[[#This Row],[Accession Prefix (NPGS)]]&amp;" "&amp;Master[[#This Row],[Accession Number -Assigned]]</f>
        <v>W6 59718</v>
      </c>
      <c r="C132" s="141" t="str">
        <f>Master[[#This Row],[Accession Prefix (NPGS)]]&amp;" "&amp;Master[[#This Row],[Accession Number -Assigned]]&amp;" **"</f>
        <v>W6 59718 **</v>
      </c>
      <c r="D132" s="76" t="str">
        <f>IF(Master[[#This Row],[Accession Name Category (Identifier 3) -Lookup Picker]]="","",Master[[#This Row],[Accession Name Category (Identifier 3) -Lookup Picker]])</f>
        <v/>
      </c>
      <c r="E132" s="76" t="str">
        <f>IF(Master[[#This Row],[Accession Name (Identifier 3)]]="","",Master[[#This Row],[Accession Name (Identifier 3)]])</f>
        <v/>
      </c>
      <c r="F132" s="45" t="str">
        <f>IF(Master[[#This Row],[Accession Name Cooperator (Identifier 3) -name, organization]]="","",Master[[#This Row],[Accession Name Cooperator (Identifier 3) -name, organization]])</f>
        <v/>
      </c>
      <c r="G132" s="141" t="str">
        <f t="shared" si="2"/>
        <v>Y</v>
      </c>
    </row>
    <row r="133" spans="2:7" x14ac:dyDescent="0.25">
      <c r="B133" s="141" t="str">
        <f>Master[[#This Row],[Accession Prefix (NPGS)]]&amp;" "&amp;Master[[#This Row],[Accession Number -Assigned]]</f>
        <v>W6 59719</v>
      </c>
      <c r="C133" s="141" t="str">
        <f>Master[[#This Row],[Accession Prefix (NPGS)]]&amp;" "&amp;Master[[#This Row],[Accession Number -Assigned]]&amp;" **"</f>
        <v>W6 59719 **</v>
      </c>
      <c r="D133" s="76" t="str">
        <f>IF(Master[[#This Row],[Accession Name Category (Identifier 3) -Lookup Picker]]="","",Master[[#This Row],[Accession Name Category (Identifier 3) -Lookup Picker]])</f>
        <v/>
      </c>
      <c r="E133" s="76" t="str">
        <f>IF(Master[[#This Row],[Accession Name (Identifier 3)]]="","",Master[[#This Row],[Accession Name (Identifier 3)]])</f>
        <v/>
      </c>
      <c r="F133" s="45" t="str">
        <f>IF(Master[[#This Row],[Accession Name Cooperator (Identifier 3) -name, organization]]="","",Master[[#This Row],[Accession Name Cooperator (Identifier 3) -name, organization]])</f>
        <v/>
      </c>
      <c r="G133" s="141" t="str">
        <f t="shared" si="2"/>
        <v>Y</v>
      </c>
    </row>
    <row r="134" spans="2:7" x14ac:dyDescent="0.25">
      <c r="B134" s="141" t="str">
        <f>Master[[#This Row],[Accession Prefix (NPGS)]]&amp;" "&amp;Master[[#This Row],[Accession Number -Assigned]]</f>
        <v>W6 59720</v>
      </c>
      <c r="C134" s="141" t="str">
        <f>Master[[#This Row],[Accession Prefix (NPGS)]]&amp;" "&amp;Master[[#This Row],[Accession Number -Assigned]]&amp;" **"</f>
        <v>W6 59720 **</v>
      </c>
      <c r="D134" s="76" t="str">
        <f>IF(Master[[#This Row],[Accession Name Category (Identifier 3) -Lookup Picker]]="","",Master[[#This Row],[Accession Name Category (Identifier 3) -Lookup Picker]])</f>
        <v/>
      </c>
      <c r="E134" s="76" t="str">
        <f>IF(Master[[#This Row],[Accession Name (Identifier 3)]]="","",Master[[#This Row],[Accession Name (Identifier 3)]])</f>
        <v/>
      </c>
      <c r="F134" s="45" t="str">
        <f>IF(Master[[#This Row],[Accession Name Cooperator (Identifier 3) -name, organization]]="","",Master[[#This Row],[Accession Name Cooperator (Identifier 3) -name, organization]])</f>
        <v/>
      </c>
      <c r="G134" s="141" t="str">
        <f t="shared" si="2"/>
        <v>Y</v>
      </c>
    </row>
    <row r="135" spans="2:7" x14ac:dyDescent="0.25">
      <c r="B135" s="141" t="str">
        <f>Master[[#This Row],[Accession Prefix (NPGS)]]&amp;" "&amp;Master[[#This Row],[Accession Number -Assigned]]</f>
        <v>W6 59721</v>
      </c>
      <c r="C135" s="141" t="str">
        <f>Master[[#This Row],[Accession Prefix (NPGS)]]&amp;" "&amp;Master[[#This Row],[Accession Number -Assigned]]&amp;" **"</f>
        <v>W6 59721 **</v>
      </c>
      <c r="D135" s="76" t="str">
        <f>IF(Master[[#This Row],[Accession Name Category (Identifier 3) -Lookup Picker]]="","",Master[[#This Row],[Accession Name Category (Identifier 3) -Lookup Picker]])</f>
        <v/>
      </c>
      <c r="E135" s="76" t="str">
        <f>IF(Master[[#This Row],[Accession Name (Identifier 3)]]="","",Master[[#This Row],[Accession Name (Identifier 3)]])</f>
        <v/>
      </c>
      <c r="F135" s="45" t="str">
        <f>IF(Master[[#This Row],[Accession Name Cooperator (Identifier 3) -name, organization]]="","",Master[[#This Row],[Accession Name Cooperator (Identifier 3) -name, organization]])</f>
        <v/>
      </c>
      <c r="G135" s="141" t="str">
        <f t="shared" si="2"/>
        <v>Y</v>
      </c>
    </row>
    <row r="136" spans="2:7" x14ac:dyDescent="0.25">
      <c r="B136" s="141" t="str">
        <f>Master[[#This Row],[Accession Prefix (NPGS)]]&amp;" "&amp;Master[[#This Row],[Accession Number -Assigned]]</f>
        <v>W6 59722</v>
      </c>
      <c r="C136" s="141" t="str">
        <f>Master[[#This Row],[Accession Prefix (NPGS)]]&amp;" "&amp;Master[[#This Row],[Accession Number -Assigned]]&amp;" **"</f>
        <v>W6 59722 **</v>
      </c>
      <c r="D136" s="76" t="str">
        <f>IF(Master[[#This Row],[Accession Name Category (Identifier 3) -Lookup Picker]]="","",Master[[#This Row],[Accession Name Category (Identifier 3) -Lookup Picker]])</f>
        <v/>
      </c>
      <c r="E136" s="76" t="str">
        <f>IF(Master[[#This Row],[Accession Name (Identifier 3)]]="","",Master[[#This Row],[Accession Name (Identifier 3)]])</f>
        <v/>
      </c>
      <c r="F136" s="45" t="str">
        <f>IF(Master[[#This Row],[Accession Name Cooperator (Identifier 3) -name, organization]]="","",Master[[#This Row],[Accession Name Cooperator (Identifier 3) -name, organization]])</f>
        <v/>
      </c>
      <c r="G136" s="141" t="str">
        <f t="shared" si="2"/>
        <v>Y</v>
      </c>
    </row>
    <row r="137" spans="2:7" x14ac:dyDescent="0.25">
      <c r="B137" s="141" t="str">
        <f>Master[[#This Row],[Accession Prefix (NPGS)]]&amp;" "&amp;Master[[#This Row],[Accession Number -Assigned]]</f>
        <v>W6 59723</v>
      </c>
      <c r="C137" s="141" t="str">
        <f>Master[[#This Row],[Accession Prefix (NPGS)]]&amp;" "&amp;Master[[#This Row],[Accession Number -Assigned]]&amp;" **"</f>
        <v>W6 59723 **</v>
      </c>
      <c r="D137" s="76" t="str">
        <f>IF(Master[[#This Row],[Accession Name Category (Identifier 3) -Lookup Picker]]="","",Master[[#This Row],[Accession Name Category (Identifier 3) -Lookup Picker]])</f>
        <v/>
      </c>
      <c r="E137" s="76" t="str">
        <f>IF(Master[[#This Row],[Accession Name (Identifier 3)]]="","",Master[[#This Row],[Accession Name (Identifier 3)]])</f>
        <v/>
      </c>
      <c r="F137" s="45" t="str">
        <f>IF(Master[[#This Row],[Accession Name Cooperator (Identifier 3) -name, organization]]="","",Master[[#This Row],[Accession Name Cooperator (Identifier 3) -name, organization]])</f>
        <v/>
      </c>
      <c r="G137" s="141" t="str">
        <f t="shared" si="2"/>
        <v>Y</v>
      </c>
    </row>
    <row r="138" spans="2:7" x14ac:dyDescent="0.25">
      <c r="B138" s="141" t="str">
        <f>Master[[#This Row],[Accession Prefix (NPGS)]]&amp;" "&amp;Master[[#This Row],[Accession Number -Assigned]]</f>
        <v>W6 59724</v>
      </c>
      <c r="C138" s="141" t="str">
        <f>Master[[#This Row],[Accession Prefix (NPGS)]]&amp;" "&amp;Master[[#This Row],[Accession Number -Assigned]]&amp;" **"</f>
        <v>W6 59724 **</v>
      </c>
      <c r="D138" s="76" t="str">
        <f>IF(Master[[#This Row],[Accession Name Category (Identifier 3) -Lookup Picker]]="","",Master[[#This Row],[Accession Name Category (Identifier 3) -Lookup Picker]])</f>
        <v/>
      </c>
      <c r="E138" s="76" t="str">
        <f>IF(Master[[#This Row],[Accession Name (Identifier 3)]]="","",Master[[#This Row],[Accession Name (Identifier 3)]])</f>
        <v/>
      </c>
      <c r="F138" s="45" t="str">
        <f>IF(Master[[#This Row],[Accession Name Cooperator (Identifier 3) -name, organization]]="","",Master[[#This Row],[Accession Name Cooperator (Identifier 3) -name, organization]])</f>
        <v/>
      </c>
      <c r="G138" s="141" t="str">
        <f t="shared" si="2"/>
        <v>Y</v>
      </c>
    </row>
    <row r="139" spans="2:7" x14ac:dyDescent="0.25">
      <c r="B139" s="141" t="str">
        <f>Master[[#This Row],[Accession Prefix (NPGS)]]&amp;" "&amp;Master[[#This Row],[Accession Number -Assigned]]</f>
        <v>W6 59725</v>
      </c>
      <c r="C139" s="141" t="str">
        <f>Master[[#This Row],[Accession Prefix (NPGS)]]&amp;" "&amp;Master[[#This Row],[Accession Number -Assigned]]&amp;" **"</f>
        <v>W6 59725 **</v>
      </c>
      <c r="D139" s="76" t="str">
        <f>IF(Master[[#This Row],[Accession Name Category (Identifier 3) -Lookup Picker]]="","",Master[[#This Row],[Accession Name Category (Identifier 3) -Lookup Picker]])</f>
        <v/>
      </c>
      <c r="E139" s="76" t="str">
        <f>IF(Master[[#This Row],[Accession Name (Identifier 3)]]="","",Master[[#This Row],[Accession Name (Identifier 3)]])</f>
        <v/>
      </c>
      <c r="F139" s="45" t="str">
        <f>IF(Master[[#This Row],[Accession Name Cooperator (Identifier 3) -name, organization]]="","",Master[[#This Row],[Accession Name Cooperator (Identifier 3) -name, organization]])</f>
        <v/>
      </c>
      <c r="G139" s="141" t="str">
        <f t="shared" si="2"/>
        <v>Y</v>
      </c>
    </row>
    <row r="140" spans="2:7" x14ac:dyDescent="0.25">
      <c r="B140" s="141" t="str">
        <f>Master[[#This Row],[Accession Prefix (NPGS)]]&amp;" "&amp;Master[[#This Row],[Accession Number -Assigned]]</f>
        <v>W6 59726</v>
      </c>
      <c r="C140" s="141" t="str">
        <f>Master[[#This Row],[Accession Prefix (NPGS)]]&amp;" "&amp;Master[[#This Row],[Accession Number -Assigned]]&amp;" **"</f>
        <v>W6 59726 **</v>
      </c>
      <c r="D140" s="76" t="str">
        <f>IF(Master[[#This Row],[Accession Name Category (Identifier 3) -Lookup Picker]]="","",Master[[#This Row],[Accession Name Category (Identifier 3) -Lookup Picker]])</f>
        <v/>
      </c>
      <c r="E140" s="76" t="str">
        <f>IF(Master[[#This Row],[Accession Name (Identifier 3)]]="","",Master[[#This Row],[Accession Name (Identifier 3)]])</f>
        <v/>
      </c>
      <c r="F140" s="45" t="str">
        <f>IF(Master[[#This Row],[Accession Name Cooperator (Identifier 3) -name, organization]]="","",Master[[#This Row],[Accession Name Cooperator (Identifier 3) -name, organization]])</f>
        <v/>
      </c>
      <c r="G140" s="141" t="str">
        <f t="shared" si="2"/>
        <v>Y</v>
      </c>
    </row>
    <row r="141" spans="2:7" x14ac:dyDescent="0.25">
      <c r="B141" s="141" t="str">
        <f>Master[[#This Row],[Accession Prefix (NPGS)]]&amp;" "&amp;Master[[#This Row],[Accession Number -Assigned]]</f>
        <v>W6 59727</v>
      </c>
      <c r="C141" s="141" t="str">
        <f>Master[[#This Row],[Accession Prefix (NPGS)]]&amp;" "&amp;Master[[#This Row],[Accession Number -Assigned]]&amp;" **"</f>
        <v>W6 59727 **</v>
      </c>
      <c r="D141" s="76" t="str">
        <f>IF(Master[[#This Row],[Accession Name Category (Identifier 3) -Lookup Picker]]="","",Master[[#This Row],[Accession Name Category (Identifier 3) -Lookup Picker]])</f>
        <v/>
      </c>
      <c r="E141" s="76" t="str">
        <f>IF(Master[[#This Row],[Accession Name (Identifier 3)]]="","",Master[[#This Row],[Accession Name (Identifier 3)]])</f>
        <v/>
      </c>
      <c r="F141" s="45" t="str">
        <f>IF(Master[[#This Row],[Accession Name Cooperator (Identifier 3) -name, organization]]="","",Master[[#This Row],[Accession Name Cooperator (Identifier 3) -name, organization]])</f>
        <v/>
      </c>
      <c r="G141" s="141" t="str">
        <f t="shared" si="2"/>
        <v>Y</v>
      </c>
    </row>
    <row r="142" spans="2:7" x14ac:dyDescent="0.25">
      <c r="B142" s="141" t="str">
        <f>Master[[#This Row],[Accession Prefix (NPGS)]]&amp;" "&amp;Master[[#This Row],[Accession Number -Assigned]]</f>
        <v>W6 59728</v>
      </c>
      <c r="C142" s="141" t="str">
        <f>Master[[#This Row],[Accession Prefix (NPGS)]]&amp;" "&amp;Master[[#This Row],[Accession Number -Assigned]]&amp;" **"</f>
        <v>W6 59728 **</v>
      </c>
      <c r="D142" s="76" t="str">
        <f>IF(Master[[#This Row],[Accession Name Category (Identifier 3) -Lookup Picker]]="","",Master[[#This Row],[Accession Name Category (Identifier 3) -Lookup Picker]])</f>
        <v/>
      </c>
      <c r="E142" s="76" t="str">
        <f>IF(Master[[#This Row],[Accession Name (Identifier 3)]]="","",Master[[#This Row],[Accession Name (Identifier 3)]])</f>
        <v/>
      </c>
      <c r="F142" s="45" t="str">
        <f>IF(Master[[#This Row],[Accession Name Cooperator (Identifier 3) -name, organization]]="","",Master[[#This Row],[Accession Name Cooperator (Identifier 3) -name, organization]])</f>
        <v/>
      </c>
      <c r="G142" s="141" t="str">
        <f t="shared" si="2"/>
        <v>Y</v>
      </c>
    </row>
    <row r="143" spans="2:7" x14ac:dyDescent="0.25">
      <c r="B143" s="141" t="str">
        <f>Master[[#This Row],[Accession Prefix (NPGS)]]&amp;" "&amp;Master[[#This Row],[Accession Number -Assigned]]</f>
        <v>W6 59729</v>
      </c>
      <c r="C143" s="141" t="str">
        <f>Master[[#This Row],[Accession Prefix (NPGS)]]&amp;" "&amp;Master[[#This Row],[Accession Number -Assigned]]&amp;" **"</f>
        <v>W6 59729 **</v>
      </c>
      <c r="D143" s="76" t="str">
        <f>IF(Master[[#This Row],[Accession Name Category (Identifier 3) -Lookup Picker]]="","",Master[[#This Row],[Accession Name Category (Identifier 3) -Lookup Picker]])</f>
        <v/>
      </c>
      <c r="E143" s="76" t="str">
        <f>IF(Master[[#This Row],[Accession Name (Identifier 3)]]="","",Master[[#This Row],[Accession Name (Identifier 3)]])</f>
        <v/>
      </c>
      <c r="F143" s="45" t="str">
        <f>IF(Master[[#This Row],[Accession Name Cooperator (Identifier 3) -name, organization]]="","",Master[[#This Row],[Accession Name Cooperator (Identifier 3) -name, organization]])</f>
        <v/>
      </c>
      <c r="G143" s="141" t="str">
        <f t="shared" si="2"/>
        <v>Y</v>
      </c>
    </row>
    <row r="144" spans="2:7" x14ac:dyDescent="0.25">
      <c r="B144" s="141" t="str">
        <f>Master[[#This Row],[Accession Prefix (NPGS)]]&amp;" "&amp;Master[[#This Row],[Accession Number -Assigned]]</f>
        <v>W6 59730</v>
      </c>
      <c r="C144" s="141" t="str">
        <f>Master[[#This Row],[Accession Prefix (NPGS)]]&amp;" "&amp;Master[[#This Row],[Accession Number -Assigned]]&amp;" **"</f>
        <v>W6 59730 **</v>
      </c>
      <c r="D144" s="76" t="str">
        <f>IF(Master[[#This Row],[Accession Name Category (Identifier 3) -Lookup Picker]]="","",Master[[#This Row],[Accession Name Category (Identifier 3) -Lookup Picker]])</f>
        <v/>
      </c>
      <c r="E144" s="76" t="str">
        <f>IF(Master[[#This Row],[Accession Name (Identifier 3)]]="","",Master[[#This Row],[Accession Name (Identifier 3)]])</f>
        <v/>
      </c>
      <c r="F144" s="45" t="str">
        <f>IF(Master[[#This Row],[Accession Name Cooperator (Identifier 3) -name, organization]]="","",Master[[#This Row],[Accession Name Cooperator (Identifier 3) -name, organization]])</f>
        <v/>
      </c>
      <c r="G144" s="141" t="str">
        <f t="shared" si="2"/>
        <v>Y</v>
      </c>
    </row>
    <row r="145" spans="2:7" x14ac:dyDescent="0.25">
      <c r="B145" s="141" t="str">
        <f>Master[[#This Row],[Accession Prefix (NPGS)]]&amp;" "&amp;Master[[#This Row],[Accession Number -Assigned]]</f>
        <v>W6 59731</v>
      </c>
      <c r="C145" s="141" t="str">
        <f>Master[[#This Row],[Accession Prefix (NPGS)]]&amp;" "&amp;Master[[#This Row],[Accession Number -Assigned]]&amp;" **"</f>
        <v>W6 59731 **</v>
      </c>
      <c r="D145" s="76" t="str">
        <f>IF(Master[[#This Row],[Accession Name Category (Identifier 3) -Lookup Picker]]="","",Master[[#This Row],[Accession Name Category (Identifier 3) -Lookup Picker]])</f>
        <v/>
      </c>
      <c r="E145" s="76" t="str">
        <f>IF(Master[[#This Row],[Accession Name (Identifier 3)]]="","",Master[[#This Row],[Accession Name (Identifier 3)]])</f>
        <v/>
      </c>
      <c r="F145" s="45" t="str">
        <f>IF(Master[[#This Row],[Accession Name Cooperator (Identifier 3) -name, organization]]="","",Master[[#This Row],[Accession Name Cooperator (Identifier 3) -name, organization]])</f>
        <v/>
      </c>
      <c r="G145" s="141" t="str">
        <f t="shared" si="2"/>
        <v>Y</v>
      </c>
    </row>
    <row r="146" spans="2:7" x14ac:dyDescent="0.25">
      <c r="B146" s="141" t="str">
        <f>Master[[#This Row],[Accession Prefix (NPGS)]]&amp;" "&amp;Master[[#This Row],[Accession Number -Assigned]]</f>
        <v>W6 59732</v>
      </c>
      <c r="C146" s="141" t="str">
        <f>Master[[#This Row],[Accession Prefix (NPGS)]]&amp;" "&amp;Master[[#This Row],[Accession Number -Assigned]]&amp;" **"</f>
        <v>W6 59732 **</v>
      </c>
      <c r="D146" s="76" t="str">
        <f>IF(Master[[#This Row],[Accession Name Category (Identifier 3) -Lookup Picker]]="","",Master[[#This Row],[Accession Name Category (Identifier 3) -Lookup Picker]])</f>
        <v/>
      </c>
      <c r="E146" s="76" t="str">
        <f>IF(Master[[#This Row],[Accession Name (Identifier 3)]]="","",Master[[#This Row],[Accession Name (Identifier 3)]])</f>
        <v/>
      </c>
      <c r="F146" s="45" t="str">
        <f>IF(Master[[#This Row],[Accession Name Cooperator (Identifier 3) -name, organization]]="","",Master[[#This Row],[Accession Name Cooperator (Identifier 3) -name, organization]])</f>
        <v/>
      </c>
      <c r="G146" s="141" t="str">
        <f t="shared" si="2"/>
        <v>Y</v>
      </c>
    </row>
    <row r="147" spans="2:7" x14ac:dyDescent="0.25">
      <c r="B147" s="141" t="str">
        <f>Master[[#This Row],[Accession Prefix (NPGS)]]&amp;" "&amp;Master[[#This Row],[Accession Number -Assigned]]</f>
        <v>W6 59733</v>
      </c>
      <c r="C147" s="141" t="str">
        <f>Master[[#This Row],[Accession Prefix (NPGS)]]&amp;" "&amp;Master[[#This Row],[Accession Number -Assigned]]&amp;" **"</f>
        <v>W6 59733 **</v>
      </c>
      <c r="D147" s="76" t="str">
        <f>IF(Master[[#This Row],[Accession Name Category (Identifier 3) -Lookup Picker]]="","",Master[[#This Row],[Accession Name Category (Identifier 3) -Lookup Picker]])</f>
        <v/>
      </c>
      <c r="E147" s="76" t="str">
        <f>IF(Master[[#This Row],[Accession Name (Identifier 3)]]="","",Master[[#This Row],[Accession Name (Identifier 3)]])</f>
        <v/>
      </c>
      <c r="F147" s="45" t="str">
        <f>IF(Master[[#This Row],[Accession Name Cooperator (Identifier 3) -name, organization]]="","",Master[[#This Row],[Accession Name Cooperator (Identifier 3) -name, organization]])</f>
        <v/>
      </c>
      <c r="G147" s="141" t="str">
        <f t="shared" si="2"/>
        <v>Y</v>
      </c>
    </row>
    <row r="148" spans="2:7" x14ac:dyDescent="0.25">
      <c r="B148" s="141" t="str">
        <f>Master[[#This Row],[Accession Prefix (NPGS)]]&amp;" "&amp;Master[[#This Row],[Accession Number -Assigned]]</f>
        <v>W6 59734</v>
      </c>
      <c r="C148" s="141" t="str">
        <f>Master[[#This Row],[Accession Prefix (NPGS)]]&amp;" "&amp;Master[[#This Row],[Accession Number -Assigned]]&amp;" **"</f>
        <v>W6 59734 **</v>
      </c>
      <c r="D148" s="76" t="str">
        <f>IF(Master[[#This Row],[Accession Name Category (Identifier 3) -Lookup Picker]]="","",Master[[#This Row],[Accession Name Category (Identifier 3) -Lookup Picker]])</f>
        <v/>
      </c>
      <c r="E148" s="76" t="str">
        <f>IF(Master[[#This Row],[Accession Name (Identifier 3)]]="","",Master[[#This Row],[Accession Name (Identifier 3)]])</f>
        <v/>
      </c>
      <c r="F148" s="45" t="str">
        <f>IF(Master[[#This Row],[Accession Name Cooperator (Identifier 3) -name, organization]]="","",Master[[#This Row],[Accession Name Cooperator (Identifier 3) -name, organization]])</f>
        <v/>
      </c>
      <c r="G148" s="141" t="str">
        <f t="shared" si="2"/>
        <v>Y</v>
      </c>
    </row>
    <row r="149" spans="2:7" x14ac:dyDescent="0.25">
      <c r="B149" s="141" t="str">
        <f>Master[[#This Row],[Accession Prefix (NPGS)]]&amp;" "&amp;Master[[#This Row],[Accession Number -Assigned]]</f>
        <v>W6 59735</v>
      </c>
      <c r="C149" s="141" t="str">
        <f>Master[[#This Row],[Accession Prefix (NPGS)]]&amp;" "&amp;Master[[#This Row],[Accession Number -Assigned]]&amp;" **"</f>
        <v>W6 59735 **</v>
      </c>
      <c r="D149" s="76" t="str">
        <f>IF(Master[[#This Row],[Accession Name Category (Identifier 3) -Lookup Picker]]="","",Master[[#This Row],[Accession Name Category (Identifier 3) -Lookup Picker]])</f>
        <v/>
      </c>
      <c r="E149" s="76" t="str">
        <f>IF(Master[[#This Row],[Accession Name (Identifier 3)]]="","",Master[[#This Row],[Accession Name (Identifier 3)]])</f>
        <v/>
      </c>
      <c r="F149" s="45" t="str">
        <f>IF(Master[[#This Row],[Accession Name Cooperator (Identifier 3) -name, organization]]="","",Master[[#This Row],[Accession Name Cooperator (Identifier 3) -name, organization]])</f>
        <v/>
      </c>
      <c r="G149" s="141" t="str">
        <f t="shared" si="2"/>
        <v>Y</v>
      </c>
    </row>
    <row r="150" spans="2:7" x14ac:dyDescent="0.25">
      <c r="B150" s="141" t="str">
        <f>Master[[#This Row],[Accession Prefix (NPGS)]]&amp;" "&amp;Master[[#This Row],[Accession Number -Assigned]]</f>
        <v>W6 59736</v>
      </c>
      <c r="C150" s="141" t="str">
        <f>Master[[#This Row],[Accession Prefix (NPGS)]]&amp;" "&amp;Master[[#This Row],[Accession Number -Assigned]]&amp;" **"</f>
        <v>W6 59736 **</v>
      </c>
      <c r="D150" s="76" t="str">
        <f>IF(Master[[#This Row],[Accession Name Category (Identifier 3) -Lookup Picker]]="","",Master[[#This Row],[Accession Name Category (Identifier 3) -Lookup Picker]])</f>
        <v/>
      </c>
      <c r="E150" s="76" t="str">
        <f>IF(Master[[#This Row],[Accession Name (Identifier 3)]]="","",Master[[#This Row],[Accession Name (Identifier 3)]])</f>
        <v/>
      </c>
      <c r="F150" s="45" t="str">
        <f>IF(Master[[#This Row],[Accession Name Cooperator (Identifier 3) -name, organization]]="","",Master[[#This Row],[Accession Name Cooperator (Identifier 3) -name, organization]])</f>
        <v/>
      </c>
      <c r="G150" s="141" t="str">
        <f t="shared" si="2"/>
        <v>Y</v>
      </c>
    </row>
    <row r="151" spans="2:7" x14ac:dyDescent="0.25">
      <c r="B151" s="141" t="str">
        <f>Master[[#This Row],[Accession Prefix (NPGS)]]&amp;" "&amp;Master[[#This Row],[Accession Number -Assigned]]</f>
        <v>W6 59737</v>
      </c>
      <c r="C151" s="141" t="str">
        <f>Master[[#This Row],[Accession Prefix (NPGS)]]&amp;" "&amp;Master[[#This Row],[Accession Number -Assigned]]&amp;" **"</f>
        <v>W6 59737 **</v>
      </c>
      <c r="D151" s="76" t="str">
        <f>IF(Master[[#This Row],[Accession Name Category (Identifier 3) -Lookup Picker]]="","",Master[[#This Row],[Accession Name Category (Identifier 3) -Lookup Picker]])</f>
        <v/>
      </c>
      <c r="E151" s="76" t="str">
        <f>IF(Master[[#This Row],[Accession Name (Identifier 3)]]="","",Master[[#This Row],[Accession Name (Identifier 3)]])</f>
        <v/>
      </c>
      <c r="F151" s="45" t="str">
        <f>IF(Master[[#This Row],[Accession Name Cooperator (Identifier 3) -name, organization]]="","",Master[[#This Row],[Accession Name Cooperator (Identifier 3) -name, organization]])</f>
        <v/>
      </c>
      <c r="G151" s="141" t="str">
        <f t="shared" si="2"/>
        <v>Y</v>
      </c>
    </row>
    <row r="152" spans="2:7" x14ac:dyDescent="0.25">
      <c r="B152" s="141" t="str">
        <f>Master[[#This Row],[Accession Prefix (NPGS)]]&amp;" "&amp;Master[[#This Row],[Accession Number -Assigned]]</f>
        <v xml:space="preserve"> </v>
      </c>
      <c r="C152" s="141" t="str">
        <f>Master[[#This Row],[Accession Prefix (NPGS)]]&amp;" "&amp;Master[[#This Row],[Accession Number -Assigned]]&amp;" **"</f>
        <v xml:space="preserve">  **</v>
      </c>
      <c r="D152" s="76" t="str">
        <f>IF(Master[[#This Row],[Accession Name Category (Identifier 3) -Lookup Picker]]="","",Master[[#This Row],[Accession Name Category (Identifier 3) -Lookup Picker]])</f>
        <v/>
      </c>
      <c r="E152" s="76" t="str">
        <f>IF(Master[[#This Row],[Accession Name (Identifier 3)]]="","",Master[[#This Row],[Accession Name (Identifier 3)]])</f>
        <v/>
      </c>
      <c r="F152" s="45" t="str">
        <f>IF(Master[[#This Row],[Accession Name Cooperator (Identifier 3) -name, organization]]="","",Master[[#This Row],[Accession Name Cooperator (Identifier 3) -name, organization]])</f>
        <v/>
      </c>
      <c r="G152" s="141" t="str">
        <f t="shared" si="2"/>
        <v>Y</v>
      </c>
    </row>
    <row r="153" spans="2:7" x14ac:dyDescent="0.25">
      <c r="B153" s="141" t="str">
        <f>Master[[#This Row],[Accession Prefix (NPGS)]]&amp;" "&amp;Master[[#This Row],[Accession Number -Assigned]]</f>
        <v xml:space="preserve"> </v>
      </c>
      <c r="C153" s="141" t="str">
        <f>Master[[#This Row],[Accession Prefix (NPGS)]]&amp;" "&amp;Master[[#This Row],[Accession Number -Assigned]]&amp;" **"</f>
        <v xml:space="preserve">  **</v>
      </c>
      <c r="D153" s="76" t="str">
        <f>IF(Master[[#This Row],[Accession Name Category (Identifier 3) -Lookup Picker]]="","",Master[[#This Row],[Accession Name Category (Identifier 3) -Lookup Picker]])</f>
        <v/>
      </c>
      <c r="E153" s="76" t="str">
        <f>IF(Master[[#This Row],[Accession Name (Identifier 3)]]="","",Master[[#This Row],[Accession Name (Identifier 3)]])</f>
        <v/>
      </c>
      <c r="F153" s="45" t="str">
        <f>IF(Master[[#This Row],[Accession Name Cooperator (Identifier 3) -name, organization]]="","",Master[[#This Row],[Accession Name Cooperator (Identifier 3) -name, organization]])</f>
        <v/>
      </c>
      <c r="G153" s="141" t="str">
        <f t="shared" si="2"/>
        <v>Y</v>
      </c>
    </row>
    <row r="154" spans="2:7" x14ac:dyDescent="0.25">
      <c r="B154" s="141" t="str">
        <f>Master[[#This Row],[Accession Prefix (NPGS)]]&amp;" "&amp;Master[[#This Row],[Accession Number -Assigned]]</f>
        <v xml:space="preserve"> </v>
      </c>
      <c r="C154" s="141" t="str">
        <f>Master[[#This Row],[Accession Prefix (NPGS)]]&amp;" "&amp;Master[[#This Row],[Accession Number -Assigned]]&amp;" **"</f>
        <v xml:space="preserve">  **</v>
      </c>
      <c r="D154" s="76" t="str">
        <f>IF(Master[[#This Row],[Accession Name Category (Identifier 3) -Lookup Picker]]="","",Master[[#This Row],[Accession Name Category (Identifier 3) -Lookup Picker]])</f>
        <v/>
      </c>
      <c r="E154" s="76" t="str">
        <f>IF(Master[[#This Row],[Accession Name (Identifier 3)]]="","",Master[[#This Row],[Accession Name (Identifier 3)]])</f>
        <v/>
      </c>
      <c r="F154" s="45" t="str">
        <f>IF(Master[[#This Row],[Accession Name Cooperator (Identifier 3) -name, organization]]="","",Master[[#This Row],[Accession Name Cooperator (Identifier 3) -name, organization]])</f>
        <v/>
      </c>
      <c r="G154" s="141" t="str">
        <f t="shared" si="2"/>
        <v>Y</v>
      </c>
    </row>
    <row r="155" spans="2:7" x14ac:dyDescent="0.25">
      <c r="B155" s="141" t="str">
        <f>Master[[#This Row],[Accession Prefix (NPGS)]]&amp;" "&amp;Master[[#This Row],[Accession Number -Assigned]]</f>
        <v xml:space="preserve"> </v>
      </c>
      <c r="C155" s="141" t="str">
        <f>Master[[#This Row],[Accession Prefix (NPGS)]]&amp;" "&amp;Master[[#This Row],[Accession Number -Assigned]]&amp;" **"</f>
        <v xml:space="preserve">  **</v>
      </c>
      <c r="D155" s="76" t="str">
        <f>IF(Master[[#This Row],[Accession Name Category (Identifier 3) -Lookup Picker]]="","",Master[[#This Row],[Accession Name Category (Identifier 3) -Lookup Picker]])</f>
        <v/>
      </c>
      <c r="E155" s="76" t="str">
        <f>IF(Master[[#This Row],[Accession Name (Identifier 3)]]="","",Master[[#This Row],[Accession Name (Identifier 3)]])</f>
        <v/>
      </c>
      <c r="F155" s="45" t="str">
        <f>IF(Master[[#This Row],[Accession Name Cooperator (Identifier 3) -name, organization]]="","",Master[[#This Row],[Accession Name Cooperator (Identifier 3) -name, organization]])</f>
        <v/>
      </c>
      <c r="G155" s="141" t="str">
        <f t="shared" si="2"/>
        <v>Y</v>
      </c>
    </row>
    <row r="156" spans="2:7" x14ac:dyDescent="0.25">
      <c r="B156" s="141" t="str">
        <f>Master[[#This Row],[Accession Prefix (NPGS)]]&amp;" "&amp;Master[[#This Row],[Accession Number -Assigned]]</f>
        <v xml:space="preserve"> </v>
      </c>
      <c r="C156" s="141" t="str">
        <f>Master[[#This Row],[Accession Prefix (NPGS)]]&amp;" "&amp;Master[[#This Row],[Accession Number -Assigned]]&amp;" **"</f>
        <v xml:space="preserve">  **</v>
      </c>
      <c r="D156" s="76" t="str">
        <f>IF(Master[[#This Row],[Accession Name Category (Identifier 3) -Lookup Picker]]="","",Master[[#This Row],[Accession Name Category (Identifier 3) -Lookup Picker]])</f>
        <v/>
      </c>
      <c r="E156" s="76" t="str">
        <f>IF(Master[[#This Row],[Accession Name (Identifier 3)]]="","",Master[[#This Row],[Accession Name (Identifier 3)]])</f>
        <v/>
      </c>
      <c r="F156" s="45" t="str">
        <f>IF(Master[[#This Row],[Accession Name Cooperator (Identifier 3) -name, organization]]="","",Master[[#This Row],[Accession Name Cooperator (Identifier 3) -name, organization]])</f>
        <v/>
      </c>
      <c r="G156" s="141" t="str">
        <f t="shared" si="2"/>
        <v>Y</v>
      </c>
    </row>
    <row r="157" spans="2:7" x14ac:dyDescent="0.25">
      <c r="B157" s="141" t="str">
        <f>Master[[#This Row],[Accession Prefix (NPGS)]]&amp;" "&amp;Master[[#This Row],[Accession Number -Assigned]]</f>
        <v xml:space="preserve"> </v>
      </c>
      <c r="C157" s="141" t="str">
        <f>Master[[#This Row],[Accession Prefix (NPGS)]]&amp;" "&amp;Master[[#This Row],[Accession Number -Assigned]]&amp;" **"</f>
        <v xml:space="preserve">  **</v>
      </c>
      <c r="D157" s="76" t="str">
        <f>IF(Master[[#This Row],[Accession Name Category (Identifier 3) -Lookup Picker]]="","",Master[[#This Row],[Accession Name Category (Identifier 3) -Lookup Picker]])</f>
        <v/>
      </c>
      <c r="E157" s="76" t="str">
        <f>IF(Master[[#This Row],[Accession Name (Identifier 3)]]="","",Master[[#This Row],[Accession Name (Identifier 3)]])</f>
        <v/>
      </c>
      <c r="F157" s="45" t="str">
        <f>IF(Master[[#This Row],[Accession Name Cooperator (Identifier 3) -name, organization]]="","",Master[[#This Row],[Accession Name Cooperator (Identifier 3) -name, organization]])</f>
        <v/>
      </c>
      <c r="G157" s="141" t="str">
        <f t="shared" si="2"/>
        <v>Y</v>
      </c>
    </row>
    <row r="158" spans="2:7" x14ac:dyDescent="0.25">
      <c r="B158" s="141" t="str">
        <f>Master[[#This Row],[Accession Prefix (NPGS)]]&amp;" "&amp;Master[[#This Row],[Accession Number -Assigned]]</f>
        <v xml:space="preserve"> </v>
      </c>
      <c r="C158" s="141" t="str">
        <f>Master[[#This Row],[Accession Prefix (NPGS)]]&amp;" "&amp;Master[[#This Row],[Accession Number -Assigned]]&amp;" **"</f>
        <v xml:space="preserve">  **</v>
      </c>
      <c r="D158" s="76" t="str">
        <f>IF(Master[[#This Row],[Accession Name Category (Identifier 3) -Lookup Picker]]="","",Master[[#This Row],[Accession Name Category (Identifier 3) -Lookup Picker]])</f>
        <v/>
      </c>
      <c r="E158" s="76" t="str">
        <f>IF(Master[[#This Row],[Accession Name (Identifier 3)]]="","",Master[[#This Row],[Accession Name (Identifier 3)]])</f>
        <v/>
      </c>
      <c r="F158" s="45" t="str">
        <f>IF(Master[[#This Row],[Accession Name Cooperator (Identifier 3) -name, organization]]="","",Master[[#This Row],[Accession Name Cooperator (Identifier 3) -name, organization]])</f>
        <v/>
      </c>
      <c r="G158" s="141" t="str">
        <f t="shared" si="2"/>
        <v>Y</v>
      </c>
    </row>
    <row r="159" spans="2:7" x14ac:dyDescent="0.25">
      <c r="B159" s="141" t="str">
        <f>Master[[#This Row],[Accession Prefix (NPGS)]]&amp;" "&amp;Master[[#This Row],[Accession Number -Assigned]]</f>
        <v xml:space="preserve"> </v>
      </c>
      <c r="C159" s="141" t="str">
        <f>Master[[#This Row],[Accession Prefix (NPGS)]]&amp;" "&amp;Master[[#This Row],[Accession Number -Assigned]]&amp;" **"</f>
        <v xml:space="preserve">  **</v>
      </c>
      <c r="D159" s="76" t="str">
        <f>IF(Master[[#This Row],[Accession Name Category (Identifier 3) -Lookup Picker]]="","",Master[[#This Row],[Accession Name Category (Identifier 3) -Lookup Picker]])</f>
        <v/>
      </c>
      <c r="E159" s="76" t="str">
        <f>IF(Master[[#This Row],[Accession Name (Identifier 3)]]="","",Master[[#This Row],[Accession Name (Identifier 3)]])</f>
        <v/>
      </c>
      <c r="F159" s="45" t="str">
        <f>IF(Master[[#This Row],[Accession Name Cooperator (Identifier 3) -name, organization]]="","",Master[[#This Row],[Accession Name Cooperator (Identifier 3) -name, organization]])</f>
        <v/>
      </c>
      <c r="G159" s="141" t="str">
        <f t="shared" si="2"/>
        <v>Y</v>
      </c>
    </row>
    <row r="160" spans="2:7" x14ac:dyDescent="0.25">
      <c r="B160" s="141" t="str">
        <f>Master[[#This Row],[Accession Prefix (NPGS)]]&amp;" "&amp;Master[[#This Row],[Accession Number -Assigned]]</f>
        <v xml:space="preserve"> </v>
      </c>
      <c r="C160" s="141" t="str">
        <f>Master[[#This Row],[Accession Prefix (NPGS)]]&amp;" "&amp;Master[[#This Row],[Accession Number -Assigned]]&amp;" **"</f>
        <v xml:space="preserve">  **</v>
      </c>
      <c r="D160" s="76" t="str">
        <f>IF(Master[[#This Row],[Accession Name Category (Identifier 3) -Lookup Picker]]="","",Master[[#This Row],[Accession Name Category (Identifier 3) -Lookup Picker]])</f>
        <v/>
      </c>
      <c r="E160" s="76" t="str">
        <f>IF(Master[[#This Row],[Accession Name (Identifier 3)]]="","",Master[[#This Row],[Accession Name (Identifier 3)]])</f>
        <v/>
      </c>
      <c r="F160" s="45" t="str">
        <f>IF(Master[[#This Row],[Accession Name Cooperator (Identifier 3) -name, organization]]="","",Master[[#This Row],[Accession Name Cooperator (Identifier 3) -name, organization]])</f>
        <v/>
      </c>
      <c r="G160" s="141" t="str">
        <f t="shared" si="2"/>
        <v>Y</v>
      </c>
    </row>
    <row r="161" spans="2:7" x14ac:dyDescent="0.25">
      <c r="B161" s="141" t="str">
        <f>Master[[#This Row],[Accession Prefix (NPGS)]]&amp;" "&amp;Master[[#This Row],[Accession Number -Assigned]]</f>
        <v xml:space="preserve"> </v>
      </c>
      <c r="C161" s="141" t="str">
        <f>Master[[#This Row],[Accession Prefix (NPGS)]]&amp;" "&amp;Master[[#This Row],[Accession Number -Assigned]]&amp;" **"</f>
        <v xml:space="preserve">  **</v>
      </c>
      <c r="D161" s="76" t="str">
        <f>IF(Master[[#This Row],[Accession Name Category (Identifier 3) -Lookup Picker]]="","",Master[[#This Row],[Accession Name Category (Identifier 3) -Lookup Picker]])</f>
        <v/>
      </c>
      <c r="E161" s="76" t="str">
        <f>IF(Master[[#This Row],[Accession Name (Identifier 3)]]="","",Master[[#This Row],[Accession Name (Identifier 3)]])</f>
        <v/>
      </c>
      <c r="F161" s="45" t="str">
        <f>IF(Master[[#This Row],[Accession Name Cooperator (Identifier 3) -name, organization]]="","",Master[[#This Row],[Accession Name Cooperator (Identifier 3) -name, organization]])</f>
        <v/>
      </c>
      <c r="G161" s="141" t="str">
        <f t="shared" si="2"/>
        <v>Y</v>
      </c>
    </row>
    <row r="162" spans="2:7" x14ac:dyDescent="0.25">
      <c r="B162" s="141" t="str">
        <f>Master[[#This Row],[Accession Prefix (NPGS)]]&amp;" "&amp;Master[[#This Row],[Accession Number -Assigned]]</f>
        <v xml:space="preserve"> </v>
      </c>
      <c r="C162" s="141" t="str">
        <f>Master[[#This Row],[Accession Prefix (NPGS)]]&amp;" "&amp;Master[[#This Row],[Accession Number -Assigned]]&amp;" **"</f>
        <v xml:space="preserve">  **</v>
      </c>
      <c r="D162" s="76" t="str">
        <f>IF(Master[[#This Row],[Accession Name Category (Identifier 3) -Lookup Picker]]="","",Master[[#This Row],[Accession Name Category (Identifier 3) -Lookup Picker]])</f>
        <v/>
      </c>
      <c r="E162" s="76" t="str">
        <f>IF(Master[[#This Row],[Accession Name (Identifier 3)]]="","",Master[[#This Row],[Accession Name (Identifier 3)]])</f>
        <v/>
      </c>
      <c r="F162" s="45" t="str">
        <f>IF(Master[[#This Row],[Accession Name Cooperator (Identifier 3) -name, organization]]="","",Master[[#This Row],[Accession Name Cooperator (Identifier 3) -name, organization]])</f>
        <v/>
      </c>
      <c r="G162" s="141" t="str">
        <f t="shared" si="2"/>
        <v>Y</v>
      </c>
    </row>
    <row r="163" spans="2:7" x14ac:dyDescent="0.25">
      <c r="B163" s="141" t="str">
        <f>Master[[#This Row],[Accession Prefix (NPGS)]]&amp;" "&amp;Master[[#This Row],[Accession Number -Assigned]]</f>
        <v xml:space="preserve"> </v>
      </c>
      <c r="C163" s="141" t="str">
        <f>Master[[#This Row],[Accession Prefix (NPGS)]]&amp;" "&amp;Master[[#This Row],[Accession Number -Assigned]]&amp;" **"</f>
        <v xml:space="preserve">  **</v>
      </c>
      <c r="D163" s="76" t="str">
        <f>IF(Master[[#This Row],[Accession Name Category (Identifier 3) -Lookup Picker]]="","",Master[[#This Row],[Accession Name Category (Identifier 3) -Lookup Picker]])</f>
        <v/>
      </c>
      <c r="E163" s="76" t="str">
        <f>IF(Master[[#This Row],[Accession Name (Identifier 3)]]="","",Master[[#This Row],[Accession Name (Identifier 3)]])</f>
        <v/>
      </c>
      <c r="F163" s="45" t="str">
        <f>IF(Master[[#This Row],[Accession Name Cooperator (Identifier 3) -name, organization]]="","",Master[[#This Row],[Accession Name Cooperator (Identifier 3) -name, organization]])</f>
        <v/>
      </c>
      <c r="G163" s="141" t="str">
        <f t="shared" si="2"/>
        <v>Y</v>
      </c>
    </row>
    <row r="164" spans="2:7" x14ac:dyDescent="0.25">
      <c r="B164" s="141" t="str">
        <f>Master[[#This Row],[Accession Prefix (NPGS)]]&amp;" "&amp;Master[[#This Row],[Accession Number -Assigned]]</f>
        <v xml:space="preserve"> </v>
      </c>
      <c r="C164" s="141" t="str">
        <f>Master[[#This Row],[Accession Prefix (NPGS)]]&amp;" "&amp;Master[[#This Row],[Accession Number -Assigned]]&amp;" **"</f>
        <v xml:space="preserve">  **</v>
      </c>
      <c r="D164" s="76" t="str">
        <f>IF(Master[[#This Row],[Accession Name Category (Identifier 3) -Lookup Picker]]="","",Master[[#This Row],[Accession Name Category (Identifier 3) -Lookup Picker]])</f>
        <v/>
      </c>
      <c r="E164" s="76" t="str">
        <f>IF(Master[[#This Row],[Accession Name (Identifier 3)]]="","",Master[[#This Row],[Accession Name (Identifier 3)]])</f>
        <v/>
      </c>
      <c r="F164" s="45" t="str">
        <f>IF(Master[[#This Row],[Accession Name Cooperator (Identifier 3) -name, organization]]="","",Master[[#This Row],[Accession Name Cooperator (Identifier 3) -name, organization]])</f>
        <v/>
      </c>
      <c r="G164" s="141" t="str">
        <f t="shared" si="2"/>
        <v>Y</v>
      </c>
    </row>
    <row r="165" spans="2:7" x14ac:dyDescent="0.25">
      <c r="B165" s="141" t="str">
        <f>Master[[#This Row],[Accession Prefix (NPGS)]]&amp;" "&amp;Master[[#This Row],[Accession Number -Assigned]]</f>
        <v xml:space="preserve"> </v>
      </c>
      <c r="C165" s="141" t="str">
        <f>Master[[#This Row],[Accession Prefix (NPGS)]]&amp;" "&amp;Master[[#This Row],[Accession Number -Assigned]]&amp;" **"</f>
        <v xml:space="preserve">  **</v>
      </c>
      <c r="D165" s="76" t="str">
        <f>IF(Master[[#This Row],[Accession Name Category (Identifier 3) -Lookup Picker]]="","",Master[[#This Row],[Accession Name Category (Identifier 3) -Lookup Picker]])</f>
        <v/>
      </c>
      <c r="E165" s="76" t="str">
        <f>IF(Master[[#This Row],[Accession Name (Identifier 3)]]="","",Master[[#This Row],[Accession Name (Identifier 3)]])</f>
        <v/>
      </c>
      <c r="F165" s="45" t="str">
        <f>IF(Master[[#This Row],[Accession Name Cooperator (Identifier 3) -name, organization]]="","",Master[[#This Row],[Accession Name Cooperator (Identifier 3) -name, organization]])</f>
        <v/>
      </c>
      <c r="G165" s="141" t="str">
        <f t="shared" si="2"/>
        <v>Y</v>
      </c>
    </row>
    <row r="166" spans="2:7" x14ac:dyDescent="0.25">
      <c r="B166" s="141" t="str">
        <f>Master[[#This Row],[Accession Prefix (NPGS)]]&amp;" "&amp;Master[[#This Row],[Accession Number -Assigned]]</f>
        <v xml:space="preserve"> </v>
      </c>
      <c r="C166" s="141" t="str">
        <f>Master[[#This Row],[Accession Prefix (NPGS)]]&amp;" "&amp;Master[[#This Row],[Accession Number -Assigned]]&amp;" **"</f>
        <v xml:space="preserve">  **</v>
      </c>
      <c r="D166" s="76" t="str">
        <f>IF(Master[[#This Row],[Accession Name Category (Identifier 3) -Lookup Picker]]="","",Master[[#This Row],[Accession Name Category (Identifier 3) -Lookup Picker]])</f>
        <v/>
      </c>
      <c r="E166" s="76" t="str">
        <f>IF(Master[[#This Row],[Accession Name (Identifier 3)]]="","",Master[[#This Row],[Accession Name (Identifier 3)]])</f>
        <v/>
      </c>
      <c r="F166" s="45" t="str">
        <f>IF(Master[[#This Row],[Accession Name Cooperator (Identifier 3) -name, organization]]="","",Master[[#This Row],[Accession Name Cooperator (Identifier 3) -name, organization]])</f>
        <v/>
      </c>
      <c r="G166" s="141" t="str">
        <f t="shared" si="2"/>
        <v>Y</v>
      </c>
    </row>
    <row r="167" spans="2:7" x14ac:dyDescent="0.25">
      <c r="B167" s="141" t="str">
        <f>Master[[#This Row],[Accession Prefix (NPGS)]]&amp;" "&amp;Master[[#This Row],[Accession Number -Assigned]]</f>
        <v xml:space="preserve"> </v>
      </c>
      <c r="C167" s="141" t="str">
        <f>Master[[#This Row],[Accession Prefix (NPGS)]]&amp;" "&amp;Master[[#This Row],[Accession Number -Assigned]]&amp;" **"</f>
        <v xml:space="preserve">  **</v>
      </c>
      <c r="D167" s="76" t="str">
        <f>IF(Master[[#This Row],[Accession Name Category (Identifier 3) -Lookup Picker]]="","",Master[[#This Row],[Accession Name Category (Identifier 3) -Lookup Picker]])</f>
        <v/>
      </c>
      <c r="E167" s="76" t="str">
        <f>IF(Master[[#This Row],[Accession Name (Identifier 3)]]="","",Master[[#This Row],[Accession Name (Identifier 3)]])</f>
        <v/>
      </c>
      <c r="F167" s="45" t="str">
        <f>IF(Master[[#This Row],[Accession Name Cooperator (Identifier 3) -name, organization]]="","",Master[[#This Row],[Accession Name Cooperator (Identifier 3) -name, organization]])</f>
        <v/>
      </c>
      <c r="G167" s="141" t="str">
        <f t="shared" si="2"/>
        <v>Y</v>
      </c>
    </row>
    <row r="168" spans="2:7" x14ac:dyDescent="0.25">
      <c r="B168" s="141" t="str">
        <f>Master[[#This Row],[Accession Prefix (NPGS)]]&amp;" "&amp;Master[[#This Row],[Accession Number -Assigned]]</f>
        <v xml:space="preserve"> </v>
      </c>
      <c r="C168" s="141" t="str">
        <f>Master[[#This Row],[Accession Prefix (NPGS)]]&amp;" "&amp;Master[[#This Row],[Accession Number -Assigned]]&amp;" **"</f>
        <v xml:space="preserve">  **</v>
      </c>
      <c r="D168" s="76" t="str">
        <f>IF(Master[[#This Row],[Accession Name Category (Identifier 3) -Lookup Picker]]="","",Master[[#This Row],[Accession Name Category (Identifier 3) -Lookup Picker]])</f>
        <v/>
      </c>
      <c r="E168" s="76" t="str">
        <f>IF(Master[[#This Row],[Accession Name (Identifier 3)]]="","",Master[[#This Row],[Accession Name (Identifier 3)]])</f>
        <v/>
      </c>
      <c r="F168" s="45" t="str">
        <f>IF(Master[[#This Row],[Accession Name Cooperator (Identifier 3) -name, organization]]="","",Master[[#This Row],[Accession Name Cooperator (Identifier 3) -name, organization]])</f>
        <v/>
      </c>
      <c r="G168" s="141" t="str">
        <f t="shared" si="2"/>
        <v>Y</v>
      </c>
    </row>
    <row r="169" spans="2:7" x14ac:dyDescent="0.25">
      <c r="B169" s="141" t="str">
        <f>Master[[#This Row],[Accession Prefix (NPGS)]]&amp;" "&amp;Master[[#This Row],[Accession Number -Assigned]]</f>
        <v xml:space="preserve"> </v>
      </c>
      <c r="C169" s="141" t="str">
        <f>Master[[#This Row],[Accession Prefix (NPGS)]]&amp;" "&amp;Master[[#This Row],[Accession Number -Assigned]]&amp;" **"</f>
        <v xml:space="preserve">  **</v>
      </c>
      <c r="D169" s="76" t="str">
        <f>IF(Master[[#This Row],[Accession Name Category (Identifier 3) -Lookup Picker]]="","",Master[[#This Row],[Accession Name Category (Identifier 3) -Lookup Picker]])</f>
        <v/>
      </c>
      <c r="E169" s="76" t="str">
        <f>IF(Master[[#This Row],[Accession Name (Identifier 3)]]="","",Master[[#This Row],[Accession Name (Identifier 3)]])</f>
        <v/>
      </c>
      <c r="F169" s="45" t="str">
        <f>IF(Master[[#This Row],[Accession Name Cooperator (Identifier 3) -name, organization]]="","",Master[[#This Row],[Accession Name Cooperator (Identifier 3) -name, organization]])</f>
        <v/>
      </c>
      <c r="G169" s="141" t="str">
        <f t="shared" si="2"/>
        <v>Y</v>
      </c>
    </row>
    <row r="170" spans="2:7" x14ac:dyDescent="0.25">
      <c r="B170" s="141" t="str">
        <f>Master[[#This Row],[Accession Prefix (NPGS)]]&amp;" "&amp;Master[[#This Row],[Accession Number -Assigned]]</f>
        <v xml:space="preserve"> </v>
      </c>
      <c r="C170" s="141" t="str">
        <f>Master[[#This Row],[Accession Prefix (NPGS)]]&amp;" "&amp;Master[[#This Row],[Accession Number -Assigned]]&amp;" **"</f>
        <v xml:space="preserve">  **</v>
      </c>
      <c r="D170" s="76" t="str">
        <f>IF(Master[[#This Row],[Accession Name Category (Identifier 3) -Lookup Picker]]="","",Master[[#This Row],[Accession Name Category (Identifier 3) -Lookup Picker]])</f>
        <v/>
      </c>
      <c r="E170" s="76" t="str">
        <f>IF(Master[[#This Row],[Accession Name (Identifier 3)]]="","",Master[[#This Row],[Accession Name (Identifier 3)]])</f>
        <v/>
      </c>
      <c r="F170" s="45" t="str">
        <f>IF(Master[[#This Row],[Accession Name Cooperator (Identifier 3) -name, organization]]="","",Master[[#This Row],[Accession Name Cooperator (Identifier 3) -name, organization]])</f>
        <v/>
      </c>
      <c r="G170" s="141" t="str">
        <f t="shared" si="2"/>
        <v>Y</v>
      </c>
    </row>
    <row r="171" spans="2:7" x14ac:dyDescent="0.25">
      <c r="B171" s="141" t="str">
        <f>Master[[#This Row],[Accession Prefix (NPGS)]]&amp;" "&amp;Master[[#This Row],[Accession Number -Assigned]]</f>
        <v xml:space="preserve"> </v>
      </c>
      <c r="C171" s="141" t="str">
        <f>Master[[#This Row],[Accession Prefix (NPGS)]]&amp;" "&amp;Master[[#This Row],[Accession Number -Assigned]]&amp;" **"</f>
        <v xml:space="preserve">  **</v>
      </c>
      <c r="D171" s="76" t="str">
        <f>IF(Master[[#This Row],[Accession Name Category (Identifier 3) -Lookup Picker]]="","",Master[[#This Row],[Accession Name Category (Identifier 3) -Lookup Picker]])</f>
        <v/>
      </c>
      <c r="E171" s="76" t="str">
        <f>IF(Master[[#This Row],[Accession Name (Identifier 3)]]="","",Master[[#This Row],[Accession Name (Identifier 3)]])</f>
        <v/>
      </c>
      <c r="F171" s="45" t="str">
        <f>IF(Master[[#This Row],[Accession Name Cooperator (Identifier 3) -name, organization]]="","",Master[[#This Row],[Accession Name Cooperator (Identifier 3) -name, organization]])</f>
        <v/>
      </c>
      <c r="G171" s="141" t="str">
        <f t="shared" si="2"/>
        <v>Y</v>
      </c>
    </row>
    <row r="172" spans="2:7" x14ac:dyDescent="0.25">
      <c r="B172" s="141" t="str">
        <f>Master[[#This Row],[Accession Prefix (NPGS)]]&amp;" "&amp;Master[[#This Row],[Accession Number -Assigned]]</f>
        <v xml:space="preserve"> </v>
      </c>
      <c r="C172" s="141" t="str">
        <f>Master[[#This Row],[Accession Prefix (NPGS)]]&amp;" "&amp;Master[[#This Row],[Accession Number -Assigned]]&amp;" **"</f>
        <v xml:space="preserve">  **</v>
      </c>
      <c r="D172" s="76" t="str">
        <f>IF(Master[[#This Row],[Accession Name Category (Identifier 3) -Lookup Picker]]="","",Master[[#This Row],[Accession Name Category (Identifier 3) -Lookup Picker]])</f>
        <v/>
      </c>
      <c r="E172" s="76" t="str">
        <f>IF(Master[[#This Row],[Accession Name (Identifier 3)]]="","",Master[[#This Row],[Accession Name (Identifier 3)]])</f>
        <v/>
      </c>
      <c r="F172" s="45" t="str">
        <f>IF(Master[[#This Row],[Accession Name Cooperator (Identifier 3) -name, organization]]="","",Master[[#This Row],[Accession Name Cooperator (Identifier 3) -name, organization]])</f>
        <v/>
      </c>
      <c r="G172" s="141" t="str">
        <f t="shared" si="2"/>
        <v>Y</v>
      </c>
    </row>
    <row r="173" spans="2:7" x14ac:dyDescent="0.25">
      <c r="B173" s="141" t="str">
        <f>Master[[#This Row],[Accession Prefix (NPGS)]]&amp;" "&amp;Master[[#This Row],[Accession Number -Assigned]]</f>
        <v xml:space="preserve"> </v>
      </c>
      <c r="C173" s="141" t="str">
        <f>Master[[#This Row],[Accession Prefix (NPGS)]]&amp;" "&amp;Master[[#This Row],[Accession Number -Assigned]]&amp;" **"</f>
        <v xml:space="preserve">  **</v>
      </c>
      <c r="D173" s="76" t="str">
        <f>IF(Master[[#This Row],[Accession Name Category (Identifier 3) -Lookup Picker]]="","",Master[[#This Row],[Accession Name Category (Identifier 3) -Lookup Picker]])</f>
        <v/>
      </c>
      <c r="E173" s="76" t="str">
        <f>IF(Master[[#This Row],[Accession Name (Identifier 3)]]="","",Master[[#This Row],[Accession Name (Identifier 3)]])</f>
        <v/>
      </c>
      <c r="F173" s="45" t="str">
        <f>IF(Master[[#This Row],[Accession Name Cooperator (Identifier 3) -name, organization]]="","",Master[[#This Row],[Accession Name Cooperator (Identifier 3) -name, organization]])</f>
        <v/>
      </c>
      <c r="G173" s="141" t="str">
        <f t="shared" si="2"/>
        <v>Y</v>
      </c>
    </row>
    <row r="174" spans="2:7" x14ac:dyDescent="0.25">
      <c r="B174" s="141" t="str">
        <f>Master[[#This Row],[Accession Prefix (NPGS)]]&amp;" "&amp;Master[[#This Row],[Accession Number -Assigned]]</f>
        <v xml:space="preserve"> </v>
      </c>
      <c r="C174" s="141" t="str">
        <f>Master[[#This Row],[Accession Prefix (NPGS)]]&amp;" "&amp;Master[[#This Row],[Accession Number -Assigned]]&amp;" **"</f>
        <v xml:space="preserve">  **</v>
      </c>
      <c r="D174" s="76" t="str">
        <f>IF(Master[[#This Row],[Accession Name Category (Identifier 3) -Lookup Picker]]="","",Master[[#This Row],[Accession Name Category (Identifier 3) -Lookup Picker]])</f>
        <v/>
      </c>
      <c r="E174" s="76" t="str">
        <f>IF(Master[[#This Row],[Accession Name (Identifier 3)]]="","",Master[[#This Row],[Accession Name (Identifier 3)]])</f>
        <v/>
      </c>
      <c r="F174" s="45" t="str">
        <f>IF(Master[[#This Row],[Accession Name Cooperator (Identifier 3) -name, organization]]="","",Master[[#This Row],[Accession Name Cooperator (Identifier 3) -name, organization]])</f>
        <v/>
      </c>
      <c r="G174" s="141" t="str">
        <f t="shared" si="2"/>
        <v>Y</v>
      </c>
    </row>
    <row r="175" spans="2:7" x14ac:dyDescent="0.25">
      <c r="B175" s="141" t="str">
        <f>Master[[#This Row],[Accession Prefix (NPGS)]]&amp;" "&amp;Master[[#This Row],[Accession Number -Assigned]]</f>
        <v xml:space="preserve"> </v>
      </c>
      <c r="C175" s="141" t="str">
        <f>Master[[#This Row],[Accession Prefix (NPGS)]]&amp;" "&amp;Master[[#This Row],[Accession Number -Assigned]]&amp;" **"</f>
        <v xml:space="preserve">  **</v>
      </c>
      <c r="D175" s="76" t="str">
        <f>IF(Master[[#This Row],[Accession Name Category (Identifier 3) -Lookup Picker]]="","",Master[[#This Row],[Accession Name Category (Identifier 3) -Lookup Picker]])</f>
        <v/>
      </c>
      <c r="E175" s="76" t="str">
        <f>IF(Master[[#This Row],[Accession Name (Identifier 3)]]="","",Master[[#This Row],[Accession Name (Identifier 3)]])</f>
        <v/>
      </c>
      <c r="F175" s="45" t="str">
        <f>IF(Master[[#This Row],[Accession Name Cooperator (Identifier 3) -name, organization]]="","",Master[[#This Row],[Accession Name Cooperator (Identifier 3) -name, organization]])</f>
        <v/>
      </c>
      <c r="G175" s="141" t="str">
        <f t="shared" si="2"/>
        <v>Y</v>
      </c>
    </row>
    <row r="176" spans="2:7" x14ac:dyDescent="0.25">
      <c r="B176" s="141" t="str">
        <f>Master[[#This Row],[Accession Prefix (NPGS)]]&amp;" "&amp;Master[[#This Row],[Accession Number -Assigned]]</f>
        <v xml:space="preserve"> </v>
      </c>
      <c r="C176" s="141" t="str">
        <f>Master[[#This Row],[Accession Prefix (NPGS)]]&amp;" "&amp;Master[[#This Row],[Accession Number -Assigned]]&amp;" **"</f>
        <v xml:space="preserve">  **</v>
      </c>
      <c r="D176" s="76" t="str">
        <f>IF(Master[[#This Row],[Accession Name Category (Identifier 3) -Lookup Picker]]="","",Master[[#This Row],[Accession Name Category (Identifier 3) -Lookup Picker]])</f>
        <v/>
      </c>
      <c r="E176" s="76" t="str">
        <f>IF(Master[[#This Row],[Accession Name (Identifier 3)]]="","",Master[[#This Row],[Accession Name (Identifier 3)]])</f>
        <v/>
      </c>
      <c r="F176" s="45" t="str">
        <f>IF(Master[[#This Row],[Accession Name Cooperator (Identifier 3) -name, organization]]="","",Master[[#This Row],[Accession Name Cooperator (Identifier 3) -name, organization]])</f>
        <v/>
      </c>
      <c r="G176" s="141" t="str">
        <f t="shared" si="2"/>
        <v>Y</v>
      </c>
    </row>
    <row r="177" spans="2:7" x14ac:dyDescent="0.25">
      <c r="B177" s="141" t="str">
        <f>Master[[#This Row],[Accession Prefix (NPGS)]]&amp;" "&amp;Master[[#This Row],[Accession Number -Assigned]]</f>
        <v xml:space="preserve"> </v>
      </c>
      <c r="C177" s="141" t="str">
        <f>Master[[#This Row],[Accession Prefix (NPGS)]]&amp;" "&amp;Master[[#This Row],[Accession Number -Assigned]]&amp;" **"</f>
        <v xml:space="preserve">  **</v>
      </c>
      <c r="D177" s="76" t="str">
        <f>IF(Master[[#This Row],[Accession Name Category (Identifier 3) -Lookup Picker]]="","",Master[[#This Row],[Accession Name Category (Identifier 3) -Lookup Picker]])</f>
        <v/>
      </c>
      <c r="E177" s="76" t="str">
        <f>IF(Master[[#This Row],[Accession Name (Identifier 3)]]="","",Master[[#This Row],[Accession Name (Identifier 3)]])</f>
        <v/>
      </c>
      <c r="F177" s="45" t="str">
        <f>IF(Master[[#This Row],[Accession Name Cooperator (Identifier 3) -name, organization]]="","",Master[[#This Row],[Accession Name Cooperator (Identifier 3) -name, organization]])</f>
        <v/>
      </c>
      <c r="G177" s="141" t="str">
        <f t="shared" si="2"/>
        <v>Y</v>
      </c>
    </row>
    <row r="178" spans="2:7" x14ac:dyDescent="0.25">
      <c r="B178" s="141" t="str">
        <f>Master[[#This Row],[Accession Prefix (NPGS)]]&amp;" "&amp;Master[[#This Row],[Accession Number -Assigned]]</f>
        <v xml:space="preserve"> </v>
      </c>
      <c r="C178" s="141" t="str">
        <f>Master[[#This Row],[Accession Prefix (NPGS)]]&amp;" "&amp;Master[[#This Row],[Accession Number -Assigned]]&amp;" **"</f>
        <v xml:space="preserve">  **</v>
      </c>
      <c r="D178" s="76" t="str">
        <f>IF(Master[[#This Row],[Accession Name Category (Identifier 3) -Lookup Picker]]="","",Master[[#This Row],[Accession Name Category (Identifier 3) -Lookup Picker]])</f>
        <v/>
      </c>
      <c r="E178" s="76" t="str">
        <f>IF(Master[[#This Row],[Accession Name (Identifier 3)]]="","",Master[[#This Row],[Accession Name (Identifier 3)]])</f>
        <v/>
      </c>
      <c r="F178" s="45" t="str">
        <f>IF(Master[[#This Row],[Accession Name Cooperator (Identifier 3) -name, organization]]="","",Master[[#This Row],[Accession Name Cooperator (Identifier 3) -name, organization]])</f>
        <v/>
      </c>
      <c r="G178" s="141" t="str">
        <f t="shared" si="2"/>
        <v>Y</v>
      </c>
    </row>
    <row r="179" spans="2:7" x14ac:dyDescent="0.25">
      <c r="B179" s="141" t="str">
        <f>Master[[#This Row],[Accession Prefix (NPGS)]]&amp;" "&amp;Master[[#This Row],[Accession Number -Assigned]]</f>
        <v xml:space="preserve"> </v>
      </c>
      <c r="C179" s="141" t="str">
        <f>Master[[#This Row],[Accession Prefix (NPGS)]]&amp;" "&amp;Master[[#This Row],[Accession Number -Assigned]]&amp;" **"</f>
        <v xml:space="preserve">  **</v>
      </c>
      <c r="D179" s="76" t="str">
        <f>IF(Master[[#This Row],[Accession Name Category (Identifier 3) -Lookup Picker]]="","",Master[[#This Row],[Accession Name Category (Identifier 3) -Lookup Picker]])</f>
        <v/>
      </c>
      <c r="E179" s="76" t="str">
        <f>IF(Master[[#This Row],[Accession Name (Identifier 3)]]="","",Master[[#This Row],[Accession Name (Identifier 3)]])</f>
        <v/>
      </c>
      <c r="F179" s="45" t="str">
        <f>IF(Master[[#This Row],[Accession Name Cooperator (Identifier 3) -name, organization]]="","",Master[[#This Row],[Accession Name Cooperator (Identifier 3) -name, organization]])</f>
        <v/>
      </c>
      <c r="G179" s="141" t="str">
        <f t="shared" si="2"/>
        <v>Y</v>
      </c>
    </row>
    <row r="180" spans="2:7" x14ac:dyDescent="0.25">
      <c r="B180" s="141" t="str">
        <f>Master[[#This Row],[Accession Prefix (NPGS)]]&amp;" "&amp;Master[[#This Row],[Accession Number -Assigned]]</f>
        <v xml:space="preserve"> </v>
      </c>
      <c r="C180" s="141" t="str">
        <f>Master[[#This Row],[Accession Prefix (NPGS)]]&amp;" "&amp;Master[[#This Row],[Accession Number -Assigned]]&amp;" **"</f>
        <v xml:space="preserve">  **</v>
      </c>
      <c r="D180" s="76" t="str">
        <f>IF(Master[[#This Row],[Accession Name Category (Identifier 3) -Lookup Picker]]="","",Master[[#This Row],[Accession Name Category (Identifier 3) -Lookup Picker]])</f>
        <v/>
      </c>
      <c r="E180" s="76" t="str">
        <f>IF(Master[[#This Row],[Accession Name (Identifier 3)]]="","",Master[[#This Row],[Accession Name (Identifier 3)]])</f>
        <v/>
      </c>
      <c r="F180" s="45" t="str">
        <f>IF(Master[[#This Row],[Accession Name Cooperator (Identifier 3) -name, organization]]="","",Master[[#This Row],[Accession Name Cooperator (Identifier 3) -name, organization]])</f>
        <v/>
      </c>
      <c r="G180" s="141" t="str">
        <f t="shared" si="2"/>
        <v>Y</v>
      </c>
    </row>
    <row r="181" spans="2:7" x14ac:dyDescent="0.25">
      <c r="B181" s="141" t="str">
        <f>Master[[#This Row],[Accession Prefix (NPGS)]]&amp;" "&amp;Master[[#This Row],[Accession Number -Assigned]]</f>
        <v xml:space="preserve"> </v>
      </c>
      <c r="C181" s="141" t="str">
        <f>Master[[#This Row],[Accession Prefix (NPGS)]]&amp;" "&amp;Master[[#This Row],[Accession Number -Assigned]]&amp;" **"</f>
        <v xml:space="preserve">  **</v>
      </c>
      <c r="D181" s="76" t="str">
        <f>IF(Master[[#This Row],[Accession Name Category (Identifier 3) -Lookup Picker]]="","",Master[[#This Row],[Accession Name Category (Identifier 3) -Lookup Picker]])</f>
        <v/>
      </c>
      <c r="E181" s="76" t="str">
        <f>IF(Master[[#This Row],[Accession Name (Identifier 3)]]="","",Master[[#This Row],[Accession Name (Identifier 3)]])</f>
        <v/>
      </c>
      <c r="F181" s="45" t="str">
        <f>IF(Master[[#This Row],[Accession Name Cooperator (Identifier 3) -name, organization]]="","",Master[[#This Row],[Accession Name Cooperator (Identifier 3) -name, organization]])</f>
        <v/>
      </c>
      <c r="G181" s="141" t="str">
        <f t="shared" si="2"/>
        <v>Y</v>
      </c>
    </row>
    <row r="182" spans="2:7" x14ac:dyDescent="0.25">
      <c r="B182" s="141" t="str">
        <f>Master[[#This Row],[Accession Prefix (NPGS)]]&amp;" "&amp;Master[[#This Row],[Accession Number -Assigned]]</f>
        <v xml:space="preserve"> </v>
      </c>
      <c r="C182" s="141" t="str">
        <f>Master[[#This Row],[Accession Prefix (NPGS)]]&amp;" "&amp;Master[[#This Row],[Accession Number -Assigned]]&amp;" **"</f>
        <v xml:space="preserve">  **</v>
      </c>
      <c r="D182" s="76" t="str">
        <f>IF(Master[[#This Row],[Accession Name Category (Identifier 3) -Lookup Picker]]="","",Master[[#This Row],[Accession Name Category (Identifier 3) -Lookup Picker]])</f>
        <v/>
      </c>
      <c r="E182" s="76" t="str">
        <f>IF(Master[[#This Row],[Accession Name (Identifier 3)]]="","",Master[[#This Row],[Accession Name (Identifier 3)]])</f>
        <v/>
      </c>
      <c r="F182" s="45" t="str">
        <f>IF(Master[[#This Row],[Accession Name Cooperator (Identifier 3) -name, organization]]="","",Master[[#This Row],[Accession Name Cooperator (Identifier 3) -name, organization]])</f>
        <v/>
      </c>
      <c r="G182" s="141" t="str">
        <f t="shared" si="2"/>
        <v>Y</v>
      </c>
    </row>
    <row r="183" spans="2:7" x14ac:dyDescent="0.25">
      <c r="B183" s="141" t="str">
        <f>Master[[#This Row],[Accession Prefix (NPGS)]]&amp;" "&amp;Master[[#This Row],[Accession Number -Assigned]]</f>
        <v xml:space="preserve"> </v>
      </c>
      <c r="C183" s="141" t="str">
        <f>Master[[#This Row],[Accession Prefix (NPGS)]]&amp;" "&amp;Master[[#This Row],[Accession Number -Assigned]]&amp;" **"</f>
        <v xml:space="preserve">  **</v>
      </c>
      <c r="D183" s="76" t="str">
        <f>IF(Master[[#This Row],[Accession Name Category (Identifier 3) -Lookup Picker]]="","",Master[[#This Row],[Accession Name Category (Identifier 3) -Lookup Picker]])</f>
        <v/>
      </c>
      <c r="E183" s="76" t="str">
        <f>IF(Master[[#This Row],[Accession Name (Identifier 3)]]="","",Master[[#This Row],[Accession Name (Identifier 3)]])</f>
        <v/>
      </c>
      <c r="F183" s="45" t="str">
        <f>IF(Master[[#This Row],[Accession Name Cooperator (Identifier 3) -name, organization]]="","",Master[[#This Row],[Accession Name Cooperator (Identifier 3) -name, organization]])</f>
        <v/>
      </c>
      <c r="G183" s="141" t="str">
        <f t="shared" si="2"/>
        <v>Y</v>
      </c>
    </row>
    <row r="184" spans="2:7" x14ac:dyDescent="0.25">
      <c r="B184" s="141" t="str">
        <f>Master[[#This Row],[Accession Prefix (NPGS)]]&amp;" "&amp;Master[[#This Row],[Accession Number -Assigned]]</f>
        <v xml:space="preserve"> </v>
      </c>
      <c r="C184" s="141" t="str">
        <f>Master[[#This Row],[Accession Prefix (NPGS)]]&amp;" "&amp;Master[[#This Row],[Accession Number -Assigned]]&amp;" **"</f>
        <v xml:space="preserve">  **</v>
      </c>
      <c r="D184" s="76" t="str">
        <f>IF(Master[[#This Row],[Accession Name Category (Identifier 3) -Lookup Picker]]="","",Master[[#This Row],[Accession Name Category (Identifier 3) -Lookup Picker]])</f>
        <v/>
      </c>
      <c r="E184" s="76" t="str">
        <f>IF(Master[[#This Row],[Accession Name (Identifier 3)]]="","",Master[[#This Row],[Accession Name (Identifier 3)]])</f>
        <v/>
      </c>
      <c r="F184" s="45" t="str">
        <f>IF(Master[[#This Row],[Accession Name Cooperator (Identifier 3) -name, organization]]="","",Master[[#This Row],[Accession Name Cooperator (Identifier 3) -name, organization]])</f>
        <v/>
      </c>
      <c r="G184" s="141" t="str">
        <f t="shared" si="2"/>
        <v>Y</v>
      </c>
    </row>
    <row r="185" spans="2:7" x14ac:dyDescent="0.25">
      <c r="B185" s="141" t="str">
        <f>Master[[#This Row],[Accession Prefix (NPGS)]]&amp;" "&amp;Master[[#This Row],[Accession Number -Assigned]]</f>
        <v xml:space="preserve"> </v>
      </c>
      <c r="C185" s="141" t="str">
        <f>Master[[#This Row],[Accession Prefix (NPGS)]]&amp;" "&amp;Master[[#This Row],[Accession Number -Assigned]]&amp;" **"</f>
        <v xml:space="preserve">  **</v>
      </c>
      <c r="D185" s="76" t="str">
        <f>IF(Master[[#This Row],[Accession Name Category (Identifier 3) -Lookup Picker]]="","",Master[[#This Row],[Accession Name Category (Identifier 3) -Lookup Picker]])</f>
        <v/>
      </c>
      <c r="E185" s="76" t="str">
        <f>IF(Master[[#This Row],[Accession Name (Identifier 3)]]="","",Master[[#This Row],[Accession Name (Identifier 3)]])</f>
        <v/>
      </c>
      <c r="F185" s="45" t="str">
        <f>IF(Master[[#This Row],[Accession Name Cooperator (Identifier 3) -name, organization]]="","",Master[[#This Row],[Accession Name Cooperator (Identifier 3) -name, organization]])</f>
        <v/>
      </c>
      <c r="G185" s="141" t="str">
        <f t="shared" si="2"/>
        <v>Y</v>
      </c>
    </row>
    <row r="186" spans="2:7" x14ac:dyDescent="0.25">
      <c r="B186" s="141" t="str">
        <f>Master[[#This Row],[Accession Prefix (NPGS)]]&amp;" "&amp;Master[[#This Row],[Accession Number -Assigned]]</f>
        <v xml:space="preserve"> </v>
      </c>
      <c r="C186" s="141" t="str">
        <f>Master[[#This Row],[Accession Prefix (NPGS)]]&amp;" "&amp;Master[[#This Row],[Accession Number -Assigned]]&amp;" **"</f>
        <v xml:space="preserve">  **</v>
      </c>
      <c r="D186" s="76" t="str">
        <f>IF(Master[[#This Row],[Accession Name Category (Identifier 3) -Lookup Picker]]="","",Master[[#This Row],[Accession Name Category (Identifier 3) -Lookup Picker]])</f>
        <v/>
      </c>
      <c r="E186" s="76" t="str">
        <f>IF(Master[[#This Row],[Accession Name (Identifier 3)]]="","",Master[[#This Row],[Accession Name (Identifier 3)]])</f>
        <v/>
      </c>
      <c r="F186" s="45" t="str">
        <f>IF(Master[[#This Row],[Accession Name Cooperator (Identifier 3) -name, organization]]="","",Master[[#This Row],[Accession Name Cooperator (Identifier 3) -name, organization]])</f>
        <v/>
      </c>
      <c r="G186" s="141" t="str">
        <f t="shared" si="2"/>
        <v>Y</v>
      </c>
    </row>
    <row r="187" spans="2:7" x14ac:dyDescent="0.25">
      <c r="B187" s="141" t="str">
        <f>Master[[#This Row],[Accession Prefix (NPGS)]]&amp;" "&amp;Master[[#This Row],[Accession Number -Assigned]]</f>
        <v xml:space="preserve"> </v>
      </c>
      <c r="C187" s="141" t="str">
        <f>Master[[#This Row],[Accession Prefix (NPGS)]]&amp;" "&amp;Master[[#This Row],[Accession Number -Assigned]]&amp;" **"</f>
        <v xml:space="preserve">  **</v>
      </c>
      <c r="D187" s="76" t="str">
        <f>IF(Master[[#This Row],[Accession Name Category (Identifier 3) -Lookup Picker]]="","",Master[[#This Row],[Accession Name Category (Identifier 3) -Lookup Picker]])</f>
        <v/>
      </c>
      <c r="E187" s="76" t="str">
        <f>IF(Master[[#This Row],[Accession Name (Identifier 3)]]="","",Master[[#This Row],[Accession Name (Identifier 3)]])</f>
        <v/>
      </c>
      <c r="F187" s="45" t="str">
        <f>IF(Master[[#This Row],[Accession Name Cooperator (Identifier 3) -name, organization]]="","",Master[[#This Row],[Accession Name Cooperator (Identifier 3) -name, organization]])</f>
        <v/>
      </c>
      <c r="G187" s="141" t="str">
        <f t="shared" si="2"/>
        <v>Y</v>
      </c>
    </row>
    <row r="188" spans="2:7" x14ac:dyDescent="0.25">
      <c r="B188" s="141" t="str">
        <f>Master[[#This Row],[Accession Prefix (NPGS)]]&amp;" "&amp;Master[[#This Row],[Accession Number -Assigned]]</f>
        <v xml:space="preserve"> </v>
      </c>
      <c r="C188" s="141" t="str">
        <f>Master[[#This Row],[Accession Prefix (NPGS)]]&amp;" "&amp;Master[[#This Row],[Accession Number -Assigned]]&amp;" **"</f>
        <v xml:space="preserve">  **</v>
      </c>
      <c r="D188" s="76" t="str">
        <f>IF(Master[[#This Row],[Accession Name Category (Identifier 3) -Lookup Picker]]="","",Master[[#This Row],[Accession Name Category (Identifier 3) -Lookup Picker]])</f>
        <v/>
      </c>
      <c r="E188" s="76" t="str">
        <f>IF(Master[[#This Row],[Accession Name (Identifier 3)]]="","",Master[[#This Row],[Accession Name (Identifier 3)]])</f>
        <v/>
      </c>
      <c r="F188" s="45" t="str">
        <f>IF(Master[[#This Row],[Accession Name Cooperator (Identifier 3) -name, organization]]="","",Master[[#This Row],[Accession Name Cooperator (Identifier 3) -name, organization]])</f>
        <v/>
      </c>
      <c r="G188" s="141" t="str">
        <f t="shared" si="2"/>
        <v>Y</v>
      </c>
    </row>
    <row r="189" spans="2:7" x14ac:dyDescent="0.25">
      <c r="B189" s="141" t="str">
        <f>Master[[#This Row],[Accession Prefix (NPGS)]]&amp;" "&amp;Master[[#This Row],[Accession Number -Assigned]]</f>
        <v xml:space="preserve"> </v>
      </c>
      <c r="C189" s="141" t="str">
        <f>Master[[#This Row],[Accession Prefix (NPGS)]]&amp;" "&amp;Master[[#This Row],[Accession Number -Assigned]]&amp;" **"</f>
        <v xml:space="preserve">  **</v>
      </c>
      <c r="D189" s="76" t="str">
        <f>IF(Master[[#This Row],[Accession Name Category (Identifier 3) -Lookup Picker]]="","",Master[[#This Row],[Accession Name Category (Identifier 3) -Lookup Picker]])</f>
        <v/>
      </c>
      <c r="E189" s="76" t="str">
        <f>IF(Master[[#This Row],[Accession Name (Identifier 3)]]="","",Master[[#This Row],[Accession Name (Identifier 3)]])</f>
        <v/>
      </c>
      <c r="F189" s="45" t="str">
        <f>IF(Master[[#This Row],[Accession Name Cooperator (Identifier 3) -name, organization]]="","",Master[[#This Row],[Accession Name Cooperator (Identifier 3) -name, organization]])</f>
        <v/>
      </c>
      <c r="G189" s="141" t="str">
        <f t="shared" si="2"/>
        <v>Y</v>
      </c>
    </row>
    <row r="190" spans="2:7" x14ac:dyDescent="0.25">
      <c r="B190" s="141" t="str">
        <f>Master[[#This Row],[Accession Prefix (NPGS)]]&amp;" "&amp;Master[[#This Row],[Accession Number -Assigned]]</f>
        <v xml:space="preserve"> </v>
      </c>
      <c r="C190" s="141" t="str">
        <f>Master[[#This Row],[Accession Prefix (NPGS)]]&amp;" "&amp;Master[[#This Row],[Accession Number -Assigned]]&amp;" **"</f>
        <v xml:space="preserve">  **</v>
      </c>
      <c r="D190" s="76" t="str">
        <f>IF(Master[[#This Row],[Accession Name Category (Identifier 3) -Lookup Picker]]="","",Master[[#This Row],[Accession Name Category (Identifier 3) -Lookup Picker]])</f>
        <v/>
      </c>
      <c r="E190" s="76" t="str">
        <f>IF(Master[[#This Row],[Accession Name (Identifier 3)]]="","",Master[[#This Row],[Accession Name (Identifier 3)]])</f>
        <v/>
      </c>
      <c r="F190" s="45" t="str">
        <f>IF(Master[[#This Row],[Accession Name Cooperator (Identifier 3) -name, organization]]="","",Master[[#This Row],[Accession Name Cooperator (Identifier 3) -name, organization]])</f>
        <v/>
      </c>
      <c r="G190" s="141" t="str">
        <f t="shared" si="2"/>
        <v>Y</v>
      </c>
    </row>
    <row r="191" spans="2:7" x14ac:dyDescent="0.25">
      <c r="B191" s="141" t="str">
        <f>Master[[#This Row],[Accession Prefix (NPGS)]]&amp;" "&amp;Master[[#This Row],[Accession Number -Assigned]]</f>
        <v xml:space="preserve"> </v>
      </c>
      <c r="C191" s="141" t="str">
        <f>Master[[#This Row],[Accession Prefix (NPGS)]]&amp;" "&amp;Master[[#This Row],[Accession Number -Assigned]]&amp;" **"</f>
        <v xml:space="preserve">  **</v>
      </c>
      <c r="D191" s="76" t="str">
        <f>IF(Master[[#This Row],[Accession Name Category (Identifier 3) -Lookup Picker]]="","",Master[[#This Row],[Accession Name Category (Identifier 3) -Lookup Picker]])</f>
        <v/>
      </c>
      <c r="E191" s="76" t="str">
        <f>IF(Master[[#This Row],[Accession Name (Identifier 3)]]="","",Master[[#This Row],[Accession Name (Identifier 3)]])</f>
        <v/>
      </c>
      <c r="F191" s="45" t="str">
        <f>IF(Master[[#This Row],[Accession Name Cooperator (Identifier 3) -name, organization]]="","",Master[[#This Row],[Accession Name Cooperator (Identifier 3) -name, organization]])</f>
        <v/>
      </c>
      <c r="G191" s="141" t="str">
        <f t="shared" si="2"/>
        <v>Y</v>
      </c>
    </row>
    <row r="192" spans="2:7" x14ac:dyDescent="0.25">
      <c r="B192" s="141" t="str">
        <f>Master[[#This Row],[Accession Prefix (NPGS)]]&amp;" "&amp;Master[[#This Row],[Accession Number -Assigned]]</f>
        <v xml:space="preserve"> </v>
      </c>
      <c r="C192" s="141" t="str">
        <f>Master[[#This Row],[Accession Prefix (NPGS)]]&amp;" "&amp;Master[[#This Row],[Accession Number -Assigned]]&amp;" **"</f>
        <v xml:space="preserve">  **</v>
      </c>
      <c r="D192" s="76" t="str">
        <f>IF(Master[[#This Row],[Accession Name Category (Identifier 3) -Lookup Picker]]="","",Master[[#This Row],[Accession Name Category (Identifier 3) -Lookup Picker]])</f>
        <v/>
      </c>
      <c r="E192" s="76" t="str">
        <f>IF(Master[[#This Row],[Accession Name (Identifier 3)]]="","",Master[[#This Row],[Accession Name (Identifier 3)]])</f>
        <v/>
      </c>
      <c r="F192" s="45" t="str">
        <f>IF(Master[[#This Row],[Accession Name Cooperator (Identifier 3) -name, organization]]="","",Master[[#This Row],[Accession Name Cooperator (Identifier 3) -name, organization]])</f>
        <v/>
      </c>
      <c r="G192" s="141" t="str">
        <f t="shared" si="2"/>
        <v>Y</v>
      </c>
    </row>
    <row r="193" spans="2:7" x14ac:dyDescent="0.25">
      <c r="B193" s="141" t="str">
        <f>Master[[#This Row],[Accession Prefix (NPGS)]]&amp;" "&amp;Master[[#This Row],[Accession Number -Assigned]]</f>
        <v xml:space="preserve"> </v>
      </c>
      <c r="C193" s="141" t="str">
        <f>Master[[#This Row],[Accession Prefix (NPGS)]]&amp;" "&amp;Master[[#This Row],[Accession Number -Assigned]]&amp;" **"</f>
        <v xml:space="preserve">  **</v>
      </c>
      <c r="D193" s="76" t="str">
        <f>IF(Master[[#This Row],[Accession Name Category (Identifier 3) -Lookup Picker]]="","",Master[[#This Row],[Accession Name Category (Identifier 3) -Lookup Picker]])</f>
        <v/>
      </c>
      <c r="E193" s="76" t="str">
        <f>IF(Master[[#This Row],[Accession Name (Identifier 3)]]="","",Master[[#This Row],[Accession Name (Identifier 3)]])</f>
        <v/>
      </c>
      <c r="F193" s="45" t="str">
        <f>IF(Master[[#This Row],[Accession Name Cooperator (Identifier 3) -name, organization]]="","",Master[[#This Row],[Accession Name Cooperator (Identifier 3) -name, organization]])</f>
        <v/>
      </c>
      <c r="G193" s="141" t="str">
        <f t="shared" si="2"/>
        <v>Y</v>
      </c>
    </row>
    <row r="194" spans="2:7" x14ac:dyDescent="0.25">
      <c r="B194" s="141" t="str">
        <f>Master[[#This Row],[Accession Prefix (NPGS)]]&amp;" "&amp;Master[[#This Row],[Accession Number -Assigned]]</f>
        <v xml:space="preserve"> </v>
      </c>
      <c r="C194" s="141" t="str">
        <f>Master[[#This Row],[Accession Prefix (NPGS)]]&amp;" "&amp;Master[[#This Row],[Accession Number -Assigned]]&amp;" **"</f>
        <v xml:space="preserve">  **</v>
      </c>
      <c r="D194" s="76" t="str">
        <f>IF(Master[[#This Row],[Accession Name Category (Identifier 3) -Lookup Picker]]="","",Master[[#This Row],[Accession Name Category (Identifier 3) -Lookup Picker]])</f>
        <v/>
      </c>
      <c r="E194" s="76" t="str">
        <f>IF(Master[[#This Row],[Accession Name (Identifier 3)]]="","",Master[[#This Row],[Accession Name (Identifier 3)]])</f>
        <v/>
      </c>
      <c r="F194" s="45" t="str">
        <f>IF(Master[[#This Row],[Accession Name Cooperator (Identifier 3) -name, organization]]="","",Master[[#This Row],[Accession Name Cooperator (Identifier 3) -name, organization]])</f>
        <v/>
      </c>
      <c r="G194" s="141" t="str">
        <f t="shared" si="2"/>
        <v>Y</v>
      </c>
    </row>
    <row r="195" spans="2:7" x14ac:dyDescent="0.25">
      <c r="B195" s="141" t="str">
        <f>Master[[#This Row],[Accession Prefix (NPGS)]]&amp;" "&amp;Master[[#This Row],[Accession Number -Assigned]]</f>
        <v xml:space="preserve"> </v>
      </c>
      <c r="C195" s="141" t="str">
        <f>Master[[#This Row],[Accession Prefix (NPGS)]]&amp;" "&amp;Master[[#This Row],[Accession Number -Assigned]]&amp;" **"</f>
        <v xml:space="preserve">  **</v>
      </c>
      <c r="D195" s="76" t="str">
        <f>IF(Master[[#This Row],[Accession Name Category (Identifier 3) -Lookup Picker]]="","",Master[[#This Row],[Accession Name Category (Identifier 3) -Lookup Picker]])</f>
        <v/>
      </c>
      <c r="E195" s="76" t="str">
        <f>IF(Master[[#This Row],[Accession Name (Identifier 3)]]="","",Master[[#This Row],[Accession Name (Identifier 3)]])</f>
        <v/>
      </c>
      <c r="F195" s="45" t="str">
        <f>IF(Master[[#This Row],[Accession Name Cooperator (Identifier 3) -name, organization]]="","",Master[[#This Row],[Accession Name Cooperator (Identifier 3) -name, organization]])</f>
        <v/>
      </c>
      <c r="G195" s="141" t="str">
        <f t="shared" ref="G195:G201" si="3">"Y"</f>
        <v>Y</v>
      </c>
    </row>
    <row r="196" spans="2:7" x14ac:dyDescent="0.25">
      <c r="B196" s="141" t="str">
        <f>Master[[#This Row],[Accession Prefix (NPGS)]]&amp;" "&amp;Master[[#This Row],[Accession Number -Assigned]]</f>
        <v xml:space="preserve"> </v>
      </c>
      <c r="C196" s="141" t="str">
        <f>Master[[#This Row],[Accession Prefix (NPGS)]]&amp;" "&amp;Master[[#This Row],[Accession Number -Assigned]]&amp;" **"</f>
        <v xml:space="preserve">  **</v>
      </c>
      <c r="D196" s="76" t="str">
        <f>IF(Master[[#This Row],[Accession Name Category (Identifier 3) -Lookup Picker]]="","",Master[[#This Row],[Accession Name Category (Identifier 3) -Lookup Picker]])</f>
        <v/>
      </c>
      <c r="E196" s="76" t="str">
        <f>IF(Master[[#This Row],[Accession Name (Identifier 3)]]="","",Master[[#This Row],[Accession Name (Identifier 3)]])</f>
        <v/>
      </c>
      <c r="F196" s="45" t="str">
        <f>IF(Master[[#This Row],[Accession Name Cooperator (Identifier 3) -name, organization]]="","",Master[[#This Row],[Accession Name Cooperator (Identifier 3) -name, organization]])</f>
        <v/>
      </c>
      <c r="G196" s="141" t="str">
        <f t="shared" si="3"/>
        <v>Y</v>
      </c>
    </row>
    <row r="197" spans="2:7" x14ac:dyDescent="0.25">
      <c r="B197" s="141" t="str">
        <f>Master[[#This Row],[Accession Prefix (NPGS)]]&amp;" "&amp;Master[[#This Row],[Accession Number -Assigned]]</f>
        <v xml:space="preserve"> </v>
      </c>
      <c r="C197" s="141" t="str">
        <f>Master[[#This Row],[Accession Prefix (NPGS)]]&amp;" "&amp;Master[[#This Row],[Accession Number -Assigned]]&amp;" **"</f>
        <v xml:space="preserve">  **</v>
      </c>
      <c r="D197" s="76" t="str">
        <f>IF(Master[[#This Row],[Accession Name Category (Identifier 3) -Lookup Picker]]="","",Master[[#This Row],[Accession Name Category (Identifier 3) -Lookup Picker]])</f>
        <v/>
      </c>
      <c r="E197" s="76" t="str">
        <f>IF(Master[[#This Row],[Accession Name (Identifier 3)]]="","",Master[[#This Row],[Accession Name (Identifier 3)]])</f>
        <v/>
      </c>
      <c r="F197" s="45" t="str">
        <f>IF(Master[[#This Row],[Accession Name Cooperator (Identifier 3) -name, organization]]="","",Master[[#This Row],[Accession Name Cooperator (Identifier 3) -name, organization]])</f>
        <v/>
      </c>
      <c r="G197" s="141" t="str">
        <f t="shared" si="3"/>
        <v>Y</v>
      </c>
    </row>
    <row r="198" spans="2:7" x14ac:dyDescent="0.25">
      <c r="B198" s="141" t="str">
        <f>Master[[#This Row],[Accession Prefix (NPGS)]]&amp;" "&amp;Master[[#This Row],[Accession Number -Assigned]]</f>
        <v xml:space="preserve"> </v>
      </c>
      <c r="C198" s="141" t="str">
        <f>Master[[#This Row],[Accession Prefix (NPGS)]]&amp;" "&amp;Master[[#This Row],[Accession Number -Assigned]]&amp;" **"</f>
        <v xml:space="preserve">  **</v>
      </c>
      <c r="D198" s="76" t="str">
        <f>IF(Master[[#This Row],[Accession Name Category (Identifier 3) -Lookup Picker]]="","",Master[[#This Row],[Accession Name Category (Identifier 3) -Lookup Picker]])</f>
        <v/>
      </c>
      <c r="E198" s="76" t="str">
        <f>IF(Master[[#This Row],[Accession Name (Identifier 3)]]="","",Master[[#This Row],[Accession Name (Identifier 3)]])</f>
        <v/>
      </c>
      <c r="F198" s="45" t="str">
        <f>IF(Master[[#This Row],[Accession Name Cooperator (Identifier 3) -name, organization]]="","",Master[[#This Row],[Accession Name Cooperator (Identifier 3) -name, organization]])</f>
        <v/>
      </c>
      <c r="G198" s="141" t="str">
        <f t="shared" si="3"/>
        <v>Y</v>
      </c>
    </row>
    <row r="199" spans="2:7" x14ac:dyDescent="0.25">
      <c r="B199" s="141" t="str">
        <f>Master[[#This Row],[Accession Prefix (NPGS)]]&amp;" "&amp;Master[[#This Row],[Accession Number -Assigned]]</f>
        <v xml:space="preserve"> </v>
      </c>
      <c r="C199" s="141" t="str">
        <f>Master[[#This Row],[Accession Prefix (NPGS)]]&amp;" "&amp;Master[[#This Row],[Accession Number -Assigned]]&amp;" **"</f>
        <v xml:space="preserve">  **</v>
      </c>
      <c r="D199" s="76" t="str">
        <f>IF(Master[[#This Row],[Accession Name Category (Identifier 3) -Lookup Picker]]="","",Master[[#This Row],[Accession Name Category (Identifier 3) -Lookup Picker]])</f>
        <v/>
      </c>
      <c r="E199" s="76" t="str">
        <f>IF(Master[[#This Row],[Accession Name (Identifier 3)]]="","",Master[[#This Row],[Accession Name (Identifier 3)]])</f>
        <v/>
      </c>
      <c r="F199" s="45" t="str">
        <f>IF(Master[[#This Row],[Accession Name Cooperator (Identifier 3) -name, organization]]="","",Master[[#This Row],[Accession Name Cooperator (Identifier 3) -name, organization]])</f>
        <v/>
      </c>
      <c r="G199" s="141" t="str">
        <f t="shared" si="3"/>
        <v>Y</v>
      </c>
    </row>
    <row r="200" spans="2:7" x14ac:dyDescent="0.25">
      <c r="B200" s="141" t="str">
        <f>Master[[#This Row],[Accession Prefix (NPGS)]]&amp;" "&amp;Master[[#This Row],[Accession Number -Assigned]]</f>
        <v xml:space="preserve"> </v>
      </c>
      <c r="C200" s="141" t="str">
        <f>Master[[#This Row],[Accession Prefix (NPGS)]]&amp;" "&amp;Master[[#This Row],[Accession Number -Assigned]]&amp;" **"</f>
        <v xml:space="preserve">  **</v>
      </c>
      <c r="D200" s="76" t="str">
        <f>IF(Master[[#This Row],[Accession Name Category (Identifier 3) -Lookup Picker]]="","",Master[[#This Row],[Accession Name Category (Identifier 3) -Lookup Picker]])</f>
        <v/>
      </c>
      <c r="E200" s="76" t="str">
        <f>IF(Master[[#This Row],[Accession Name (Identifier 3)]]="","",Master[[#This Row],[Accession Name (Identifier 3)]])</f>
        <v/>
      </c>
      <c r="F200" s="45" t="str">
        <f>IF(Master[[#This Row],[Accession Name Cooperator (Identifier 3) -name, organization]]="","",Master[[#This Row],[Accession Name Cooperator (Identifier 3) -name, organization]])</f>
        <v/>
      </c>
      <c r="G200" s="141" t="str">
        <f t="shared" si="3"/>
        <v>Y</v>
      </c>
    </row>
    <row r="201" spans="2:7" x14ac:dyDescent="0.25">
      <c r="B201" s="141" t="str">
        <f>Master[[#This Row],[Accession Prefix (NPGS)]]&amp;" "&amp;Master[[#This Row],[Accession Number -Assigned]]</f>
        <v xml:space="preserve"> </v>
      </c>
      <c r="C201" s="141" t="str">
        <f>Master[[#This Row],[Accession Prefix (NPGS)]]&amp;" "&amp;Master[[#This Row],[Accession Number -Assigned]]&amp;" **"</f>
        <v xml:space="preserve">  **</v>
      </c>
      <c r="D201" s="76" t="str">
        <f>IF(Master[[#This Row],[Accession Name Category (Identifier 3) -Lookup Picker]]="","",Master[[#This Row],[Accession Name Category (Identifier 3) -Lookup Picker]])</f>
        <v/>
      </c>
      <c r="E201" s="76" t="str">
        <f>IF(Master[[#This Row],[Accession Name (Identifier 3)]]="","",Master[[#This Row],[Accession Name (Identifier 3)]])</f>
        <v/>
      </c>
      <c r="F201" s="45" t="str">
        <f>IF(Master[[#This Row],[Accession Name Cooperator (Identifier 3) -name, organization]]="","",Master[[#This Row],[Accession Name Cooperator (Identifier 3) -name, organization]])</f>
        <v/>
      </c>
      <c r="G201" s="141" t="str">
        <f t="shared" si="3"/>
        <v>Y</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3">
    <tabColor theme="0" tint="-0.249977111117893"/>
  </sheetPr>
  <dimension ref="A1:O201"/>
  <sheetViews>
    <sheetView workbookViewId="0">
      <selection activeCell="A2" sqref="A2"/>
    </sheetView>
  </sheetViews>
  <sheetFormatPr defaultRowHeight="15" x14ac:dyDescent="0.25"/>
  <cols>
    <col min="1" max="4" width="16.28515625" style="7"/>
    <col min="5" max="5" width="46.7109375" style="7" bestFit="1" customWidth="1"/>
    <col min="6" max="6" width="11.5703125" style="7" customWidth="1"/>
    <col min="7" max="7" width="13.28515625" style="7" customWidth="1"/>
    <col min="8" max="8" width="96.5703125" style="7" bestFit="1" customWidth="1"/>
    <col min="9" max="9" width="16.28515625" style="7"/>
    <col min="10" max="10" width="11.7109375" bestFit="1" customWidth="1"/>
    <col min="11" max="11" width="13.85546875" bestFit="1" customWidth="1"/>
    <col min="12" max="12" width="23.5703125" bestFit="1" customWidth="1"/>
    <col min="13" max="13" width="13.85546875" bestFit="1" customWidth="1"/>
    <col min="14" max="14" width="23.5703125" bestFit="1" customWidth="1"/>
    <col min="15" max="15" width="13.85546875" bestFit="1" customWidth="1"/>
    <col min="16" max="16" width="23.5703125" bestFit="1" customWidth="1"/>
  </cols>
  <sheetData>
    <row r="1" spans="1:15" s="119" customFormat="1" ht="45" x14ac:dyDescent="0.25">
      <c r="A1" s="116" t="s">
        <v>75</v>
      </c>
      <c r="B1" s="116" t="s">
        <v>10</v>
      </c>
      <c r="C1" s="118" t="s">
        <v>31</v>
      </c>
      <c r="D1" s="116" t="s">
        <v>76</v>
      </c>
      <c r="E1" s="118" t="s">
        <v>77</v>
      </c>
      <c r="F1" s="116" t="s">
        <v>78</v>
      </c>
      <c r="G1" s="116" t="s">
        <v>44</v>
      </c>
      <c r="H1" s="116" t="s">
        <v>79</v>
      </c>
      <c r="I1" s="116" t="s">
        <v>9</v>
      </c>
    </row>
    <row r="2" spans="1:15" ht="15.75" x14ac:dyDescent="0.2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(1)]]="","",Master[[#This Row],[Voucher Location (1)]])</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3"/>
      <c r="M2" s="3"/>
      <c r="O2" s="3"/>
    </row>
    <row r="3" spans="1:15" x14ac:dyDescent="0.2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ACC_NUM</v>
      </c>
      <c r="E3" s="17" t="str">
        <f>IF(Master[[#This Row],[Voucher Location (1)]]="","",Master[[#This Row],[Voucher Location (1)]])</f>
        <v>LOC1</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3"/>
      <c r="M3" s="3"/>
      <c r="O3" s="3"/>
    </row>
    <row r="4" spans="1:15" x14ac:dyDescent="0.25">
      <c r="B4" s="7" t="str">
        <f>Master[[#This Row],[Accession Prefix (NPGS)]]&amp;" "&amp;Master[[#This Row],[Accession Number -Assigned]]</f>
        <v>W6 59590</v>
      </c>
      <c r="C4" s="7" t="str">
        <f>Master[[#This Row],[Accession Prefix (NPGS)]]&amp;" "&amp;Master[[#This Row],[Accession Number -Assigned]]&amp;" "&amp;Master[[#This Row],[Inventory Suffix]]&amp;" "&amp;Master[[#This Row],[Inventory Type - Lookup Picker]]</f>
        <v>W6 59590  SD</v>
      </c>
      <c r="D4" s="7" t="str">
        <f>IF(Master[[#This Row],[Collector Voucher Number]]="","",Master[[#This Row],[Collector Voucher Number]])</f>
        <v>CO932-397</v>
      </c>
      <c r="E4" s="17" t="str">
        <f>IF(Master[[#This Row],[Voucher Location (1)]]="","",Master[[#This Row],[Voucher Location (1)]])</f>
        <v>Smithsonian (US)</v>
      </c>
      <c r="F4" s="7" t="str">
        <f t="shared" si="0"/>
        <v>mm/dd/yyyy</v>
      </c>
      <c r="G4" s="2">
        <f>IF(Master[[#This Row],[Voucher Date]]="","",Master[[#This Row],[Voucher Date]])</f>
        <v>43992</v>
      </c>
      <c r="H4" s="17" t="str">
        <f>IF(Master[[#This Row],[Voucher Collector -name, organization]]="","",Master[[#This Row],[Voucher Collector -name, organization]])</f>
        <v>M. Gardner, E. Varone DBG:In Field:10 JUN 2020</v>
      </c>
      <c r="I4" s="7" t="str">
        <f>IF(Master[[#This Row],[Note (Voucher)]]="","",Master[[#This Row],[Note (Voucher)]])</f>
        <v/>
      </c>
      <c r="K4" s="3"/>
      <c r="M4" s="3"/>
      <c r="O4" s="3"/>
    </row>
    <row r="5" spans="1:15" x14ac:dyDescent="0.25">
      <c r="B5" s="7" t="str">
        <f>Master[[#This Row],[Accession Prefix (NPGS)]]&amp;" "&amp;Master[[#This Row],[Accession Number -Assigned]]</f>
        <v>W6 59591</v>
      </c>
      <c r="C5" s="7" t="str">
        <f>Master[[#This Row],[Accession Prefix (NPGS)]]&amp;" "&amp;Master[[#This Row],[Accession Number -Assigned]]&amp;" "&amp;Master[[#This Row],[Inventory Suffix]]&amp;" "&amp;Master[[#This Row],[Inventory Type - Lookup Picker]]</f>
        <v>W6 59591  SD</v>
      </c>
      <c r="D5" s="7" t="str">
        <f>IF(Master[[#This Row],[Collector Voucher Number]]="","",Master[[#This Row],[Collector Voucher Number]])</f>
        <v>CO932-398</v>
      </c>
      <c r="E5" s="17" t="str">
        <f>IF(Master[[#This Row],[Voucher Location (1)]]="","",Master[[#This Row],[Voucher Location (1)]])</f>
        <v>Smithsonian (US)</v>
      </c>
      <c r="F5" s="7" t="str">
        <f t="shared" si="0"/>
        <v>mm/dd/yyyy</v>
      </c>
      <c r="G5" s="2">
        <f>IF(Master[[#This Row],[Voucher Date]]="","",Master[[#This Row],[Voucher Date]])</f>
        <v>43992</v>
      </c>
      <c r="H5" s="17" t="str">
        <f>IF(Master[[#This Row],[Voucher Collector -name, organization]]="","",Master[[#This Row],[Voucher Collector -name, organization]])</f>
        <v>M. Gardner, E. Varone DBG:In Field:10 JUN 2020</v>
      </c>
      <c r="I5" s="7" t="str">
        <f>IF(Master[[#This Row],[Note (Voucher)]]="","",Master[[#This Row],[Note (Voucher)]])</f>
        <v/>
      </c>
    </row>
    <row r="6" spans="1:15" x14ac:dyDescent="0.25">
      <c r="B6" s="7" t="str">
        <f>Master[[#This Row],[Accession Prefix (NPGS)]]&amp;" "&amp;Master[[#This Row],[Accession Number -Assigned]]</f>
        <v>W6 59592</v>
      </c>
      <c r="C6" s="7" t="str">
        <f>Master[[#This Row],[Accession Prefix (NPGS)]]&amp;" "&amp;Master[[#This Row],[Accession Number -Assigned]]&amp;" "&amp;Master[[#This Row],[Inventory Suffix]]&amp;" "&amp;Master[[#This Row],[Inventory Type - Lookup Picker]]</f>
        <v>W6 59592  SD</v>
      </c>
      <c r="D6" s="7" t="str">
        <f>IF(Master[[#This Row],[Collector Voucher Number]]="","",Master[[#This Row],[Collector Voucher Number]])</f>
        <v>CO932-399</v>
      </c>
      <c r="E6" s="17" t="str">
        <f>IF(Master[[#This Row],[Voucher Location (1)]]="","",Master[[#This Row],[Voucher Location (1)]])</f>
        <v>Smithsonian (US)</v>
      </c>
      <c r="F6" s="7" t="str">
        <f t="shared" si="0"/>
        <v>mm/dd/yyyy</v>
      </c>
      <c r="G6" s="2">
        <f>IF(Master[[#This Row],[Voucher Date]]="","",Master[[#This Row],[Voucher Date]])</f>
        <v>44021</v>
      </c>
      <c r="H6" s="17" t="str">
        <f>IF(Master[[#This Row],[Voucher Collector -name, organization]]="","",Master[[#This Row],[Voucher Collector -name, organization]])</f>
        <v>Gardner, M., Varone, E.:In Field:09 JUL 2020</v>
      </c>
      <c r="I6" s="7" t="str">
        <f>IF(Master[[#This Row],[Note (Voucher)]]="","",Master[[#This Row],[Note (Voucher)]])</f>
        <v/>
      </c>
    </row>
    <row r="7" spans="1:15" x14ac:dyDescent="0.25">
      <c r="B7" s="7" t="str">
        <f>Master[[#This Row],[Accession Prefix (NPGS)]]&amp;" "&amp;Master[[#This Row],[Accession Number -Assigned]]</f>
        <v>W6 59593</v>
      </c>
      <c r="C7" s="7" t="str">
        <f>Master[[#This Row],[Accession Prefix (NPGS)]]&amp;" "&amp;Master[[#This Row],[Accession Number -Assigned]]&amp;" "&amp;Master[[#This Row],[Inventory Suffix]]&amp;" "&amp;Master[[#This Row],[Inventory Type - Lookup Picker]]</f>
        <v>W6 59593  SD</v>
      </c>
      <c r="D7" s="7" t="str">
        <f>IF(Master[[#This Row],[Collector Voucher Number]]="","",Master[[#This Row],[Collector Voucher Number]])</f>
        <v>CO932-401</v>
      </c>
      <c r="E7" s="17" t="str">
        <f>IF(Master[[#This Row],[Voucher Location (1)]]="","",Master[[#This Row],[Voucher Location (1)]])</f>
        <v>Smithsonian (US)</v>
      </c>
      <c r="F7" s="7" t="str">
        <f t="shared" si="0"/>
        <v>mm/dd/yyyy</v>
      </c>
      <c r="G7" s="2">
        <f>IF(Master[[#This Row],[Voucher Date]]="","",Master[[#This Row],[Voucher Date]])</f>
        <v>43992</v>
      </c>
      <c r="H7" s="17" t="str">
        <f>IF(Master[[#This Row],[Voucher Collector -name, organization]]="","",Master[[#This Row],[Voucher Collector -name, organization]])</f>
        <v>Gardner, M., Varone, E.:In Field:10 JUN 2020</v>
      </c>
      <c r="I7" s="7" t="str">
        <f>IF(Master[[#This Row],[Note (Voucher)]]="","",Master[[#This Row],[Note (Voucher)]])</f>
        <v/>
      </c>
    </row>
    <row r="8" spans="1:15" x14ac:dyDescent="0.25">
      <c r="B8" s="7" t="str">
        <f>Master[[#This Row],[Accession Prefix (NPGS)]]&amp;" "&amp;Master[[#This Row],[Accession Number -Assigned]]</f>
        <v>W6 59594</v>
      </c>
      <c r="C8" s="7" t="str">
        <f>Master[[#This Row],[Accession Prefix (NPGS)]]&amp;" "&amp;Master[[#This Row],[Accession Number -Assigned]]&amp;" "&amp;Master[[#This Row],[Inventory Suffix]]&amp;" "&amp;Master[[#This Row],[Inventory Type - Lookup Picker]]</f>
        <v>W6 59594  SD</v>
      </c>
      <c r="D8" s="7" t="str">
        <f>IF(Master[[#This Row],[Collector Voucher Number]]="","",Master[[#This Row],[Collector Voucher Number]])</f>
        <v>CO932-402</v>
      </c>
      <c r="E8" s="17" t="str">
        <f>IF(Master[[#This Row],[Voucher Location (1)]]="","",Master[[#This Row],[Voucher Location (1)]])</f>
        <v>Smithsonian (US)</v>
      </c>
      <c r="F8" s="7" t="str">
        <f t="shared" si="0"/>
        <v>mm/dd/yyyy</v>
      </c>
      <c r="G8" s="2">
        <f>IF(Master[[#This Row],[Voucher Date]]="","",Master[[#This Row],[Voucher Date]])</f>
        <v>44034</v>
      </c>
      <c r="H8" s="17" t="str">
        <f>IF(Master[[#This Row],[Voucher Collector -name, organization]]="","",Master[[#This Row],[Voucher Collector -name, organization]])</f>
        <v>M. Gardner, E. Varone DBG:In Field:22 JUL 2020</v>
      </c>
      <c r="I8" s="7" t="str">
        <f>IF(Master[[#This Row],[Note (Voucher)]]="","",Master[[#This Row],[Note (Voucher)]])</f>
        <v/>
      </c>
    </row>
    <row r="9" spans="1:15" x14ac:dyDescent="0.25">
      <c r="B9" s="7" t="str">
        <f>Master[[#This Row],[Accession Prefix (NPGS)]]&amp;" "&amp;Master[[#This Row],[Accession Number -Assigned]]</f>
        <v>W6 59595</v>
      </c>
      <c r="C9" s="7" t="str">
        <f>Master[[#This Row],[Accession Prefix (NPGS)]]&amp;" "&amp;Master[[#This Row],[Accession Number -Assigned]]&amp;" "&amp;Master[[#This Row],[Inventory Suffix]]&amp;" "&amp;Master[[#This Row],[Inventory Type - Lookup Picker]]</f>
        <v>W6 59595  SD</v>
      </c>
      <c r="D9" s="7" t="str">
        <f>IF(Master[[#This Row],[Collector Voucher Number]]="","",Master[[#This Row],[Collector Voucher Number]])</f>
        <v>CO932-403</v>
      </c>
      <c r="E9" s="17" t="str">
        <f>IF(Master[[#This Row],[Voucher Location (1)]]="","",Master[[#This Row],[Voucher Location (1)]])</f>
        <v>Smithsonian (US)</v>
      </c>
      <c r="F9" s="7" t="str">
        <f t="shared" si="0"/>
        <v>mm/dd/yyyy</v>
      </c>
      <c r="G9" s="2">
        <f>IF(Master[[#This Row],[Voucher Date]]="","",Master[[#This Row],[Voucher Date]])</f>
        <v>44028</v>
      </c>
      <c r="H9" s="17" t="str">
        <f>IF(Master[[#This Row],[Voucher Collector -name, organization]]="","",Master[[#This Row],[Voucher Collector -name, organization]])</f>
        <v>M. Gardner, E. Varone DBG:In Field:16 JUL 2020</v>
      </c>
      <c r="I9" s="7" t="str">
        <f>IF(Master[[#This Row],[Note (Voucher)]]="","",Master[[#This Row],[Note (Voucher)]])</f>
        <v/>
      </c>
    </row>
    <row r="10" spans="1:15" x14ac:dyDescent="0.25">
      <c r="B10" s="7" t="str">
        <f>Master[[#This Row],[Accession Prefix (NPGS)]]&amp;" "&amp;Master[[#This Row],[Accession Number -Assigned]]</f>
        <v>W6 59596</v>
      </c>
      <c r="C10" s="7" t="str">
        <f>Master[[#This Row],[Accession Prefix (NPGS)]]&amp;" "&amp;Master[[#This Row],[Accession Number -Assigned]]&amp;" "&amp;Master[[#This Row],[Inventory Suffix]]&amp;" "&amp;Master[[#This Row],[Inventory Type - Lookup Picker]]</f>
        <v>W6 59596  SD</v>
      </c>
      <c r="D10" s="7" t="str">
        <f>IF(Master[[#This Row],[Collector Voucher Number]]="","",Master[[#This Row],[Collector Voucher Number]])</f>
        <v>CO932-404</v>
      </c>
      <c r="E10" s="17" t="str">
        <f>IF(Master[[#This Row],[Voucher Location (1)]]="","",Master[[#This Row],[Voucher Location (1)]])</f>
        <v>Smithsonian (US)</v>
      </c>
      <c r="F10" s="7" t="str">
        <f t="shared" si="0"/>
        <v>mm/dd/yyyy</v>
      </c>
      <c r="G10" s="2">
        <f>IF(Master[[#This Row],[Voucher Date]]="","",Master[[#This Row],[Voucher Date]])</f>
        <v>44021</v>
      </c>
      <c r="H10" s="17" t="str">
        <f>IF(Master[[#This Row],[Voucher Collector -name, organization]]="","",Master[[#This Row],[Voucher Collector -name, organization]])</f>
        <v>M. Gardner, E. Varone DBG:In Field:09 JUL 2020</v>
      </c>
      <c r="I10" s="7" t="str">
        <f>IF(Master[[#This Row],[Note (Voucher)]]="","",Master[[#This Row],[Note (Voucher)]])</f>
        <v/>
      </c>
    </row>
    <row r="11" spans="1:15" x14ac:dyDescent="0.25">
      <c r="B11" s="7" t="str">
        <f>Master[[#This Row],[Accession Prefix (NPGS)]]&amp;" "&amp;Master[[#This Row],[Accession Number -Assigned]]</f>
        <v>W6 59597</v>
      </c>
      <c r="C11" s="7" t="str">
        <f>Master[[#This Row],[Accession Prefix (NPGS)]]&amp;" "&amp;Master[[#This Row],[Accession Number -Assigned]]&amp;" "&amp;Master[[#This Row],[Inventory Suffix]]&amp;" "&amp;Master[[#This Row],[Inventory Type - Lookup Picker]]</f>
        <v>W6 59597  SD</v>
      </c>
      <c r="D11" s="7" t="str">
        <f>IF(Master[[#This Row],[Collector Voucher Number]]="","",Master[[#This Row],[Collector Voucher Number]])</f>
        <v>CO932-405</v>
      </c>
      <c r="E11" s="17" t="str">
        <f>IF(Master[[#This Row],[Voucher Location (1)]]="","",Master[[#This Row],[Voucher Location (1)]])</f>
        <v>Smithsonian (US)</v>
      </c>
      <c r="F11" s="7" t="str">
        <f t="shared" si="0"/>
        <v>mm/dd/yyyy</v>
      </c>
      <c r="G11" s="2">
        <f>IF(Master[[#This Row],[Voucher Date]]="","",Master[[#This Row],[Voucher Date]])</f>
        <v>44020</v>
      </c>
      <c r="H11" s="17" t="str">
        <f>IF(Master[[#This Row],[Voucher Collector -name, organization]]="","",Master[[#This Row],[Voucher Collector -name, organization]])</f>
        <v>M. Gardner, E. Varone DBG:In Field:08 JUL 2020</v>
      </c>
      <c r="I11" s="7" t="str">
        <f>IF(Master[[#This Row],[Note (Voucher)]]="","",Master[[#This Row],[Note (Voucher)]])</f>
        <v/>
      </c>
    </row>
    <row r="12" spans="1:15" x14ac:dyDescent="0.25">
      <c r="B12" s="7" t="str">
        <f>Master[[#This Row],[Accession Prefix (NPGS)]]&amp;" "&amp;Master[[#This Row],[Accession Number -Assigned]]</f>
        <v>W6 59598</v>
      </c>
      <c r="C12" s="7" t="str">
        <f>Master[[#This Row],[Accession Prefix (NPGS)]]&amp;" "&amp;Master[[#This Row],[Accession Number -Assigned]]&amp;" "&amp;Master[[#This Row],[Inventory Suffix]]&amp;" "&amp;Master[[#This Row],[Inventory Type - Lookup Picker]]</f>
        <v>W6 59598  SD</v>
      </c>
      <c r="D12" s="7" t="str">
        <f>IF(Master[[#This Row],[Collector Voucher Number]]="","",Master[[#This Row],[Collector Voucher Number]])</f>
        <v>CO932-406</v>
      </c>
      <c r="E12" s="17" t="str">
        <f>IF(Master[[#This Row],[Voucher Location (1)]]="","",Master[[#This Row],[Voucher Location (1)]])</f>
        <v>Smithsonian (US)</v>
      </c>
      <c r="F12" s="7" t="str">
        <f t="shared" si="0"/>
        <v>mm/dd/yyyy</v>
      </c>
      <c r="G12" s="2">
        <f>IF(Master[[#This Row],[Voucher Date]]="","",Master[[#This Row],[Voucher Date]])</f>
        <v>44041</v>
      </c>
      <c r="H12" s="17" t="str">
        <f>IF(Master[[#This Row],[Voucher Collector -name, organization]]="","",Master[[#This Row],[Voucher Collector -name, organization]])</f>
        <v>Gardner, M., Varone, E.:In Field:29 JUL 2020</v>
      </c>
      <c r="I12" s="7" t="str">
        <f>IF(Master[[#This Row],[Note (Voucher)]]="","",Master[[#This Row],[Note (Voucher)]])</f>
        <v/>
      </c>
    </row>
    <row r="13" spans="1:15" x14ac:dyDescent="0.25">
      <c r="B13" s="7" t="str">
        <f>Master[[#This Row],[Accession Prefix (NPGS)]]&amp;" "&amp;Master[[#This Row],[Accession Number -Assigned]]</f>
        <v>W6 59599</v>
      </c>
      <c r="C13" s="7" t="str">
        <f>Master[[#This Row],[Accession Prefix (NPGS)]]&amp;" "&amp;Master[[#This Row],[Accession Number -Assigned]]&amp;" "&amp;Master[[#This Row],[Inventory Suffix]]&amp;" "&amp;Master[[#This Row],[Inventory Type - Lookup Picker]]</f>
        <v>W6 59599  SD</v>
      </c>
      <c r="D13" s="7" t="str">
        <f>IF(Master[[#This Row],[Collector Voucher Number]]="","",Master[[#This Row],[Collector Voucher Number]])</f>
        <v>CO932-407</v>
      </c>
      <c r="E13" s="17" t="str">
        <f>IF(Master[[#This Row],[Voucher Location (1)]]="","",Master[[#This Row],[Voucher Location (1)]])</f>
        <v>Smithsonian (US)</v>
      </c>
      <c r="F13" s="7" t="str">
        <f t="shared" si="0"/>
        <v>mm/dd/yyyy</v>
      </c>
      <c r="G13" s="2">
        <f>IF(Master[[#This Row],[Voucher Date]]="","",Master[[#This Row],[Voucher Date]])</f>
        <v>44040</v>
      </c>
      <c r="H13" s="17" t="str">
        <f>IF(Master[[#This Row],[Voucher Collector -name, organization]]="","",Master[[#This Row],[Voucher Collector -name, organization]])</f>
        <v>Gardner, M., Varone, E.:In Field:28 JUL 2020</v>
      </c>
      <c r="I13" s="7" t="str">
        <f>IF(Master[[#This Row],[Note (Voucher)]]="","",Master[[#This Row],[Note (Voucher)]])</f>
        <v/>
      </c>
    </row>
    <row r="14" spans="1:15" x14ac:dyDescent="0.25">
      <c r="B14" s="7" t="str">
        <f>Master[[#This Row],[Accession Prefix (NPGS)]]&amp;" "&amp;Master[[#This Row],[Accession Number -Assigned]]</f>
        <v>W6 59600</v>
      </c>
      <c r="C14" s="7" t="str">
        <f>Master[[#This Row],[Accession Prefix (NPGS)]]&amp;" "&amp;Master[[#This Row],[Accession Number -Assigned]]&amp;" "&amp;Master[[#This Row],[Inventory Suffix]]&amp;" "&amp;Master[[#This Row],[Inventory Type - Lookup Picker]]</f>
        <v>W6 59600  SD</v>
      </c>
      <c r="D14" s="7" t="str">
        <f>IF(Master[[#This Row],[Collector Voucher Number]]="","",Master[[#This Row],[Collector Voucher Number]])</f>
        <v>CO932-408</v>
      </c>
      <c r="E14" s="17" t="str">
        <f>IF(Master[[#This Row],[Voucher Location (1)]]="","",Master[[#This Row],[Voucher Location (1)]])</f>
        <v>Smithsonian (US)</v>
      </c>
      <c r="F14" s="7" t="str">
        <f t="shared" si="0"/>
        <v>mm/dd/yyyy</v>
      </c>
      <c r="G14" s="2">
        <f>IF(Master[[#This Row],[Voucher Date]]="","",Master[[#This Row],[Voucher Date]])</f>
        <v>44028</v>
      </c>
      <c r="H14" s="17" t="str">
        <f>IF(Master[[#This Row],[Voucher Collector -name, organization]]="","",Master[[#This Row],[Voucher Collector -name, organization]])</f>
        <v>Gardner, M., Varone, E.:In Field:16 JUL 2020</v>
      </c>
      <c r="I14" s="7" t="str">
        <f>IF(Master[[#This Row],[Note (Voucher)]]="","",Master[[#This Row],[Note (Voucher)]])</f>
        <v/>
      </c>
    </row>
    <row r="15" spans="1:15" x14ac:dyDescent="0.25">
      <c r="B15" s="7" t="str">
        <f>Master[[#This Row],[Accession Prefix (NPGS)]]&amp;" "&amp;Master[[#This Row],[Accession Number -Assigned]]</f>
        <v>W6 59601</v>
      </c>
      <c r="C15" s="7" t="str">
        <f>Master[[#This Row],[Accession Prefix (NPGS)]]&amp;" "&amp;Master[[#This Row],[Accession Number -Assigned]]&amp;" "&amp;Master[[#This Row],[Inventory Suffix]]&amp;" "&amp;Master[[#This Row],[Inventory Type - Lookup Picker]]</f>
        <v>W6 59601  SD</v>
      </c>
      <c r="D15" s="7" t="str">
        <f>IF(Master[[#This Row],[Collector Voucher Number]]="","",Master[[#This Row],[Collector Voucher Number]])</f>
        <v>CO932-409</v>
      </c>
      <c r="E15" s="17" t="str">
        <f>IF(Master[[#This Row],[Voucher Location (1)]]="","",Master[[#This Row],[Voucher Location (1)]])</f>
        <v>Smithsonian (US)</v>
      </c>
      <c r="F15" s="7" t="str">
        <f t="shared" si="0"/>
        <v>mm/dd/yyyy</v>
      </c>
      <c r="G15" s="2">
        <f>IF(Master[[#This Row],[Voucher Date]]="","",Master[[#This Row],[Voucher Date]])</f>
        <v>44046</v>
      </c>
      <c r="H15" s="17" t="str">
        <f>IF(Master[[#This Row],[Voucher Collector -name, organization]]="","",Master[[#This Row],[Voucher Collector -name, organization]])</f>
        <v>M. Gardner, E. Varone DBG:In Field:03 AUG 2020</v>
      </c>
      <c r="I15" s="7" t="str">
        <f>IF(Master[[#This Row],[Note (Voucher)]]="","",Master[[#This Row],[Note (Voucher)]])</f>
        <v/>
      </c>
    </row>
    <row r="16" spans="1:15" x14ac:dyDescent="0.25">
      <c r="B16" s="7" t="str">
        <f>Master[[#This Row],[Accession Prefix (NPGS)]]&amp;" "&amp;Master[[#This Row],[Accession Number -Assigned]]</f>
        <v>W6 59602</v>
      </c>
      <c r="C16" s="7" t="str">
        <f>Master[[#This Row],[Accession Prefix (NPGS)]]&amp;" "&amp;Master[[#This Row],[Accession Number -Assigned]]&amp;" "&amp;Master[[#This Row],[Inventory Suffix]]&amp;" "&amp;Master[[#This Row],[Inventory Type - Lookup Picker]]</f>
        <v>W6 59602  SD</v>
      </c>
      <c r="D16" s="7" t="str">
        <f>IF(Master[[#This Row],[Collector Voucher Number]]="","",Master[[#This Row],[Collector Voucher Number]])</f>
        <v>CO932-410</v>
      </c>
      <c r="E16" s="17" t="str">
        <f>IF(Master[[#This Row],[Voucher Location (1)]]="","",Master[[#This Row],[Voucher Location (1)]])</f>
        <v>Smithsonian (US)</v>
      </c>
      <c r="F16" s="7" t="str">
        <f t="shared" si="0"/>
        <v>mm/dd/yyyy</v>
      </c>
      <c r="G16" s="2">
        <f>IF(Master[[#This Row],[Voucher Date]]="","",Master[[#This Row],[Voucher Date]])</f>
        <v>44077</v>
      </c>
      <c r="H16" s="17" t="str">
        <f>IF(Master[[#This Row],[Voucher Collector -name, organization]]="","",Master[[#This Row],[Voucher Collector -name, organization]])</f>
        <v>M. Gardner, E. Varone DBG:In Field:03 SEP 2020</v>
      </c>
      <c r="I16" s="7" t="str">
        <f>IF(Master[[#This Row],[Note (Voucher)]]="","",Master[[#This Row],[Note (Voucher)]])</f>
        <v/>
      </c>
    </row>
    <row r="17" spans="2:9" x14ac:dyDescent="0.25">
      <c r="B17" s="7" t="str">
        <f>Master[[#This Row],[Accession Prefix (NPGS)]]&amp;" "&amp;Master[[#This Row],[Accession Number -Assigned]]</f>
        <v>W6 59603</v>
      </c>
      <c r="C17" s="7" t="str">
        <f>Master[[#This Row],[Accession Prefix (NPGS)]]&amp;" "&amp;Master[[#This Row],[Accession Number -Assigned]]&amp;" "&amp;Master[[#This Row],[Inventory Suffix]]&amp;" "&amp;Master[[#This Row],[Inventory Type - Lookup Picker]]</f>
        <v>W6 59603  SD</v>
      </c>
      <c r="D17" s="7" t="str">
        <f>IF(Master[[#This Row],[Collector Voucher Number]]="","",Master[[#This Row],[Collector Voucher Number]])</f>
        <v>CO932-411</v>
      </c>
      <c r="E17" s="17" t="str">
        <f>IF(Master[[#This Row],[Voucher Location (1)]]="","",Master[[#This Row],[Voucher Location (1)]])</f>
        <v>Smithsonian (US)</v>
      </c>
      <c r="F17" s="7" t="str">
        <f t="shared" si="0"/>
        <v>mm/dd/yyyy</v>
      </c>
      <c r="G17" s="2">
        <f>IF(Master[[#This Row],[Voucher Date]]="","",Master[[#This Row],[Voucher Date]])</f>
        <v>44076</v>
      </c>
      <c r="H17" s="17" t="str">
        <f>IF(Master[[#This Row],[Voucher Collector -name, organization]]="","",Master[[#This Row],[Voucher Collector -name, organization]])</f>
        <v>Gardner, M., Varone, E.:In Field:02 SEP 2020</v>
      </c>
      <c r="I17" s="7" t="str">
        <f>IF(Master[[#This Row],[Note (Voucher)]]="","",Master[[#This Row],[Note (Voucher)]])</f>
        <v/>
      </c>
    </row>
    <row r="18" spans="2:9" x14ac:dyDescent="0.25">
      <c r="B18" s="7" t="str">
        <f>Master[[#This Row],[Accession Prefix (NPGS)]]&amp;" "&amp;Master[[#This Row],[Accession Number -Assigned]]</f>
        <v>W6 59604</v>
      </c>
      <c r="C18" s="7" t="str">
        <f>Master[[#This Row],[Accession Prefix (NPGS)]]&amp;" "&amp;Master[[#This Row],[Accession Number -Assigned]]&amp;" "&amp;Master[[#This Row],[Inventory Suffix]]&amp;" "&amp;Master[[#This Row],[Inventory Type - Lookup Picker]]</f>
        <v>W6 59604  SD</v>
      </c>
      <c r="D18" s="7" t="str">
        <f>IF(Master[[#This Row],[Collector Voucher Number]]="","",Master[[#This Row],[Collector Voucher Number]])</f>
        <v>CO932-412</v>
      </c>
      <c r="E18" s="17" t="str">
        <f>IF(Master[[#This Row],[Voucher Location (1)]]="","",Master[[#This Row],[Voucher Location (1)]])</f>
        <v>Smithsonian (US)</v>
      </c>
      <c r="F18" s="7" t="str">
        <f t="shared" si="0"/>
        <v>mm/dd/yyyy</v>
      </c>
      <c r="G18" s="2">
        <f>IF(Master[[#This Row],[Voucher Date]]="","",Master[[#This Row],[Voucher Date]])</f>
        <v>44077</v>
      </c>
      <c r="H18" s="17" t="str">
        <f>IF(Master[[#This Row],[Voucher Collector -name, organization]]="","",Master[[#This Row],[Voucher Collector -name, organization]])</f>
        <v>Gardner, M., Varone, E.:In Field:27 AUG 2020</v>
      </c>
      <c r="I18" s="7" t="str">
        <f>IF(Master[[#This Row],[Note (Voucher)]]="","",Master[[#This Row],[Note (Voucher)]])</f>
        <v/>
      </c>
    </row>
    <row r="19" spans="2:9" x14ac:dyDescent="0.25">
      <c r="B19" s="7" t="str">
        <f>Master[[#This Row],[Accession Prefix (NPGS)]]&amp;" "&amp;Master[[#This Row],[Accession Number -Assigned]]</f>
        <v>W6 59605</v>
      </c>
      <c r="C19" s="7" t="str">
        <f>Master[[#This Row],[Accession Prefix (NPGS)]]&amp;" "&amp;Master[[#This Row],[Accession Number -Assigned]]&amp;" "&amp;Master[[#This Row],[Inventory Suffix]]&amp;" "&amp;Master[[#This Row],[Inventory Type - Lookup Picker]]</f>
        <v>W6 59605  SD</v>
      </c>
      <c r="D19" s="7" t="str">
        <f>IF(Master[[#This Row],[Collector Voucher Number]]="","",Master[[#This Row],[Collector Voucher Number]])</f>
        <v>CO932-413</v>
      </c>
      <c r="E19" s="17" t="str">
        <f>IF(Master[[#This Row],[Voucher Location (1)]]="","",Master[[#This Row],[Voucher Location (1)]])</f>
        <v>Smithsonian (US)</v>
      </c>
      <c r="F19" s="7" t="str">
        <f t="shared" si="0"/>
        <v>mm/dd/yyyy</v>
      </c>
      <c r="G19" s="2">
        <f>IF(Master[[#This Row],[Voucher Date]]="","",Master[[#This Row],[Voucher Date]])</f>
        <v>44084</v>
      </c>
      <c r="H19" s="17" t="str">
        <f>IF(Master[[#This Row],[Voucher Collector -name, organization]]="","",Master[[#This Row],[Voucher Collector -name, organization]])</f>
        <v>Gardner, M., Varone, E.:In Field:02 SEP 2020</v>
      </c>
      <c r="I19" s="7" t="str">
        <f>IF(Master[[#This Row],[Note (Voucher)]]="","",Master[[#This Row],[Note (Voucher)]])</f>
        <v/>
      </c>
    </row>
    <row r="20" spans="2:9" x14ac:dyDescent="0.25">
      <c r="B20" s="7" t="str">
        <f>Master[[#This Row],[Accession Prefix (NPGS)]]&amp;" "&amp;Master[[#This Row],[Accession Number -Assigned]]</f>
        <v>W6 59606</v>
      </c>
      <c r="C20" s="7" t="str">
        <f>Master[[#This Row],[Accession Prefix (NPGS)]]&amp;" "&amp;Master[[#This Row],[Accession Number -Assigned]]&amp;" "&amp;Master[[#This Row],[Inventory Suffix]]&amp;" "&amp;Master[[#This Row],[Inventory Type - Lookup Picker]]</f>
        <v>W6 59606  SD</v>
      </c>
      <c r="D20" s="7" t="str">
        <f>IF(Master[[#This Row],[Collector Voucher Number]]="","",Master[[#This Row],[Collector Voucher Number]])</f>
        <v>CO932-414</v>
      </c>
      <c r="E20" s="17" t="str">
        <f>IF(Master[[#This Row],[Voucher Location (1)]]="","",Master[[#This Row],[Voucher Location (1)]])</f>
        <v>Smithsonian (US)</v>
      </c>
      <c r="F20" s="7" t="str">
        <f t="shared" si="0"/>
        <v>mm/dd/yyyy</v>
      </c>
      <c r="G20" s="2">
        <f>IF(Master[[#This Row],[Voucher Date]]="","",Master[[#This Row],[Voucher Date]])</f>
        <v>44056</v>
      </c>
      <c r="H20" s="17" t="str">
        <f>IF(Master[[#This Row],[Voucher Collector -name, organization]]="","",Master[[#This Row],[Voucher Collector -name, organization]])</f>
        <v>Gardner, M., Varone, E.:In Field:29 JUL 2020</v>
      </c>
      <c r="I20" s="7" t="str">
        <f>IF(Master[[#This Row],[Note (Voucher)]]="","",Master[[#This Row],[Note (Voucher)]])</f>
        <v/>
      </c>
    </row>
    <row r="21" spans="2:9" x14ac:dyDescent="0.25">
      <c r="B21" s="7" t="str">
        <f>Master[[#This Row],[Accession Prefix (NPGS)]]&amp;" "&amp;Master[[#This Row],[Accession Number -Assigned]]</f>
        <v>W6 59607</v>
      </c>
      <c r="C21" s="7" t="str">
        <f>Master[[#This Row],[Accession Prefix (NPGS)]]&amp;" "&amp;Master[[#This Row],[Accession Number -Assigned]]&amp;" "&amp;Master[[#This Row],[Inventory Suffix]]&amp;" "&amp;Master[[#This Row],[Inventory Type - Lookup Picker]]</f>
        <v>W6 59607  SD</v>
      </c>
      <c r="D21" s="7" t="str">
        <f>IF(Master[[#This Row],[Collector Voucher Number]]="","",Master[[#This Row],[Collector Voucher Number]])</f>
        <v>CO932-415</v>
      </c>
      <c r="E21" s="17" t="str">
        <f>IF(Master[[#This Row],[Voucher Location (1)]]="","",Master[[#This Row],[Voucher Location (1)]])</f>
        <v>Smithsonian (US)</v>
      </c>
      <c r="F21" s="7" t="str">
        <f t="shared" si="0"/>
        <v>mm/dd/yyyy</v>
      </c>
      <c r="G21" s="2">
        <f>IF(Master[[#This Row],[Voucher Date]]="","",Master[[#This Row],[Voucher Date]])</f>
        <v>44069</v>
      </c>
      <c r="H21" s="17" t="str">
        <f>IF(Master[[#This Row],[Voucher Collector -name, organization]]="","",Master[[#This Row],[Voucher Collector -name, organization]])</f>
        <v>M. Gardner, E. Varone DBG:In Field:26 AUG 2020</v>
      </c>
      <c r="I21" s="7" t="str">
        <f>IF(Master[[#This Row],[Note (Voucher)]]="","",Master[[#This Row],[Note (Voucher)]])</f>
        <v/>
      </c>
    </row>
    <row r="22" spans="2:9" x14ac:dyDescent="0.25">
      <c r="B22" s="7" t="str">
        <f>Master[[#This Row],[Accession Prefix (NPGS)]]&amp;" "&amp;Master[[#This Row],[Accession Number -Assigned]]</f>
        <v>W6 59608</v>
      </c>
      <c r="C22" s="7" t="str">
        <f>Master[[#This Row],[Accession Prefix (NPGS)]]&amp;" "&amp;Master[[#This Row],[Accession Number -Assigned]]&amp;" "&amp;Master[[#This Row],[Inventory Suffix]]&amp;" "&amp;Master[[#This Row],[Inventory Type - Lookup Picker]]</f>
        <v>W6 59608  SD</v>
      </c>
      <c r="D22" s="7" t="str">
        <f>IF(Master[[#This Row],[Collector Voucher Number]]="","",Master[[#This Row],[Collector Voucher Number]])</f>
        <v>CO932-416</v>
      </c>
      <c r="E22" s="76" t="str">
        <f>IF(Master[[#This Row],[Voucher Location (1)]]="","",Master[[#This Row],[Voucher Location (1)]])</f>
        <v>Smithsonian (US)</v>
      </c>
      <c r="F22" s="7" t="str">
        <f t="shared" ref="F22:F53" si="1">"mm/dd/yyyy"</f>
        <v>mm/dd/yyyy</v>
      </c>
      <c r="G22" s="2">
        <f>IF(Master[[#This Row],[Voucher Date]]="","",Master[[#This Row],[Voucher Date]])</f>
        <v>44033</v>
      </c>
      <c r="H22" s="17" t="str">
        <f>IF(Master[[#This Row],[Voucher Collector -name, organization]]="","",Master[[#This Row],[Voucher Collector -name, organization]])</f>
        <v>M. Gardner, E. Varone DBG:In Field:21 JUL 2020</v>
      </c>
      <c r="I22" s="7" t="str">
        <f>IF(Master[[#This Row],[Note (Voucher)]]="","",Master[[#This Row],[Note (Voucher)]])</f>
        <v/>
      </c>
    </row>
    <row r="23" spans="2:9" x14ac:dyDescent="0.25">
      <c r="B23" s="7" t="str">
        <f>Master[[#This Row],[Accession Prefix (NPGS)]]&amp;" "&amp;Master[[#This Row],[Accession Number -Assigned]]</f>
        <v>W6 59609</v>
      </c>
      <c r="C23" s="7" t="str">
        <f>Master[[#This Row],[Accession Prefix (NPGS)]]&amp;" "&amp;Master[[#This Row],[Accession Number -Assigned]]&amp;" "&amp;Master[[#This Row],[Inventory Suffix]]&amp;" "&amp;Master[[#This Row],[Inventory Type - Lookup Picker]]</f>
        <v>W6 59609  SD</v>
      </c>
      <c r="D23" s="7" t="str">
        <f>IF(Master[[#This Row],[Collector Voucher Number]]="","",Master[[#This Row],[Collector Voucher Number]])</f>
        <v>CO932-417</v>
      </c>
      <c r="E23" s="76" t="str">
        <f>IF(Master[[#This Row],[Voucher Location (1)]]="","",Master[[#This Row],[Voucher Location (1)]])</f>
        <v>Smithsonian (US)</v>
      </c>
      <c r="F23" s="7" t="str">
        <f t="shared" si="1"/>
        <v>mm/dd/yyyy</v>
      </c>
      <c r="G23" s="2">
        <f>IF(Master[[#This Row],[Voucher Date]]="","",Master[[#This Row],[Voucher Date]])</f>
        <v>44055</v>
      </c>
      <c r="H23" s="17" t="str">
        <f>IF(Master[[#This Row],[Voucher Collector -name, organization]]="","",Master[[#This Row],[Voucher Collector -name, organization]])</f>
        <v>M. Gardner, E. Varone DBG:In Field:12 AUG 2020</v>
      </c>
      <c r="I23" s="7" t="str">
        <f>IF(Master[[#This Row],[Note (Voucher)]]="","",Master[[#This Row],[Note (Voucher)]])</f>
        <v/>
      </c>
    </row>
    <row r="24" spans="2:9" x14ac:dyDescent="0.25">
      <c r="B24" s="7" t="str">
        <f>Master[[#This Row],[Accession Prefix (NPGS)]]&amp;" "&amp;Master[[#This Row],[Accession Number -Assigned]]</f>
        <v>W6 59610</v>
      </c>
      <c r="C24" s="7" t="str">
        <f>Master[[#This Row],[Accession Prefix (NPGS)]]&amp;" "&amp;Master[[#This Row],[Accession Number -Assigned]]&amp;" "&amp;Master[[#This Row],[Inventory Suffix]]&amp;" "&amp;Master[[#This Row],[Inventory Type - Lookup Picker]]</f>
        <v>W6 59610  SD</v>
      </c>
      <c r="D24" s="7" t="str">
        <f>IF(Master[[#This Row],[Collector Voucher Number]]="","",Master[[#This Row],[Collector Voucher Number]])</f>
        <v>CO932-419</v>
      </c>
      <c r="E24" s="76" t="str">
        <f>IF(Master[[#This Row],[Voucher Location (1)]]="","",Master[[#This Row],[Voucher Location (1)]])</f>
        <v>Smithsonian (US)</v>
      </c>
      <c r="F24" s="7" t="str">
        <f t="shared" si="1"/>
        <v>mm/dd/yyyy</v>
      </c>
      <c r="G24" s="2">
        <f>IF(Master[[#This Row],[Voucher Date]]="","",Master[[#This Row],[Voucher Date]])</f>
        <v>44091</v>
      </c>
      <c r="H24" s="17" t="str">
        <f>IF(Master[[#This Row],[Voucher Collector -name, organization]]="","",Master[[#This Row],[Voucher Collector -name, organization]])</f>
        <v>Gardner, M., Varone, E.:In Field:17 SEP 2020</v>
      </c>
      <c r="I24" s="7" t="str">
        <f>IF(Master[[#This Row],[Note (Voucher)]]="","",Master[[#This Row],[Note (Voucher)]])</f>
        <v/>
      </c>
    </row>
    <row r="25" spans="2:9" x14ac:dyDescent="0.25">
      <c r="B25" s="7" t="str">
        <f>Master[[#This Row],[Accession Prefix (NPGS)]]&amp;" "&amp;Master[[#This Row],[Accession Number -Assigned]]</f>
        <v>W6 59611</v>
      </c>
      <c r="C25" s="7" t="str">
        <f>Master[[#This Row],[Accession Prefix (NPGS)]]&amp;" "&amp;Master[[#This Row],[Accession Number -Assigned]]&amp;" "&amp;Master[[#This Row],[Inventory Suffix]]&amp;" "&amp;Master[[#This Row],[Inventory Type - Lookup Picker]]</f>
        <v>W6 59611  SD</v>
      </c>
      <c r="D25" s="7" t="str">
        <f>IF(Master[[#This Row],[Collector Voucher Number]]="","",Master[[#This Row],[Collector Voucher Number]])</f>
        <v>CO932-423</v>
      </c>
      <c r="E25" s="76" t="str">
        <f>IF(Master[[#This Row],[Voucher Location (1)]]="","",Master[[#This Row],[Voucher Location (1)]])</f>
        <v>Smithsonian (US)</v>
      </c>
      <c r="F25" s="7" t="str">
        <f t="shared" si="1"/>
        <v>mm/dd/yyyy</v>
      </c>
      <c r="G25" s="2">
        <f>IF(Master[[#This Row],[Voucher Date]]="","",Master[[#This Row],[Voucher Date]])</f>
        <v>44055</v>
      </c>
      <c r="H25" s="17" t="str">
        <f>IF(Master[[#This Row],[Voucher Collector -name, organization]]="","",Master[[#This Row],[Voucher Collector -name, organization]])</f>
        <v>M. Gardner, E. Varone DBG:In Field:12 AUG 2020</v>
      </c>
      <c r="I25" s="7" t="str">
        <f>IF(Master[[#This Row],[Note (Voucher)]]="","",Master[[#This Row],[Note (Voucher)]])</f>
        <v/>
      </c>
    </row>
    <row r="26" spans="2:9" x14ac:dyDescent="0.25">
      <c r="B26" s="7" t="str">
        <f>Master[[#This Row],[Accession Prefix (NPGS)]]&amp;" "&amp;Master[[#This Row],[Accession Number -Assigned]]</f>
        <v>W6 59612</v>
      </c>
      <c r="C26" s="7" t="str">
        <f>Master[[#This Row],[Accession Prefix (NPGS)]]&amp;" "&amp;Master[[#This Row],[Accession Number -Assigned]]&amp;" "&amp;Master[[#This Row],[Inventory Suffix]]&amp;" "&amp;Master[[#This Row],[Inventory Type - Lookup Picker]]</f>
        <v>W6 59612  SD</v>
      </c>
      <c r="D26" s="7" t="str">
        <f>IF(Master[[#This Row],[Collector Voucher Number]]="","",Master[[#This Row],[Collector Voucher Number]])</f>
        <v>CO932-424</v>
      </c>
      <c r="E26" s="76" t="str">
        <f>IF(Master[[#This Row],[Voucher Location (1)]]="","",Master[[#This Row],[Voucher Location (1)]])</f>
        <v>Smithsonian (US)</v>
      </c>
      <c r="F26" s="7" t="str">
        <f t="shared" si="1"/>
        <v>mm/dd/yyyy</v>
      </c>
      <c r="G26" s="2">
        <f>IF(Master[[#This Row],[Voucher Date]]="","",Master[[#This Row],[Voucher Date]])</f>
        <v>44060</v>
      </c>
      <c r="H26" s="17" t="str">
        <f>IF(Master[[#This Row],[Voucher Collector -name, organization]]="","",Master[[#This Row],[Voucher Collector -name, organization]])</f>
        <v>M. Gardner, E. Varone DBG:In Field:17 AUG 2020</v>
      </c>
      <c r="I26" s="7" t="str">
        <f>IF(Master[[#This Row],[Note (Voucher)]]="","",Master[[#This Row],[Note (Voucher)]])</f>
        <v/>
      </c>
    </row>
    <row r="27" spans="2:9" x14ac:dyDescent="0.25">
      <c r="B27" s="7" t="str">
        <f>Master[[#This Row],[Accession Prefix (NPGS)]]&amp;" "&amp;Master[[#This Row],[Accession Number -Assigned]]</f>
        <v>W6 59613</v>
      </c>
      <c r="C27" s="7" t="str">
        <f>Master[[#This Row],[Accession Prefix (NPGS)]]&amp;" "&amp;Master[[#This Row],[Accession Number -Assigned]]&amp;" "&amp;Master[[#This Row],[Inventory Suffix]]&amp;" "&amp;Master[[#This Row],[Inventory Type - Lookup Picker]]</f>
        <v>W6 59613  SD</v>
      </c>
      <c r="D27" s="7" t="str">
        <f>IF(Master[[#This Row],[Collector Voucher Number]]="","",Master[[#This Row],[Collector Voucher Number]])</f>
        <v>CO932-425</v>
      </c>
      <c r="E27" s="76" t="str">
        <f>IF(Master[[#This Row],[Voucher Location (1)]]="","",Master[[#This Row],[Voucher Location (1)]])</f>
        <v>Smithsonian (US)</v>
      </c>
      <c r="F27" s="7" t="str">
        <f t="shared" si="1"/>
        <v>mm/dd/yyyy</v>
      </c>
      <c r="G27" s="2">
        <f>IF(Master[[#This Row],[Voucher Date]]="","",Master[[#This Row],[Voucher Date]])</f>
        <v>44068</v>
      </c>
      <c r="H27" s="17" t="str">
        <f>IF(Master[[#This Row],[Voucher Collector -name, organization]]="","",Master[[#This Row],[Voucher Collector -name, organization]])</f>
        <v>Gardner, M., Varone, E.:In Field:25 AUG 2020</v>
      </c>
      <c r="I27" s="7" t="str">
        <f>IF(Master[[#This Row],[Note (Voucher)]]="","",Master[[#This Row],[Note (Voucher)]])</f>
        <v/>
      </c>
    </row>
    <row r="28" spans="2:9" x14ac:dyDescent="0.25">
      <c r="B28" s="7" t="str">
        <f>Master[[#This Row],[Accession Prefix (NPGS)]]&amp;" "&amp;Master[[#This Row],[Accession Number -Assigned]]</f>
        <v>W6 59614</v>
      </c>
      <c r="C28" s="7" t="str">
        <f>Master[[#This Row],[Accession Prefix (NPGS)]]&amp;" "&amp;Master[[#This Row],[Accession Number -Assigned]]&amp;" "&amp;Master[[#This Row],[Inventory Suffix]]&amp;" "&amp;Master[[#This Row],[Inventory Type - Lookup Picker]]</f>
        <v>W6 59614  SD</v>
      </c>
      <c r="D28" s="7" t="str">
        <f>IF(Master[[#This Row],[Collector Voucher Number]]="","",Master[[#This Row],[Collector Voucher Number]])</f>
        <v>CO932-426</v>
      </c>
      <c r="E28" s="76" t="str">
        <f>IF(Master[[#This Row],[Voucher Location (1)]]="","",Master[[#This Row],[Voucher Location (1)]])</f>
        <v>Smithsonian (US)</v>
      </c>
      <c r="F28" s="7" t="str">
        <f t="shared" si="1"/>
        <v>mm/dd/yyyy</v>
      </c>
      <c r="G28" s="2">
        <f>IF(Master[[#This Row],[Voucher Date]]="","",Master[[#This Row],[Voucher Date]])</f>
        <v>44068</v>
      </c>
      <c r="H28" s="17" t="str">
        <f>IF(Master[[#This Row],[Voucher Collector -name, organization]]="","",Master[[#This Row],[Voucher Collector -name, organization]])</f>
        <v>M. Gardner, E. Varone DBG:In Field:25 AUG 2020</v>
      </c>
      <c r="I28" s="7" t="str">
        <f>IF(Master[[#This Row],[Note (Voucher)]]="","",Master[[#This Row],[Note (Voucher)]])</f>
        <v/>
      </c>
    </row>
    <row r="29" spans="2:9" x14ac:dyDescent="0.25">
      <c r="B29" s="7" t="str">
        <f>Master[[#This Row],[Accession Prefix (NPGS)]]&amp;" "&amp;Master[[#This Row],[Accession Number -Assigned]]</f>
        <v>W6 59615</v>
      </c>
      <c r="C29" s="7" t="str">
        <f>Master[[#This Row],[Accession Prefix (NPGS)]]&amp;" "&amp;Master[[#This Row],[Accession Number -Assigned]]&amp;" "&amp;Master[[#This Row],[Inventory Suffix]]&amp;" "&amp;Master[[#This Row],[Inventory Type - Lookup Picker]]</f>
        <v>W6 59615  SD</v>
      </c>
      <c r="D29" s="7" t="str">
        <f>IF(Master[[#This Row],[Collector Voucher Number]]="","",Master[[#This Row],[Collector Voucher Number]])</f>
        <v>CO932-427</v>
      </c>
      <c r="E29" s="76" t="str">
        <f>IF(Master[[#This Row],[Voucher Location (1)]]="","",Master[[#This Row],[Voucher Location (1)]])</f>
        <v>Smithsonian (US)</v>
      </c>
      <c r="F29" s="7" t="str">
        <f t="shared" si="1"/>
        <v>mm/dd/yyyy</v>
      </c>
      <c r="G29" s="2">
        <f>IF(Master[[#This Row],[Voucher Date]]="","",Master[[#This Row],[Voucher Date]])</f>
        <v>44112</v>
      </c>
      <c r="H29" s="17" t="str">
        <f>IF(Master[[#This Row],[Voucher Collector -name, organization]]="","",Master[[#This Row],[Voucher Collector -name, organization]])</f>
        <v>M. Gardner, E. Varone DBG:In Field:08 OCT 2020</v>
      </c>
      <c r="I29" s="7" t="str">
        <f>IF(Master[[#This Row],[Note (Voucher)]]="","",Master[[#This Row],[Note (Voucher)]])</f>
        <v/>
      </c>
    </row>
    <row r="30" spans="2:9" x14ac:dyDescent="0.25">
      <c r="B30" s="7" t="str">
        <f>Master[[#This Row],[Accession Prefix (NPGS)]]&amp;" "&amp;Master[[#This Row],[Accession Number -Assigned]]</f>
        <v>W6 59616</v>
      </c>
      <c r="C30" s="7" t="str">
        <f>Master[[#This Row],[Accession Prefix (NPGS)]]&amp;" "&amp;Master[[#This Row],[Accession Number -Assigned]]&amp;" "&amp;Master[[#This Row],[Inventory Suffix]]&amp;" "&amp;Master[[#This Row],[Inventory Type - Lookup Picker]]</f>
        <v>W6 59616  SD</v>
      </c>
      <c r="D30" s="7" t="str">
        <f>IF(Master[[#This Row],[Collector Voucher Number]]="","",Master[[#This Row],[Collector Voucher Number]])</f>
        <v>CO932-428</v>
      </c>
      <c r="E30" s="76" t="str">
        <f>IF(Master[[#This Row],[Voucher Location (1)]]="","",Master[[#This Row],[Voucher Location (1)]])</f>
        <v>Smithsonian (US)</v>
      </c>
      <c r="F30" s="7" t="str">
        <f t="shared" si="1"/>
        <v>mm/dd/yyyy</v>
      </c>
      <c r="G30" s="2">
        <f>IF(Master[[#This Row],[Voucher Date]]="","",Master[[#This Row],[Voucher Date]])</f>
        <v>44083</v>
      </c>
      <c r="H30" s="17" t="str">
        <f>IF(Master[[#This Row],[Voucher Collector -name, organization]]="","",Master[[#This Row],[Voucher Collector -name, organization]])</f>
        <v>M. Gardner, E. Varone DBG:In Field:09 SEP 2020</v>
      </c>
      <c r="I30" s="7" t="str">
        <f>IF(Master[[#This Row],[Note (Voucher)]]="","",Master[[#This Row],[Note (Voucher)]])</f>
        <v/>
      </c>
    </row>
    <row r="31" spans="2:9" x14ac:dyDescent="0.25">
      <c r="B31" s="7" t="str">
        <f>Master[[#This Row],[Accession Prefix (NPGS)]]&amp;" "&amp;Master[[#This Row],[Accession Number -Assigned]]</f>
        <v>W6 59617</v>
      </c>
      <c r="C31" s="7" t="str">
        <f>Master[[#This Row],[Accession Prefix (NPGS)]]&amp;" "&amp;Master[[#This Row],[Accession Number -Assigned]]&amp;" "&amp;Master[[#This Row],[Inventory Suffix]]&amp;" "&amp;Master[[#This Row],[Inventory Type - Lookup Picker]]</f>
        <v>W6 59617  SD</v>
      </c>
      <c r="D31" s="7" t="str">
        <f>IF(Master[[#This Row],[Collector Voucher Number]]="","",Master[[#This Row],[Collector Voucher Number]])</f>
        <v>NV030-1506</v>
      </c>
      <c r="E31" s="76" t="str">
        <f>IF(Master[[#This Row],[Voucher Location (1)]]="","",Master[[#This Row],[Voucher Location (1)]])</f>
        <v/>
      </c>
      <c r="F31" s="7" t="str">
        <f t="shared" si="1"/>
        <v>mm/dd/yyyy</v>
      </c>
      <c r="G31" s="2" t="str">
        <f>IF(Master[[#This Row],[Voucher Date]]="","",Master[[#This Row],[Voucher Date]])</f>
        <v/>
      </c>
      <c r="H31" s="17" t="str">
        <f>IF(Master[[#This Row],[Voucher Collector -name, organization]]="","",Master[[#This Row],[Voucher Collector -name, organization]])</f>
        <v>D. Tonenna - BLM:From pressed specimen on day of collection:25 AUG 2020</v>
      </c>
      <c r="I31" s="7" t="str">
        <f>IF(Master[[#This Row],[Note (Voucher)]]="","",Master[[#This Row],[Note (Voucher)]])</f>
        <v/>
      </c>
    </row>
    <row r="32" spans="2:9" x14ac:dyDescent="0.25">
      <c r="B32" s="7" t="str">
        <f>Master[[#This Row],[Accession Prefix (NPGS)]]&amp;" "&amp;Master[[#This Row],[Accession Number -Assigned]]</f>
        <v>W6 59618</v>
      </c>
      <c r="C32" s="7" t="str">
        <f>Master[[#This Row],[Accession Prefix (NPGS)]]&amp;" "&amp;Master[[#This Row],[Accession Number -Assigned]]&amp;" "&amp;Master[[#This Row],[Inventory Suffix]]&amp;" "&amp;Master[[#This Row],[Inventory Type - Lookup Picker]]</f>
        <v>W6 59618  SD</v>
      </c>
      <c r="D32" s="7" t="str">
        <f>IF(Master[[#This Row],[Collector Voucher Number]]="","",Master[[#This Row],[Collector Voucher Number]])</f>
        <v>NV030-1507</v>
      </c>
      <c r="E32" s="76" t="str">
        <f>IF(Master[[#This Row],[Voucher Location (1)]]="","",Master[[#This Row],[Voucher Location (1)]])</f>
        <v/>
      </c>
      <c r="F32" s="7" t="str">
        <f t="shared" si="1"/>
        <v>mm/dd/yyyy</v>
      </c>
      <c r="G32" s="2" t="str">
        <f>IF(Master[[#This Row],[Voucher Date]]="","",Master[[#This Row],[Voucher Date]])</f>
        <v/>
      </c>
      <c r="H32" s="17" t="str">
        <f>IF(Master[[#This Row],[Voucher Collector -name, organization]]="","",Master[[#This Row],[Voucher Collector -name, organization]])</f>
        <v>D. Tonenna -- BLM:From pressed specimen on day of collection:02 SEP 2020</v>
      </c>
      <c r="I32" s="7" t="str">
        <f>IF(Master[[#This Row],[Note (Voucher)]]="","",Master[[#This Row],[Note (Voucher)]])</f>
        <v/>
      </c>
    </row>
    <row r="33" spans="2:9" x14ac:dyDescent="0.25">
      <c r="B33" s="7" t="str">
        <f>Master[[#This Row],[Accession Prefix (NPGS)]]&amp;" "&amp;Master[[#This Row],[Accession Number -Assigned]]</f>
        <v>W6 59619</v>
      </c>
      <c r="C33" s="7" t="str">
        <f>Master[[#This Row],[Accession Prefix (NPGS)]]&amp;" "&amp;Master[[#This Row],[Accession Number -Assigned]]&amp;" "&amp;Master[[#This Row],[Inventory Suffix]]&amp;" "&amp;Master[[#This Row],[Inventory Type - Lookup Picker]]</f>
        <v>W6 59619  SD</v>
      </c>
      <c r="D33" s="7" t="str">
        <f>IF(Master[[#This Row],[Collector Voucher Number]]="","",Master[[#This Row],[Collector Voucher Number]])</f>
        <v>NV030-1508</v>
      </c>
      <c r="E33" s="76" t="str">
        <f>IF(Master[[#This Row],[Voucher Location (1)]]="","",Master[[#This Row],[Voucher Location (1)]])</f>
        <v/>
      </c>
      <c r="F33" s="7" t="str">
        <f t="shared" si="1"/>
        <v>mm/dd/yyyy</v>
      </c>
      <c r="G33" s="2" t="str">
        <f>IF(Master[[#This Row],[Voucher Date]]="","",Master[[#This Row],[Voucher Date]])</f>
        <v/>
      </c>
      <c r="H33" s="17" t="str">
        <f>IF(Master[[#This Row],[Voucher Collector -name, organization]]="","",Master[[#This Row],[Voucher Collector -name, organization]])</f>
        <v>D. Tonenna - BLM:In Field:10 AUG 2020</v>
      </c>
      <c r="I33" s="7" t="str">
        <f>IF(Master[[#This Row],[Note (Voucher)]]="","",Master[[#This Row],[Note (Voucher)]])</f>
        <v/>
      </c>
    </row>
    <row r="34" spans="2:9" x14ac:dyDescent="0.25">
      <c r="B34" s="7" t="str">
        <f>Master[[#This Row],[Accession Prefix (NPGS)]]&amp;" "&amp;Master[[#This Row],[Accession Number -Assigned]]</f>
        <v>W6 59620</v>
      </c>
      <c r="C34" s="7" t="str">
        <f>Master[[#This Row],[Accession Prefix (NPGS)]]&amp;" "&amp;Master[[#This Row],[Accession Number -Assigned]]&amp;" "&amp;Master[[#This Row],[Inventory Suffix]]&amp;" "&amp;Master[[#This Row],[Inventory Type - Lookup Picker]]</f>
        <v>W6 59620  SD</v>
      </c>
      <c r="D34" s="7" t="str">
        <f>IF(Master[[#This Row],[Collector Voucher Number]]="","",Master[[#This Row],[Collector Voucher Number]])</f>
        <v>NV030-1509</v>
      </c>
      <c r="E34" s="76" t="str">
        <f>IF(Master[[#This Row],[Voucher Location (1)]]="","",Master[[#This Row],[Voucher Location (1)]])</f>
        <v/>
      </c>
      <c r="F34" s="7" t="str">
        <f t="shared" si="1"/>
        <v>mm/dd/yyyy</v>
      </c>
      <c r="G34" s="2" t="str">
        <f>IF(Master[[#This Row],[Voucher Date]]="","",Master[[#This Row],[Voucher Date]])</f>
        <v/>
      </c>
      <c r="H34" s="17" t="str">
        <f>IF(Master[[#This Row],[Voucher Collector -name, organization]]="","",Master[[#This Row],[Voucher Collector -name, organization]])</f>
        <v>D. Tonenna - BLM:In Field:10 SEP 2020</v>
      </c>
      <c r="I34" s="7" t="str">
        <f>IF(Master[[#This Row],[Note (Voucher)]]="","",Master[[#This Row],[Note (Voucher)]])</f>
        <v/>
      </c>
    </row>
    <row r="35" spans="2:9" x14ac:dyDescent="0.25">
      <c r="B35" s="7" t="str">
        <f>Master[[#This Row],[Accession Prefix (NPGS)]]&amp;" "&amp;Master[[#This Row],[Accession Number -Assigned]]</f>
        <v>W6 59621</v>
      </c>
      <c r="C35" s="7" t="str">
        <f>Master[[#This Row],[Accession Prefix (NPGS)]]&amp;" "&amp;Master[[#This Row],[Accession Number -Assigned]]&amp;" "&amp;Master[[#This Row],[Inventory Suffix]]&amp;" "&amp;Master[[#This Row],[Inventory Type - Lookup Picker]]</f>
        <v>W6 59621  SD</v>
      </c>
      <c r="D35" s="7" t="str">
        <f>IF(Master[[#This Row],[Collector Voucher Number]]="","",Master[[#This Row],[Collector Voucher Number]])</f>
        <v>NV030-1510</v>
      </c>
      <c r="E35" s="76" t="str">
        <f>IF(Master[[#This Row],[Voucher Location (1)]]="","",Master[[#This Row],[Voucher Location (1)]])</f>
        <v/>
      </c>
      <c r="F35" s="7" t="str">
        <f t="shared" si="1"/>
        <v>mm/dd/yyyy</v>
      </c>
      <c r="G35" s="2" t="str">
        <f>IF(Master[[#This Row],[Voucher Date]]="","",Master[[#This Row],[Voucher Date]])</f>
        <v/>
      </c>
      <c r="H35" s="17" t="str">
        <f>IF(Master[[#This Row],[Voucher Collector -name, organization]]="","",Master[[#This Row],[Voucher Collector -name, organization]])</f>
        <v>D. Tonenna - BLM:In Field:22 SEP 2020</v>
      </c>
      <c r="I35" s="7" t="str">
        <f>IF(Master[[#This Row],[Note (Voucher)]]="","",Master[[#This Row],[Note (Voucher)]])</f>
        <v/>
      </c>
    </row>
    <row r="36" spans="2:9" x14ac:dyDescent="0.25">
      <c r="B36" s="7" t="str">
        <f>Master[[#This Row],[Accession Prefix (NPGS)]]&amp;" "&amp;Master[[#This Row],[Accession Number -Assigned]]</f>
        <v>W6 59622</v>
      </c>
      <c r="C36" s="7" t="str">
        <f>Master[[#This Row],[Accession Prefix (NPGS)]]&amp;" "&amp;Master[[#This Row],[Accession Number -Assigned]]&amp;" "&amp;Master[[#This Row],[Inventory Suffix]]&amp;" "&amp;Master[[#This Row],[Inventory Type - Lookup Picker]]</f>
        <v>W6 59622  SD</v>
      </c>
      <c r="D36" s="7" t="str">
        <f>IF(Master[[#This Row],[Collector Voucher Number]]="","",Master[[#This Row],[Collector Voucher Number]])</f>
        <v>NV030-1511</v>
      </c>
      <c r="E36" s="76" t="str">
        <f>IF(Master[[#This Row],[Voucher Location (1)]]="","",Master[[#This Row],[Voucher Location (1)]])</f>
        <v/>
      </c>
      <c r="F36" s="7" t="str">
        <f t="shared" si="1"/>
        <v>mm/dd/yyyy</v>
      </c>
      <c r="G36" s="2" t="str">
        <f>IF(Master[[#This Row],[Voucher Date]]="","",Master[[#This Row],[Voucher Date]])</f>
        <v/>
      </c>
      <c r="H36" s="17" t="str">
        <f>IF(Master[[#This Row],[Voucher Collector -name, organization]]="","",Master[[#This Row],[Voucher Collector -name, organization]])</f>
        <v>D. Tonenna - BLM:In Field:22 SEP 2020</v>
      </c>
      <c r="I36" s="7" t="str">
        <f>IF(Master[[#This Row],[Note (Voucher)]]="","",Master[[#This Row],[Note (Voucher)]])</f>
        <v/>
      </c>
    </row>
    <row r="37" spans="2:9" x14ac:dyDescent="0.25">
      <c r="B37" s="7" t="str">
        <f>Master[[#This Row],[Accession Prefix (NPGS)]]&amp;" "&amp;Master[[#This Row],[Accession Number -Assigned]]</f>
        <v>W6 59623</v>
      </c>
      <c r="C37" s="7" t="str">
        <f>Master[[#This Row],[Accession Prefix (NPGS)]]&amp;" "&amp;Master[[#This Row],[Accession Number -Assigned]]&amp;" "&amp;Master[[#This Row],[Inventory Suffix]]&amp;" "&amp;Master[[#This Row],[Inventory Type - Lookup Picker]]</f>
        <v>W6 59623  SD</v>
      </c>
      <c r="D37" s="7" t="str">
        <f>IF(Master[[#This Row],[Collector Voucher Number]]="","",Master[[#This Row],[Collector Voucher Number]])</f>
        <v>NV030-1513</v>
      </c>
      <c r="E37" s="76" t="str">
        <f>IF(Master[[#This Row],[Voucher Location (1)]]="","",Master[[#This Row],[Voucher Location (1)]])</f>
        <v/>
      </c>
      <c r="F37" s="7" t="str">
        <f t="shared" si="1"/>
        <v>mm/dd/yyyy</v>
      </c>
      <c r="G37" s="2" t="str">
        <f>IF(Master[[#This Row],[Voucher Date]]="","",Master[[#This Row],[Voucher Date]])</f>
        <v/>
      </c>
      <c r="H37" s="17" t="str">
        <f>IF(Master[[#This Row],[Voucher Collector -name, organization]]="","",Master[[#This Row],[Voucher Collector -name, organization]])</f>
        <v>D. Tonenna - BLM:In Field:01 SEP 2020</v>
      </c>
      <c r="I37" s="7" t="str">
        <f>IF(Master[[#This Row],[Note (Voucher)]]="","",Master[[#This Row],[Note (Voucher)]])</f>
        <v/>
      </c>
    </row>
    <row r="38" spans="2:9" x14ac:dyDescent="0.25">
      <c r="B38" s="7" t="str">
        <f>Master[[#This Row],[Accession Prefix (NPGS)]]&amp;" "&amp;Master[[#This Row],[Accession Number -Assigned]]</f>
        <v>W6 59624</v>
      </c>
      <c r="C38" s="7" t="str">
        <f>Master[[#This Row],[Accession Prefix (NPGS)]]&amp;" "&amp;Master[[#This Row],[Accession Number -Assigned]]&amp;" "&amp;Master[[#This Row],[Inventory Suffix]]&amp;" "&amp;Master[[#This Row],[Inventory Type - Lookup Picker]]</f>
        <v>W6 59624  SD</v>
      </c>
      <c r="D38" s="7" t="str">
        <f>IF(Master[[#This Row],[Collector Voucher Number]]="","",Master[[#This Row],[Collector Voucher Number]])</f>
        <v>NV030-1515</v>
      </c>
      <c r="E38" s="76" t="str">
        <f>IF(Master[[#This Row],[Voucher Location (1)]]="","",Master[[#This Row],[Voucher Location (1)]])</f>
        <v/>
      </c>
      <c r="F38" s="7" t="str">
        <f t="shared" si="1"/>
        <v>mm/dd/yyyy</v>
      </c>
      <c r="G38" s="2" t="str">
        <f>IF(Master[[#This Row],[Voucher Date]]="","",Master[[#This Row],[Voucher Date]])</f>
        <v/>
      </c>
      <c r="H38" s="17" t="str">
        <f>IF(Master[[#This Row],[Voucher Collector -name, organization]]="","",Master[[#This Row],[Voucher Collector -name, organization]])</f>
        <v>D. Tonenna - BLM:In Field:01 SEP 2020</v>
      </c>
      <c r="I38" s="7" t="str">
        <f>IF(Master[[#This Row],[Note (Voucher)]]="","",Master[[#This Row],[Note (Voucher)]])</f>
        <v/>
      </c>
    </row>
    <row r="39" spans="2:9" x14ac:dyDescent="0.25">
      <c r="B39" s="7" t="str">
        <f>Master[[#This Row],[Accession Prefix (NPGS)]]&amp;" "&amp;Master[[#This Row],[Accession Number -Assigned]]</f>
        <v>W6 59625</v>
      </c>
      <c r="C39" s="7" t="str">
        <f>Master[[#This Row],[Accession Prefix (NPGS)]]&amp;" "&amp;Master[[#This Row],[Accession Number -Assigned]]&amp;" "&amp;Master[[#This Row],[Inventory Suffix]]&amp;" "&amp;Master[[#This Row],[Inventory Type - Lookup Picker]]</f>
        <v>W6 59625  SD</v>
      </c>
      <c r="D39" s="7" t="str">
        <f>IF(Master[[#This Row],[Collector Voucher Number]]="","",Master[[#This Row],[Collector Voucher Number]])</f>
        <v>NV030-1517</v>
      </c>
      <c r="E39" s="76" t="str">
        <f>IF(Master[[#This Row],[Voucher Location (1)]]="","",Master[[#This Row],[Voucher Location (1)]])</f>
        <v/>
      </c>
      <c r="F39" s="7" t="str">
        <f t="shared" si="1"/>
        <v>mm/dd/yyyy</v>
      </c>
      <c r="G39" s="2" t="str">
        <f>IF(Master[[#This Row],[Voucher Date]]="","",Master[[#This Row],[Voucher Date]])</f>
        <v/>
      </c>
      <c r="H39" s="17" t="str">
        <f>IF(Master[[#This Row],[Voucher Collector -name, organization]]="","",Master[[#This Row],[Voucher Collector -name, organization]])</f>
        <v>D. Tonenna - BLM:In Field:01 SEP 2020</v>
      </c>
      <c r="I39" s="7" t="str">
        <f>IF(Master[[#This Row],[Note (Voucher)]]="","",Master[[#This Row],[Note (Voucher)]])</f>
        <v/>
      </c>
    </row>
    <row r="40" spans="2:9" x14ac:dyDescent="0.25">
      <c r="B40" s="7" t="str">
        <f>Master[[#This Row],[Accession Prefix (NPGS)]]&amp;" "&amp;Master[[#This Row],[Accession Number -Assigned]]</f>
        <v>W6 59626</v>
      </c>
      <c r="C40" s="7" t="str">
        <f>Master[[#This Row],[Accession Prefix (NPGS)]]&amp;" "&amp;Master[[#This Row],[Accession Number -Assigned]]&amp;" "&amp;Master[[#This Row],[Inventory Suffix]]&amp;" "&amp;Master[[#This Row],[Inventory Type - Lookup Picker]]</f>
        <v>W6 59626  SD</v>
      </c>
      <c r="D40" s="7" t="str">
        <f>IF(Master[[#This Row],[Collector Voucher Number]]="","",Master[[#This Row],[Collector Voucher Number]])</f>
        <v>NV030-1519</v>
      </c>
      <c r="E40" s="76" t="str">
        <f>IF(Master[[#This Row],[Voucher Location (1)]]="","",Master[[#This Row],[Voucher Location (1)]])</f>
        <v/>
      </c>
      <c r="F40" s="7" t="str">
        <f t="shared" si="1"/>
        <v>mm/dd/yyyy</v>
      </c>
      <c r="G40" s="2" t="str">
        <f>IF(Master[[#This Row],[Voucher Date]]="","",Master[[#This Row],[Voucher Date]])</f>
        <v/>
      </c>
      <c r="H40" s="17" t="str">
        <f>IF(Master[[#This Row],[Voucher Collector -name, organization]]="","",Master[[#This Row],[Voucher Collector -name, organization]])</f>
        <v>Dean Tonenna, BLM::10 OCT 2020</v>
      </c>
      <c r="I40" s="7" t="str">
        <f>IF(Master[[#This Row],[Note (Voucher)]]="","",Master[[#This Row],[Note (Voucher)]])</f>
        <v/>
      </c>
    </row>
    <row r="41" spans="2:9" x14ac:dyDescent="0.25">
      <c r="B41" s="7" t="str">
        <f>Master[[#This Row],[Accession Prefix (NPGS)]]&amp;" "&amp;Master[[#This Row],[Accession Number -Assigned]]</f>
        <v>W6 59627</v>
      </c>
      <c r="C41" s="7" t="str">
        <f>Master[[#This Row],[Accession Prefix (NPGS)]]&amp;" "&amp;Master[[#This Row],[Accession Number -Assigned]]&amp;" "&amp;Master[[#This Row],[Inventory Suffix]]&amp;" "&amp;Master[[#This Row],[Inventory Type - Lookup Picker]]</f>
        <v>W6 59627  SD</v>
      </c>
      <c r="D41" s="7" t="str">
        <f>IF(Master[[#This Row],[Collector Voucher Number]]="","",Master[[#This Row],[Collector Voucher Number]])</f>
        <v>NV030-1520</v>
      </c>
      <c r="E41" s="76" t="str">
        <f>IF(Master[[#This Row],[Voucher Location (1)]]="","",Master[[#This Row],[Voucher Location (1)]])</f>
        <v/>
      </c>
      <c r="F41" s="7" t="str">
        <f t="shared" si="1"/>
        <v>mm/dd/yyyy</v>
      </c>
      <c r="G41" s="2" t="str">
        <f>IF(Master[[#This Row],[Voucher Date]]="","",Master[[#This Row],[Voucher Date]])</f>
        <v/>
      </c>
      <c r="H41" s="17" t="str">
        <f>IF(Master[[#This Row],[Voucher Collector -name, organization]]="","",Master[[#This Row],[Voucher Collector -name, organization]])</f>
        <v>Dean Tonenna, BLm :In Field:10 OCT 2020</v>
      </c>
      <c r="I41" s="7" t="str">
        <f>IF(Master[[#This Row],[Note (Voucher)]]="","",Master[[#This Row],[Note (Voucher)]])</f>
        <v/>
      </c>
    </row>
    <row r="42" spans="2:9" x14ac:dyDescent="0.25">
      <c r="B42" s="7" t="str">
        <f>Master[[#This Row],[Accession Prefix (NPGS)]]&amp;" "&amp;Master[[#This Row],[Accession Number -Assigned]]</f>
        <v>W6 59628</v>
      </c>
      <c r="C42" s="7" t="str">
        <f>Master[[#This Row],[Accession Prefix (NPGS)]]&amp;" "&amp;Master[[#This Row],[Accession Number -Assigned]]&amp;" "&amp;Master[[#This Row],[Inventory Suffix]]&amp;" "&amp;Master[[#This Row],[Inventory Type - Lookup Picker]]</f>
        <v>W6 59628  SD</v>
      </c>
      <c r="D42" s="7" t="str">
        <f>IF(Master[[#This Row],[Collector Voucher Number]]="","",Master[[#This Row],[Collector Voucher Number]])</f>
        <v>NV030-1521</v>
      </c>
      <c r="E42" s="76" t="str">
        <f>IF(Master[[#This Row],[Voucher Location (1)]]="","",Master[[#This Row],[Voucher Location (1)]])</f>
        <v/>
      </c>
      <c r="F42" s="7" t="str">
        <f t="shared" si="1"/>
        <v>mm/dd/yyyy</v>
      </c>
      <c r="G42" s="2" t="str">
        <f>IF(Master[[#This Row],[Voucher Date]]="","",Master[[#This Row],[Voucher Date]])</f>
        <v/>
      </c>
      <c r="H42" s="17" t="str">
        <f>IF(Master[[#This Row],[Voucher Collector -name, organization]]="","",Master[[#This Row],[Voucher Collector -name, organization]])</f>
        <v>Dean Tonenna, BLM:In Field:</v>
      </c>
      <c r="I42" s="7" t="str">
        <f>IF(Master[[#This Row],[Note (Voucher)]]="","",Master[[#This Row],[Note (Voucher)]])</f>
        <v/>
      </c>
    </row>
    <row r="43" spans="2:9" x14ac:dyDescent="0.25">
      <c r="B43" s="7" t="str">
        <f>Master[[#This Row],[Accession Prefix (NPGS)]]&amp;" "&amp;Master[[#This Row],[Accession Number -Assigned]]</f>
        <v>W6 59629</v>
      </c>
      <c r="C43" s="7" t="str">
        <f>Master[[#This Row],[Accession Prefix (NPGS)]]&amp;" "&amp;Master[[#This Row],[Accession Number -Assigned]]&amp;" "&amp;Master[[#This Row],[Inventory Suffix]]&amp;" "&amp;Master[[#This Row],[Inventory Type - Lookup Picker]]</f>
        <v>W6 59629  SD</v>
      </c>
      <c r="D43" s="7" t="str">
        <f>IF(Master[[#This Row],[Collector Voucher Number]]="","",Master[[#This Row],[Collector Voucher Number]])</f>
        <v>NV030-1522</v>
      </c>
      <c r="E43" s="76" t="str">
        <f>IF(Master[[#This Row],[Voucher Location (1)]]="","",Master[[#This Row],[Voucher Location (1)]])</f>
        <v/>
      </c>
      <c r="F43" s="7" t="str">
        <f t="shared" si="1"/>
        <v>mm/dd/yyyy</v>
      </c>
      <c r="G43" s="2" t="str">
        <f>IF(Master[[#This Row],[Voucher Date]]="","",Master[[#This Row],[Voucher Date]])</f>
        <v/>
      </c>
      <c r="H43" s="17" t="str">
        <f>IF(Master[[#This Row],[Voucher Collector -name, organization]]="","",Master[[#This Row],[Voucher Collector -name, organization]])</f>
        <v>Dean Tonenna, BLM:In Field:15 OCT 2020</v>
      </c>
      <c r="I43" s="7" t="str">
        <f>IF(Master[[#This Row],[Note (Voucher)]]="","",Master[[#This Row],[Note (Voucher)]])</f>
        <v/>
      </c>
    </row>
    <row r="44" spans="2:9" x14ac:dyDescent="0.25">
      <c r="B44" s="7" t="str">
        <f>Master[[#This Row],[Accession Prefix (NPGS)]]&amp;" "&amp;Master[[#This Row],[Accession Number -Assigned]]</f>
        <v>W6 59630</v>
      </c>
      <c r="C44" s="7" t="str">
        <f>Master[[#This Row],[Accession Prefix (NPGS)]]&amp;" "&amp;Master[[#This Row],[Accession Number -Assigned]]&amp;" "&amp;Master[[#This Row],[Inventory Suffix]]&amp;" "&amp;Master[[#This Row],[Inventory Type - Lookup Picker]]</f>
        <v>W6 59630  SD</v>
      </c>
      <c r="D44" s="7" t="str">
        <f>IF(Master[[#This Row],[Collector Voucher Number]]="","",Master[[#This Row],[Collector Voucher Number]])</f>
        <v>NV030-1523</v>
      </c>
      <c r="E44" s="76" t="str">
        <f>IF(Master[[#This Row],[Voucher Location (1)]]="","",Master[[#This Row],[Voucher Location (1)]])</f>
        <v/>
      </c>
      <c r="F44" s="7" t="str">
        <f t="shared" si="1"/>
        <v>mm/dd/yyyy</v>
      </c>
      <c r="G44" s="2" t="str">
        <f>IF(Master[[#This Row],[Voucher Date]]="","",Master[[#This Row],[Voucher Date]])</f>
        <v/>
      </c>
      <c r="H44" s="17" t="str">
        <f>IF(Master[[#This Row],[Voucher Collector -name, organization]]="","",Master[[#This Row],[Voucher Collector -name, organization]])</f>
        <v>Dean Tonenna, BLM:In Field:10 OCT 2020</v>
      </c>
      <c r="I44" s="7" t="str">
        <f>IF(Master[[#This Row],[Note (Voucher)]]="","",Master[[#This Row],[Note (Voucher)]])</f>
        <v/>
      </c>
    </row>
    <row r="45" spans="2:9" x14ac:dyDescent="0.25">
      <c r="B45" s="7" t="str">
        <f>Master[[#This Row],[Accession Prefix (NPGS)]]&amp;" "&amp;Master[[#This Row],[Accession Number -Assigned]]</f>
        <v>W6 59631</v>
      </c>
      <c r="C45" s="7" t="str">
        <f>Master[[#This Row],[Accession Prefix (NPGS)]]&amp;" "&amp;Master[[#This Row],[Accession Number -Assigned]]&amp;" "&amp;Master[[#This Row],[Inventory Suffix]]&amp;" "&amp;Master[[#This Row],[Inventory Type - Lookup Picker]]</f>
        <v>W6 59631  SD</v>
      </c>
      <c r="D45" s="7" t="str">
        <f>IF(Master[[#This Row],[Collector Voucher Number]]="","",Master[[#This Row],[Collector Voucher Number]])</f>
        <v>NV030-1524</v>
      </c>
      <c r="E45" s="76" t="str">
        <f>IF(Master[[#This Row],[Voucher Location (1)]]="","",Master[[#This Row],[Voucher Location (1)]])</f>
        <v/>
      </c>
      <c r="F45" s="7" t="str">
        <f t="shared" si="1"/>
        <v>mm/dd/yyyy</v>
      </c>
      <c r="G45" s="2" t="str">
        <f>IF(Master[[#This Row],[Voucher Date]]="","",Master[[#This Row],[Voucher Date]])</f>
        <v/>
      </c>
      <c r="H45" s="17" t="str">
        <f>IF(Master[[#This Row],[Voucher Collector -name, organization]]="","",Master[[#This Row],[Voucher Collector -name, organization]])</f>
        <v>Dean Tonenna:From photograph:20 OCT 2020</v>
      </c>
      <c r="I45" s="7" t="str">
        <f>IF(Master[[#This Row],[Note (Voucher)]]="","",Master[[#This Row],[Note (Voucher)]])</f>
        <v/>
      </c>
    </row>
    <row r="46" spans="2:9" x14ac:dyDescent="0.25">
      <c r="B46" s="7" t="str">
        <f>Master[[#This Row],[Accession Prefix (NPGS)]]&amp;" "&amp;Master[[#This Row],[Accession Number -Assigned]]</f>
        <v>W6 59632</v>
      </c>
      <c r="C46" s="7" t="str">
        <f>Master[[#This Row],[Accession Prefix (NPGS)]]&amp;" "&amp;Master[[#This Row],[Accession Number -Assigned]]&amp;" "&amp;Master[[#This Row],[Inventory Suffix]]&amp;" "&amp;Master[[#This Row],[Inventory Type - Lookup Picker]]</f>
        <v>W6 59632  SD</v>
      </c>
      <c r="D46" s="7" t="str">
        <f>IF(Master[[#This Row],[Collector Voucher Number]]="","",Master[[#This Row],[Collector Voucher Number]])</f>
        <v>NV030-1525</v>
      </c>
      <c r="E46" s="76" t="str">
        <f>IF(Master[[#This Row],[Voucher Location (1)]]="","",Master[[#This Row],[Voucher Location (1)]])</f>
        <v>Smithsonian (US)</v>
      </c>
      <c r="F46" s="7" t="str">
        <f t="shared" si="1"/>
        <v>mm/dd/yyyy</v>
      </c>
      <c r="G46" s="2">
        <f>IF(Master[[#This Row],[Voucher Date]]="","",Master[[#This Row],[Voucher Date]])</f>
        <v>44131</v>
      </c>
      <c r="H46" s="17" t="str">
        <f>IF(Master[[#This Row],[Voucher Collector -name, organization]]="","",Master[[#This Row],[Voucher Collector -name, organization]])</f>
        <v>dean tonena, blm:From pressed specimen on another date:29 OCT 2020</v>
      </c>
      <c r="I46" s="7" t="str">
        <f>IF(Master[[#This Row],[Note (Voucher)]]="","",Master[[#This Row],[Note (Voucher)]])</f>
        <v/>
      </c>
    </row>
    <row r="47" spans="2:9" x14ac:dyDescent="0.25">
      <c r="B47" s="7" t="str">
        <f>Master[[#This Row],[Accession Prefix (NPGS)]]&amp;" "&amp;Master[[#This Row],[Accession Number -Assigned]]</f>
        <v>W6 59633</v>
      </c>
      <c r="C47" s="7" t="str">
        <f>Master[[#This Row],[Accession Prefix (NPGS)]]&amp;" "&amp;Master[[#This Row],[Accession Number -Assigned]]&amp;" "&amp;Master[[#This Row],[Inventory Suffix]]&amp;" "&amp;Master[[#This Row],[Inventory Type - Lookup Picker]]</f>
        <v>W6 59633  SD</v>
      </c>
      <c r="D47" s="7" t="str">
        <f>IF(Master[[#This Row],[Collector Voucher Number]]="","",Master[[#This Row],[Collector Voucher Number]])</f>
        <v>NV030-1526</v>
      </c>
      <c r="E47" s="76" t="str">
        <f>IF(Master[[#This Row],[Voucher Location (1)]]="","",Master[[#This Row],[Voucher Location (1)]])</f>
        <v/>
      </c>
      <c r="F47" s="7" t="str">
        <f t="shared" si="1"/>
        <v>mm/dd/yyyy</v>
      </c>
      <c r="G47" s="2" t="str">
        <f>IF(Master[[#This Row],[Voucher Date]]="","",Master[[#This Row],[Voucher Date]])</f>
        <v/>
      </c>
      <c r="H47" s="17" t="str">
        <f>IF(Master[[#This Row],[Voucher Collector -name, organization]]="","",Master[[#This Row],[Voucher Collector -name, organization]])</f>
        <v>Dean Tonenna BLM:In Field:10 NOV 2020</v>
      </c>
      <c r="I47" s="7" t="str">
        <f>IF(Master[[#This Row],[Note (Voucher)]]="","",Master[[#This Row],[Note (Voucher)]])</f>
        <v/>
      </c>
    </row>
    <row r="48" spans="2:9" x14ac:dyDescent="0.25">
      <c r="B48" s="7" t="str">
        <f>Master[[#This Row],[Accession Prefix (NPGS)]]&amp;" "&amp;Master[[#This Row],[Accession Number -Assigned]]</f>
        <v>W6 59634</v>
      </c>
      <c r="C48" s="7" t="str">
        <f>Master[[#This Row],[Accession Prefix (NPGS)]]&amp;" "&amp;Master[[#This Row],[Accession Number -Assigned]]&amp;" "&amp;Master[[#This Row],[Inventory Suffix]]&amp;" "&amp;Master[[#This Row],[Inventory Type - Lookup Picker]]</f>
        <v>W6 59634  SD</v>
      </c>
      <c r="D48" s="7" t="str">
        <f>IF(Master[[#This Row],[Collector Voucher Number]]="","",Master[[#This Row],[Collector Voucher Number]])</f>
        <v>NV030-1527</v>
      </c>
      <c r="E48" s="76" t="str">
        <f>IF(Master[[#This Row],[Voucher Location (1)]]="","",Master[[#This Row],[Voucher Location (1)]])</f>
        <v/>
      </c>
      <c r="F48" s="7" t="str">
        <f t="shared" si="1"/>
        <v>mm/dd/yyyy</v>
      </c>
      <c r="G48" s="2" t="str">
        <f>IF(Master[[#This Row],[Voucher Date]]="","",Master[[#This Row],[Voucher Date]])</f>
        <v/>
      </c>
      <c r="H48" s="17" t="str">
        <f>IF(Master[[#This Row],[Voucher Collector -name, organization]]="","",Master[[#This Row],[Voucher Collector -name, organization]])</f>
        <v>Dean Tonenna BLM:In Field:10 NOV 2020</v>
      </c>
      <c r="I48" s="7" t="str">
        <f>IF(Master[[#This Row],[Note (Voucher)]]="","",Master[[#This Row],[Note (Voucher)]])</f>
        <v/>
      </c>
    </row>
    <row r="49" spans="2:9" x14ac:dyDescent="0.25">
      <c r="B49" s="7" t="str">
        <f>Master[[#This Row],[Accession Prefix (NPGS)]]&amp;" "&amp;Master[[#This Row],[Accession Number -Assigned]]</f>
        <v>W6 59635</v>
      </c>
      <c r="C49" s="7" t="str">
        <f>Master[[#This Row],[Accession Prefix (NPGS)]]&amp;" "&amp;Master[[#This Row],[Accession Number -Assigned]]&amp;" "&amp;Master[[#This Row],[Inventory Suffix]]&amp;" "&amp;Master[[#This Row],[Inventory Type - Lookup Picker]]</f>
        <v>W6 59635  SD</v>
      </c>
      <c r="D49" s="7" t="str">
        <f>IF(Master[[#This Row],[Collector Voucher Number]]="","",Master[[#This Row],[Collector Voucher Number]])</f>
        <v>NV030-1528</v>
      </c>
      <c r="E49" s="76" t="str">
        <f>IF(Master[[#This Row],[Voucher Location (1)]]="","",Master[[#This Row],[Voucher Location (1)]])</f>
        <v/>
      </c>
      <c r="F49" s="7" t="str">
        <f t="shared" si="1"/>
        <v>mm/dd/yyyy</v>
      </c>
      <c r="G49" s="2" t="str">
        <f>IF(Master[[#This Row],[Voucher Date]]="","",Master[[#This Row],[Voucher Date]])</f>
        <v/>
      </c>
      <c r="H49" s="17" t="str">
        <f>IF(Master[[#This Row],[Voucher Collector -name, organization]]="","",Master[[#This Row],[Voucher Collector -name, organization]])</f>
        <v>Dean Tonenna BLM:In Field:01 NOV 2020</v>
      </c>
      <c r="I49" s="7" t="str">
        <f>IF(Master[[#This Row],[Note (Voucher)]]="","",Master[[#This Row],[Note (Voucher)]])</f>
        <v/>
      </c>
    </row>
    <row r="50" spans="2:9" x14ac:dyDescent="0.25">
      <c r="B50" s="7" t="str">
        <f>Master[[#This Row],[Accession Prefix (NPGS)]]&amp;" "&amp;Master[[#This Row],[Accession Number -Assigned]]</f>
        <v>W6 59636</v>
      </c>
      <c r="C50" s="7" t="str">
        <f>Master[[#This Row],[Accession Prefix (NPGS)]]&amp;" "&amp;Master[[#This Row],[Accession Number -Assigned]]&amp;" "&amp;Master[[#This Row],[Inventory Suffix]]&amp;" "&amp;Master[[#This Row],[Inventory Type - Lookup Picker]]</f>
        <v>W6 59636  SD</v>
      </c>
      <c r="D50" s="7" t="str">
        <f>IF(Master[[#This Row],[Collector Voucher Number]]="","",Master[[#This Row],[Collector Voucher Number]])</f>
        <v>NV030-1529</v>
      </c>
      <c r="E50" s="76" t="str">
        <f>IF(Master[[#This Row],[Voucher Location (1)]]="","",Master[[#This Row],[Voucher Location (1)]])</f>
        <v/>
      </c>
      <c r="F50" s="7" t="str">
        <f t="shared" si="1"/>
        <v>mm/dd/yyyy</v>
      </c>
      <c r="G50" s="2" t="str">
        <f>IF(Master[[#This Row],[Voucher Date]]="","",Master[[#This Row],[Voucher Date]])</f>
        <v/>
      </c>
      <c r="H50" s="17" t="str">
        <f>IF(Master[[#This Row],[Voucher Collector -name, organization]]="","",Master[[#This Row],[Voucher Collector -name, organization]])</f>
        <v>Dean Tonenna, BLM:In Field:23 NOV 2020</v>
      </c>
      <c r="I50" s="7" t="str">
        <f>IF(Master[[#This Row],[Note (Voucher)]]="","",Master[[#This Row],[Note (Voucher)]])</f>
        <v/>
      </c>
    </row>
    <row r="51" spans="2:9" x14ac:dyDescent="0.25">
      <c r="B51" s="7" t="str">
        <f>Master[[#This Row],[Accession Prefix (NPGS)]]&amp;" "&amp;Master[[#This Row],[Accession Number -Assigned]]</f>
        <v>W6 59637</v>
      </c>
      <c r="C51" s="7" t="str">
        <f>Master[[#This Row],[Accession Prefix (NPGS)]]&amp;" "&amp;Master[[#This Row],[Accession Number -Assigned]]&amp;" "&amp;Master[[#This Row],[Inventory Suffix]]&amp;" "&amp;Master[[#This Row],[Inventory Type - Lookup Picker]]</f>
        <v>W6 59637  SD</v>
      </c>
      <c r="D51" s="7" t="str">
        <f>IF(Master[[#This Row],[Collector Voucher Number]]="","",Master[[#This Row],[Collector Voucher Number]])</f>
        <v>NV030-1530</v>
      </c>
      <c r="E51" s="76" t="str">
        <f>IF(Master[[#This Row],[Voucher Location (1)]]="","",Master[[#This Row],[Voucher Location (1)]])</f>
        <v/>
      </c>
      <c r="F51" s="7" t="str">
        <f t="shared" si="1"/>
        <v>mm/dd/yyyy</v>
      </c>
      <c r="G51" s="2" t="str">
        <f>IF(Master[[#This Row],[Voucher Date]]="","",Master[[#This Row],[Voucher Date]])</f>
        <v/>
      </c>
      <c r="H51" s="17" t="str">
        <f>IF(Master[[#This Row],[Voucher Collector -name, organization]]="","",Master[[#This Row],[Voucher Collector -name, organization]])</f>
        <v>Dean Tonenna, BLM:In Field:03 DEC 2020</v>
      </c>
      <c r="I51" s="7" t="str">
        <f>IF(Master[[#This Row],[Note (Voucher)]]="","",Master[[#This Row],[Note (Voucher)]])</f>
        <v/>
      </c>
    </row>
    <row r="52" spans="2:9" x14ac:dyDescent="0.25">
      <c r="B52" s="7" t="str">
        <f>Master[[#This Row],[Accession Prefix (NPGS)]]&amp;" "&amp;Master[[#This Row],[Accession Number -Assigned]]</f>
        <v>W6 59638</v>
      </c>
      <c r="C52" s="7" t="str">
        <f>Master[[#This Row],[Accession Prefix (NPGS)]]&amp;" "&amp;Master[[#This Row],[Accession Number -Assigned]]&amp;" "&amp;Master[[#This Row],[Inventory Suffix]]&amp;" "&amp;Master[[#This Row],[Inventory Type - Lookup Picker]]</f>
        <v>W6 59638  SD</v>
      </c>
      <c r="D52" s="7" t="str">
        <f>IF(Master[[#This Row],[Collector Voucher Number]]="","",Master[[#This Row],[Collector Voucher Number]])</f>
        <v>NV030-1531</v>
      </c>
      <c r="E52" s="76" t="str">
        <f>IF(Master[[#This Row],[Voucher Location (1)]]="","",Master[[#This Row],[Voucher Location (1)]])</f>
        <v/>
      </c>
      <c r="F52" s="7" t="str">
        <f t="shared" si="1"/>
        <v>mm/dd/yyyy</v>
      </c>
      <c r="G52" s="2" t="str">
        <f>IF(Master[[#This Row],[Voucher Date]]="","",Master[[#This Row],[Voucher Date]])</f>
        <v/>
      </c>
      <c r="H52" s="17" t="str">
        <f>IF(Master[[#This Row],[Voucher Collector -name, organization]]="","",Master[[#This Row],[Voucher Collector -name, organization]])</f>
        <v>Dean Tonenna, BLM:In Field:03 DEC 2020</v>
      </c>
      <c r="I52" s="7" t="str">
        <f>IF(Master[[#This Row],[Note (Voucher)]]="","",Master[[#This Row],[Note (Voucher)]])</f>
        <v/>
      </c>
    </row>
    <row r="53" spans="2:9" x14ac:dyDescent="0.25">
      <c r="B53" s="7" t="str">
        <f>Master[[#This Row],[Accession Prefix (NPGS)]]&amp;" "&amp;Master[[#This Row],[Accession Number -Assigned]]</f>
        <v>W6 59639</v>
      </c>
      <c r="C53" s="7" t="str">
        <f>Master[[#This Row],[Accession Prefix (NPGS)]]&amp;" "&amp;Master[[#This Row],[Accession Number -Assigned]]&amp;" "&amp;Master[[#This Row],[Inventory Suffix]]&amp;" "&amp;Master[[#This Row],[Inventory Type - Lookup Picker]]</f>
        <v>W6 59639  SD</v>
      </c>
      <c r="D53" s="7" t="str">
        <f>IF(Master[[#This Row],[Collector Voucher Number]]="","",Master[[#This Row],[Collector Voucher Number]])</f>
        <v>NV030-1532</v>
      </c>
      <c r="E53" s="76" t="str">
        <f>IF(Master[[#This Row],[Voucher Location (1)]]="","",Master[[#This Row],[Voucher Location (1)]])</f>
        <v/>
      </c>
      <c r="F53" s="7" t="str">
        <f t="shared" si="1"/>
        <v>mm/dd/yyyy</v>
      </c>
      <c r="G53" s="2" t="str">
        <f>IF(Master[[#This Row],[Voucher Date]]="","",Master[[#This Row],[Voucher Date]])</f>
        <v/>
      </c>
      <c r="H53" s="17" t="str">
        <f>IF(Master[[#This Row],[Voucher Collector -name, organization]]="","",Master[[#This Row],[Voucher Collector -name, organization]])</f>
        <v>Dean Tonenna:In Field:03 DEC 2020</v>
      </c>
      <c r="I53" s="7" t="str">
        <f>IF(Master[[#This Row],[Note (Voucher)]]="","",Master[[#This Row],[Note (Voucher)]])</f>
        <v/>
      </c>
    </row>
    <row r="54" spans="2:9" x14ac:dyDescent="0.25">
      <c r="B54" s="7" t="str">
        <f>Master[[#This Row],[Accession Prefix (NPGS)]]&amp;" "&amp;Master[[#This Row],[Accession Number -Assigned]]</f>
        <v>W6 59640</v>
      </c>
      <c r="C54" s="7" t="str">
        <f>Master[[#This Row],[Accession Prefix (NPGS)]]&amp;" "&amp;Master[[#This Row],[Accession Number -Assigned]]&amp;" "&amp;Master[[#This Row],[Inventory Suffix]]&amp;" "&amp;Master[[#This Row],[Inventory Type - Lookup Picker]]</f>
        <v>W6 59640  SD</v>
      </c>
      <c r="D54" s="7" t="str">
        <f>IF(Master[[#This Row],[Collector Voucher Number]]="","",Master[[#This Row],[Collector Voucher Number]])</f>
        <v>NV030-1534</v>
      </c>
      <c r="E54" s="76" t="str">
        <f>IF(Master[[#This Row],[Voucher Location (1)]]="","",Master[[#This Row],[Voucher Location (1)]])</f>
        <v/>
      </c>
      <c r="F54" s="7" t="str">
        <f t="shared" ref="F54:F85" si="2">"mm/dd/yyyy"</f>
        <v>mm/dd/yyyy</v>
      </c>
      <c r="G54" s="2" t="str">
        <f>IF(Master[[#This Row],[Voucher Date]]="","",Master[[#This Row],[Voucher Date]])</f>
        <v/>
      </c>
      <c r="H54" s="17" t="str">
        <f>IF(Master[[#This Row],[Voucher Collector -name, organization]]="","",Master[[#This Row],[Voucher Collector -name, organization]])</f>
        <v>Dean Tonenna:In Field:15 DEC 2020</v>
      </c>
      <c r="I54" s="7" t="str">
        <f>IF(Master[[#This Row],[Note (Voucher)]]="","",Master[[#This Row],[Note (Voucher)]])</f>
        <v/>
      </c>
    </row>
    <row r="55" spans="2:9" x14ac:dyDescent="0.25">
      <c r="B55" s="7" t="str">
        <f>Master[[#This Row],[Accession Prefix (NPGS)]]&amp;" "&amp;Master[[#This Row],[Accession Number -Assigned]]</f>
        <v>W6 59641</v>
      </c>
      <c r="C55" s="7" t="str">
        <f>Master[[#This Row],[Accession Prefix (NPGS)]]&amp;" "&amp;Master[[#This Row],[Accession Number -Assigned]]&amp;" "&amp;Master[[#This Row],[Inventory Suffix]]&amp;" "&amp;Master[[#This Row],[Inventory Type - Lookup Picker]]</f>
        <v>W6 59641  SD</v>
      </c>
      <c r="D55" s="7" t="str">
        <f>IF(Master[[#This Row],[Collector Voucher Number]]="","",Master[[#This Row],[Collector Voucher Number]])</f>
        <v>NV030-1535</v>
      </c>
      <c r="E55" s="76" t="str">
        <f>IF(Master[[#This Row],[Voucher Location (1)]]="","",Master[[#This Row],[Voucher Location (1)]])</f>
        <v/>
      </c>
      <c r="F55" s="7" t="str">
        <f t="shared" si="2"/>
        <v>mm/dd/yyyy</v>
      </c>
      <c r="G55" s="2" t="str">
        <f>IF(Master[[#This Row],[Voucher Date]]="","",Master[[#This Row],[Voucher Date]])</f>
        <v/>
      </c>
      <c r="H55" s="17" t="str">
        <f>IF(Master[[#This Row],[Voucher Collector -name, organization]]="","",Master[[#This Row],[Voucher Collector -name, organization]])</f>
        <v>Dean Tonenna, BLM:From pressed specimen on day of collection:17 AUG 2020</v>
      </c>
      <c r="I55" s="7" t="str">
        <f>IF(Master[[#This Row],[Note (Voucher)]]="","",Master[[#This Row],[Note (Voucher)]])</f>
        <v/>
      </c>
    </row>
    <row r="56" spans="2:9" x14ac:dyDescent="0.25">
      <c r="B56" s="7" t="str">
        <f>Master[[#This Row],[Accession Prefix (NPGS)]]&amp;" "&amp;Master[[#This Row],[Accession Number -Assigned]]</f>
        <v>W6 59642</v>
      </c>
      <c r="C56" s="7" t="str">
        <f>Master[[#This Row],[Accession Prefix (NPGS)]]&amp;" "&amp;Master[[#This Row],[Accession Number -Assigned]]&amp;" "&amp;Master[[#This Row],[Inventory Suffix]]&amp;" "&amp;Master[[#This Row],[Inventory Type - Lookup Picker]]</f>
        <v>W6 59642  SD</v>
      </c>
      <c r="D56" s="7" t="str">
        <f>IF(Master[[#This Row],[Collector Voucher Number]]="","",Master[[#This Row],[Collector Voucher Number]])</f>
        <v>NV030-1536</v>
      </c>
      <c r="E56" s="76" t="str">
        <f>IF(Master[[#This Row],[Voucher Location (1)]]="","",Master[[#This Row],[Voucher Location (1)]])</f>
        <v/>
      </c>
      <c r="F56" s="7" t="str">
        <f t="shared" si="2"/>
        <v>mm/dd/yyyy</v>
      </c>
      <c r="G56" s="2" t="str">
        <f>IF(Master[[#This Row],[Voucher Date]]="","",Master[[#This Row],[Voucher Date]])</f>
        <v/>
      </c>
      <c r="H56" s="17" t="str">
        <f>IF(Master[[#This Row],[Voucher Collector -name, organization]]="","",Master[[#This Row],[Voucher Collector -name, organization]])</f>
        <v>D. Tonenna - BLM:From pressed specimen on day of collection:25 AUG 2020</v>
      </c>
      <c r="I56" s="7" t="str">
        <f>IF(Master[[#This Row],[Note (Voucher)]]="","",Master[[#This Row],[Note (Voucher)]])</f>
        <v/>
      </c>
    </row>
    <row r="57" spans="2:9" x14ac:dyDescent="0.25">
      <c r="B57" s="7" t="str">
        <f>Master[[#This Row],[Accession Prefix (NPGS)]]&amp;" "&amp;Master[[#This Row],[Accession Number -Assigned]]</f>
        <v>W6 59643</v>
      </c>
      <c r="C57" s="7" t="str">
        <f>Master[[#This Row],[Accession Prefix (NPGS)]]&amp;" "&amp;Master[[#This Row],[Accession Number -Assigned]]&amp;" "&amp;Master[[#This Row],[Inventory Suffix]]&amp;" "&amp;Master[[#This Row],[Inventory Type - Lookup Picker]]</f>
        <v>W6 59643  SD</v>
      </c>
      <c r="D57" s="7" t="str">
        <f>IF(Master[[#This Row],[Collector Voucher Number]]="","",Master[[#This Row],[Collector Voucher Number]])</f>
        <v>UT020-85</v>
      </c>
      <c r="E57" s="76" t="str">
        <f>IF(Master[[#This Row],[Voucher Location (1)]]="","",Master[[#This Row],[Voucher Location (1)]])</f>
        <v>Smithsonian (US)</v>
      </c>
      <c r="F57" s="7" t="str">
        <f t="shared" si="2"/>
        <v>mm/dd/yyyy</v>
      </c>
      <c r="G57" s="2">
        <f>IF(Master[[#This Row],[Voucher Date]]="","",Master[[#This Row],[Voucher Date]])</f>
        <v>43976</v>
      </c>
      <c r="H57" s="17" t="str">
        <f>IF(Master[[#This Row],[Voucher Collector -name, organization]]="","",Master[[#This Row],[Voucher Collector -name, organization]])</f>
        <v/>
      </c>
      <c r="I57" s="7" t="str">
        <f>IF(Master[[#This Row],[Note (Voucher)]]="","",Master[[#This Row],[Note (Voucher)]])</f>
        <v/>
      </c>
    </row>
    <row r="58" spans="2:9" x14ac:dyDescent="0.25">
      <c r="B58" s="7" t="str">
        <f>Master[[#This Row],[Accession Prefix (NPGS)]]&amp;" "&amp;Master[[#This Row],[Accession Number -Assigned]]</f>
        <v>W6 59644</v>
      </c>
      <c r="C58" s="7" t="str">
        <f>Master[[#This Row],[Accession Prefix (NPGS)]]&amp;" "&amp;Master[[#This Row],[Accession Number -Assigned]]&amp;" "&amp;Master[[#This Row],[Inventory Suffix]]&amp;" "&amp;Master[[#This Row],[Inventory Type - Lookup Picker]]</f>
        <v>W6 59644  SD</v>
      </c>
      <c r="D58" s="7" t="str">
        <f>IF(Master[[#This Row],[Collector Voucher Number]]="","",Master[[#This Row],[Collector Voucher Number]])</f>
        <v>UT020-86</v>
      </c>
      <c r="E58" s="76" t="str">
        <f>IF(Master[[#This Row],[Voucher Location (1)]]="","",Master[[#This Row],[Voucher Location (1)]])</f>
        <v>Smithsonian (US)</v>
      </c>
      <c r="F58" s="7" t="str">
        <f t="shared" si="2"/>
        <v>mm/dd/yyyy</v>
      </c>
      <c r="G58" s="2">
        <f>IF(Master[[#This Row],[Voucher Date]]="","",Master[[#This Row],[Voucher Date]])</f>
        <v>43978</v>
      </c>
      <c r="H58" s="17" t="str">
        <f>IF(Master[[#This Row],[Voucher Collector -name, organization]]="","",Master[[#This Row],[Voucher Collector -name, organization]])</f>
        <v/>
      </c>
      <c r="I58" s="7" t="str">
        <f>IF(Master[[#This Row],[Note (Voucher)]]="","",Master[[#This Row],[Note (Voucher)]])</f>
        <v/>
      </c>
    </row>
    <row r="59" spans="2:9" x14ac:dyDescent="0.25">
      <c r="B59" s="7" t="str">
        <f>Master[[#This Row],[Accession Prefix (NPGS)]]&amp;" "&amp;Master[[#This Row],[Accession Number -Assigned]]</f>
        <v>W6 59645</v>
      </c>
      <c r="C59" s="7" t="str">
        <f>Master[[#This Row],[Accession Prefix (NPGS)]]&amp;" "&amp;Master[[#This Row],[Accession Number -Assigned]]&amp;" "&amp;Master[[#This Row],[Inventory Suffix]]&amp;" "&amp;Master[[#This Row],[Inventory Type - Lookup Picker]]</f>
        <v>W6 59645  SD</v>
      </c>
      <c r="D59" s="7" t="str">
        <f>IF(Master[[#This Row],[Collector Voucher Number]]="","",Master[[#This Row],[Collector Voucher Number]])</f>
        <v>UT020-87</v>
      </c>
      <c r="E59" s="76" t="str">
        <f>IF(Master[[#This Row],[Voucher Location (1)]]="","",Master[[#This Row],[Voucher Location (1)]])</f>
        <v>Smithsonian (US)</v>
      </c>
      <c r="F59" s="7" t="str">
        <f t="shared" si="2"/>
        <v>mm/dd/yyyy</v>
      </c>
      <c r="G59" s="2">
        <f>IF(Master[[#This Row],[Voucher Date]]="","",Master[[#This Row],[Voucher Date]])</f>
        <v>43986</v>
      </c>
      <c r="H59" s="17" t="str">
        <f>IF(Master[[#This Row],[Voucher Collector -name, organization]]="","",Master[[#This Row],[Voucher Collector -name, organization]])</f>
        <v/>
      </c>
      <c r="I59" s="7" t="str">
        <f>IF(Master[[#This Row],[Note (Voucher)]]="","",Master[[#This Row],[Note (Voucher)]])</f>
        <v/>
      </c>
    </row>
    <row r="60" spans="2:9" x14ac:dyDescent="0.25">
      <c r="B60" s="7" t="str">
        <f>Master[[#This Row],[Accession Prefix (NPGS)]]&amp;" "&amp;Master[[#This Row],[Accession Number -Assigned]]</f>
        <v>W6 59646</v>
      </c>
      <c r="C60" s="7" t="str">
        <f>Master[[#This Row],[Accession Prefix (NPGS)]]&amp;" "&amp;Master[[#This Row],[Accession Number -Assigned]]&amp;" "&amp;Master[[#This Row],[Inventory Suffix]]&amp;" "&amp;Master[[#This Row],[Inventory Type - Lookup Picker]]</f>
        <v>W6 59646  SD</v>
      </c>
      <c r="D60" s="7" t="str">
        <f>IF(Master[[#This Row],[Collector Voucher Number]]="","",Master[[#This Row],[Collector Voucher Number]])</f>
        <v>UT020-88</v>
      </c>
      <c r="E60" s="76" t="str">
        <f>IF(Master[[#This Row],[Voucher Location (1)]]="","",Master[[#This Row],[Voucher Location (1)]])</f>
        <v>Smithsonian (US)</v>
      </c>
      <c r="F60" s="7" t="str">
        <f t="shared" si="2"/>
        <v>mm/dd/yyyy</v>
      </c>
      <c r="G60" s="2">
        <f>IF(Master[[#This Row],[Voucher Date]]="","",Master[[#This Row],[Voucher Date]])</f>
        <v>43976</v>
      </c>
      <c r="H60" s="17" t="str">
        <f>IF(Master[[#This Row],[Voucher Collector -name, organization]]="","",Master[[#This Row],[Voucher Collector -name, organization]])</f>
        <v/>
      </c>
      <c r="I60" s="7" t="str">
        <f>IF(Master[[#This Row],[Note (Voucher)]]="","",Master[[#This Row],[Note (Voucher)]])</f>
        <v/>
      </c>
    </row>
    <row r="61" spans="2:9" x14ac:dyDescent="0.25">
      <c r="B61" s="7" t="str">
        <f>Master[[#This Row],[Accession Prefix (NPGS)]]&amp;" "&amp;Master[[#This Row],[Accession Number -Assigned]]</f>
        <v>W6 59647</v>
      </c>
      <c r="C61" s="7" t="str">
        <f>Master[[#This Row],[Accession Prefix (NPGS)]]&amp;" "&amp;Master[[#This Row],[Accession Number -Assigned]]&amp;" "&amp;Master[[#This Row],[Inventory Suffix]]&amp;" "&amp;Master[[#This Row],[Inventory Type - Lookup Picker]]</f>
        <v>W6 59647  SD</v>
      </c>
      <c r="D61" s="7" t="str">
        <f>IF(Master[[#This Row],[Collector Voucher Number]]="","",Master[[#This Row],[Collector Voucher Number]])</f>
        <v>UT020-89</v>
      </c>
      <c r="E61" s="76" t="str">
        <f>IF(Master[[#This Row],[Voucher Location (1)]]="","",Master[[#This Row],[Voucher Location (1)]])</f>
        <v>Smithsonian (US)</v>
      </c>
      <c r="F61" s="7" t="str">
        <f t="shared" si="2"/>
        <v>mm/dd/yyyy</v>
      </c>
      <c r="G61" s="2">
        <f>IF(Master[[#This Row],[Voucher Date]]="","",Master[[#This Row],[Voucher Date]])</f>
        <v>44019</v>
      </c>
      <c r="H61" s="17" t="str">
        <f>IF(Master[[#This Row],[Voucher Collector -name, organization]]="","",Master[[#This Row],[Voucher Collector -name, organization]])</f>
        <v/>
      </c>
      <c r="I61" s="7" t="str">
        <f>IF(Master[[#This Row],[Note (Voucher)]]="","",Master[[#This Row],[Note (Voucher)]])</f>
        <v/>
      </c>
    </row>
    <row r="62" spans="2:9" x14ac:dyDescent="0.25">
      <c r="B62" s="7" t="str">
        <f>Master[[#This Row],[Accession Prefix (NPGS)]]&amp;" "&amp;Master[[#This Row],[Accession Number -Assigned]]</f>
        <v>W6 59648</v>
      </c>
      <c r="C62" s="7" t="str">
        <f>Master[[#This Row],[Accession Prefix (NPGS)]]&amp;" "&amp;Master[[#This Row],[Accession Number -Assigned]]&amp;" "&amp;Master[[#This Row],[Inventory Suffix]]&amp;" "&amp;Master[[#This Row],[Inventory Type - Lookup Picker]]</f>
        <v>W6 59648  SD</v>
      </c>
      <c r="D62" s="7" t="str">
        <f>IF(Master[[#This Row],[Collector Voucher Number]]="","",Master[[#This Row],[Collector Voucher Number]])</f>
        <v>UT020-90</v>
      </c>
      <c r="E62" s="76" t="str">
        <f>IF(Master[[#This Row],[Voucher Location (1)]]="","",Master[[#This Row],[Voucher Location (1)]])</f>
        <v>Smithsonian (US)</v>
      </c>
      <c r="F62" s="7" t="str">
        <f t="shared" si="2"/>
        <v>mm/dd/yyyy</v>
      </c>
      <c r="G62" s="2">
        <f>IF(Master[[#This Row],[Voucher Date]]="","",Master[[#This Row],[Voucher Date]])</f>
        <v>44015</v>
      </c>
      <c r="H62" s="17" t="str">
        <f>IF(Master[[#This Row],[Voucher Collector -name, organization]]="","",Master[[#This Row],[Voucher Collector -name, organization]])</f>
        <v/>
      </c>
      <c r="I62" s="7" t="str">
        <f>IF(Master[[#This Row],[Note (Voucher)]]="","",Master[[#This Row],[Note (Voucher)]])</f>
        <v/>
      </c>
    </row>
    <row r="63" spans="2:9" x14ac:dyDescent="0.25">
      <c r="B63" s="7" t="str">
        <f>Master[[#This Row],[Accession Prefix (NPGS)]]&amp;" "&amp;Master[[#This Row],[Accession Number -Assigned]]</f>
        <v>W6 59649</v>
      </c>
      <c r="C63" s="7" t="str">
        <f>Master[[#This Row],[Accession Prefix (NPGS)]]&amp;" "&amp;Master[[#This Row],[Accession Number -Assigned]]&amp;" "&amp;Master[[#This Row],[Inventory Suffix]]&amp;" "&amp;Master[[#This Row],[Inventory Type - Lookup Picker]]</f>
        <v>W6 59649  SD</v>
      </c>
      <c r="D63" s="7" t="str">
        <f>IF(Master[[#This Row],[Collector Voucher Number]]="","",Master[[#This Row],[Collector Voucher Number]])</f>
        <v>UT020-91</v>
      </c>
      <c r="E63" s="76" t="str">
        <f>IF(Master[[#This Row],[Voucher Location (1)]]="","",Master[[#This Row],[Voucher Location (1)]])</f>
        <v>Smithsonian (US)</v>
      </c>
      <c r="F63" s="7" t="str">
        <f t="shared" si="2"/>
        <v>mm/dd/yyyy</v>
      </c>
      <c r="G63" s="2">
        <f>IF(Master[[#This Row],[Voucher Date]]="","",Master[[#This Row],[Voucher Date]])</f>
        <v>44025</v>
      </c>
      <c r="H63" s="17" t="str">
        <f>IF(Master[[#This Row],[Voucher Collector -name, organization]]="","",Master[[#This Row],[Voucher Collector -name, organization]])</f>
        <v/>
      </c>
      <c r="I63" s="7" t="str">
        <f>IF(Master[[#This Row],[Note (Voucher)]]="","",Master[[#This Row],[Note (Voucher)]])</f>
        <v/>
      </c>
    </row>
    <row r="64" spans="2:9" x14ac:dyDescent="0.25">
      <c r="B64" s="7" t="str">
        <f>Master[[#This Row],[Accession Prefix (NPGS)]]&amp;" "&amp;Master[[#This Row],[Accession Number -Assigned]]</f>
        <v>W6 59650</v>
      </c>
      <c r="C64" s="7" t="str">
        <f>Master[[#This Row],[Accession Prefix (NPGS)]]&amp;" "&amp;Master[[#This Row],[Accession Number -Assigned]]&amp;" "&amp;Master[[#This Row],[Inventory Suffix]]&amp;" "&amp;Master[[#This Row],[Inventory Type - Lookup Picker]]</f>
        <v>W6 59650  SD</v>
      </c>
      <c r="D64" s="7" t="str">
        <f>IF(Master[[#This Row],[Collector Voucher Number]]="","",Master[[#This Row],[Collector Voucher Number]])</f>
        <v>UT020-92</v>
      </c>
      <c r="E64" s="76" t="str">
        <f>IF(Master[[#This Row],[Voucher Location (1)]]="","",Master[[#This Row],[Voucher Location (1)]])</f>
        <v>Smithsonian (US)</v>
      </c>
      <c r="F64" s="7" t="str">
        <f t="shared" si="2"/>
        <v>mm/dd/yyyy</v>
      </c>
      <c r="G64" s="2">
        <f>IF(Master[[#This Row],[Voucher Date]]="","",Master[[#This Row],[Voucher Date]])</f>
        <v>44020</v>
      </c>
      <c r="H64" s="17" t="str">
        <f>IF(Master[[#This Row],[Voucher Collector -name, organization]]="","",Master[[#This Row],[Voucher Collector -name, organization]])</f>
        <v/>
      </c>
      <c r="I64" s="7" t="str">
        <f>IF(Master[[#This Row],[Note (Voucher)]]="","",Master[[#This Row],[Note (Voucher)]])</f>
        <v/>
      </c>
    </row>
    <row r="65" spans="2:9" x14ac:dyDescent="0.25">
      <c r="B65" s="7" t="str">
        <f>Master[[#This Row],[Accession Prefix (NPGS)]]&amp;" "&amp;Master[[#This Row],[Accession Number -Assigned]]</f>
        <v>W6 59651</v>
      </c>
      <c r="C65" s="7" t="str">
        <f>Master[[#This Row],[Accession Prefix (NPGS)]]&amp;" "&amp;Master[[#This Row],[Accession Number -Assigned]]&amp;" "&amp;Master[[#This Row],[Inventory Suffix]]&amp;" "&amp;Master[[#This Row],[Inventory Type - Lookup Picker]]</f>
        <v>W6 59651  SD</v>
      </c>
      <c r="D65" s="7" t="str">
        <f>IF(Master[[#This Row],[Collector Voucher Number]]="","",Master[[#This Row],[Collector Voucher Number]])</f>
        <v>UT020-93</v>
      </c>
      <c r="E65" s="76" t="str">
        <f>IF(Master[[#This Row],[Voucher Location (1)]]="","",Master[[#This Row],[Voucher Location (1)]])</f>
        <v>Smithsonian (US)</v>
      </c>
      <c r="F65" s="7" t="str">
        <f t="shared" si="2"/>
        <v>mm/dd/yyyy</v>
      </c>
      <c r="G65" s="2">
        <f>IF(Master[[#This Row],[Voucher Date]]="","",Master[[#This Row],[Voucher Date]])</f>
        <v>44040</v>
      </c>
      <c r="H65" s="17" t="str">
        <f>IF(Master[[#This Row],[Voucher Collector -name, organization]]="","",Master[[#This Row],[Voucher Collector -name, organization]])</f>
        <v/>
      </c>
      <c r="I65" s="7" t="str">
        <f>IF(Master[[#This Row],[Note (Voucher)]]="","",Master[[#This Row],[Note (Voucher)]])</f>
        <v/>
      </c>
    </row>
    <row r="66" spans="2:9" x14ac:dyDescent="0.25">
      <c r="B66" s="7" t="str">
        <f>Master[[#This Row],[Accession Prefix (NPGS)]]&amp;" "&amp;Master[[#This Row],[Accession Number -Assigned]]</f>
        <v>W6 59652</v>
      </c>
      <c r="C66" s="7" t="str">
        <f>Master[[#This Row],[Accession Prefix (NPGS)]]&amp;" "&amp;Master[[#This Row],[Accession Number -Assigned]]&amp;" "&amp;Master[[#This Row],[Inventory Suffix]]&amp;" "&amp;Master[[#This Row],[Inventory Type - Lookup Picker]]</f>
        <v>W6 59652  SD</v>
      </c>
      <c r="D66" s="7" t="str">
        <f>IF(Master[[#This Row],[Collector Voucher Number]]="","",Master[[#This Row],[Collector Voucher Number]])</f>
        <v>UT020-94</v>
      </c>
      <c r="E66" s="76" t="str">
        <f>IF(Master[[#This Row],[Voucher Location (1)]]="","",Master[[#This Row],[Voucher Location (1)]])</f>
        <v>Smithsonian (US)</v>
      </c>
      <c r="F66" s="7" t="str">
        <f t="shared" si="2"/>
        <v>mm/dd/yyyy</v>
      </c>
      <c r="G66" s="2">
        <f>IF(Master[[#This Row],[Voucher Date]]="","",Master[[#This Row],[Voucher Date]])</f>
        <v>44020</v>
      </c>
      <c r="H66" s="17" t="str">
        <f>IF(Master[[#This Row],[Voucher Collector -name, organization]]="","",Master[[#This Row],[Voucher Collector -name, organization]])</f>
        <v/>
      </c>
      <c r="I66" s="7" t="str">
        <f>IF(Master[[#This Row],[Note (Voucher)]]="","",Master[[#This Row],[Note (Voucher)]])</f>
        <v/>
      </c>
    </row>
    <row r="67" spans="2:9" x14ac:dyDescent="0.25">
      <c r="B67" s="7" t="str">
        <f>Master[[#This Row],[Accession Prefix (NPGS)]]&amp;" "&amp;Master[[#This Row],[Accession Number -Assigned]]</f>
        <v>W6 59653</v>
      </c>
      <c r="C67" s="7" t="str">
        <f>Master[[#This Row],[Accession Prefix (NPGS)]]&amp;" "&amp;Master[[#This Row],[Accession Number -Assigned]]&amp;" "&amp;Master[[#This Row],[Inventory Suffix]]&amp;" "&amp;Master[[#This Row],[Inventory Type - Lookup Picker]]</f>
        <v>W6 59653  SD</v>
      </c>
      <c r="D67" s="7" t="str">
        <f>IF(Master[[#This Row],[Collector Voucher Number]]="","",Master[[#This Row],[Collector Voucher Number]])</f>
        <v>UT020-95</v>
      </c>
      <c r="E67" s="76" t="str">
        <f>IF(Master[[#This Row],[Voucher Location (1)]]="","",Master[[#This Row],[Voucher Location (1)]])</f>
        <v>Smithsonian (US)</v>
      </c>
      <c r="F67" s="7" t="str">
        <f t="shared" si="2"/>
        <v>mm/dd/yyyy</v>
      </c>
      <c r="G67" s="2">
        <f>IF(Master[[#This Row],[Voucher Date]]="","",Master[[#This Row],[Voucher Date]])</f>
        <v>44020</v>
      </c>
      <c r="H67" s="17" t="str">
        <f>IF(Master[[#This Row],[Voucher Collector -name, organization]]="","",Master[[#This Row],[Voucher Collector -name, organization]])</f>
        <v/>
      </c>
      <c r="I67" s="7" t="str">
        <f>IF(Master[[#This Row],[Note (Voucher)]]="","",Master[[#This Row],[Note (Voucher)]])</f>
        <v/>
      </c>
    </row>
    <row r="68" spans="2:9" x14ac:dyDescent="0.25">
      <c r="B68" s="7" t="str">
        <f>Master[[#This Row],[Accession Prefix (NPGS)]]&amp;" "&amp;Master[[#This Row],[Accession Number -Assigned]]</f>
        <v>W6 59654</v>
      </c>
      <c r="C68" s="7" t="str">
        <f>Master[[#This Row],[Accession Prefix (NPGS)]]&amp;" "&amp;Master[[#This Row],[Accession Number -Assigned]]&amp;" "&amp;Master[[#This Row],[Inventory Suffix]]&amp;" "&amp;Master[[#This Row],[Inventory Type - Lookup Picker]]</f>
        <v>W6 59654  SD</v>
      </c>
      <c r="D68" s="7" t="str">
        <f>IF(Master[[#This Row],[Collector Voucher Number]]="","",Master[[#This Row],[Collector Voucher Number]])</f>
        <v>UT020-96</v>
      </c>
      <c r="E68" s="76" t="str">
        <f>IF(Master[[#This Row],[Voucher Location (1)]]="","",Master[[#This Row],[Voucher Location (1)]])</f>
        <v>Smithsonian (US)</v>
      </c>
      <c r="F68" s="7" t="str">
        <f t="shared" si="2"/>
        <v>mm/dd/yyyy</v>
      </c>
      <c r="G68" s="2">
        <f>IF(Master[[#This Row],[Voucher Date]]="","",Master[[#This Row],[Voucher Date]])</f>
        <v>44032</v>
      </c>
      <c r="H68" s="17" t="str">
        <f>IF(Master[[#This Row],[Voucher Collector -name, organization]]="","",Master[[#This Row],[Voucher Collector -name, organization]])</f>
        <v/>
      </c>
      <c r="I68" s="7" t="str">
        <f>IF(Master[[#This Row],[Note (Voucher)]]="","",Master[[#This Row],[Note (Voucher)]])</f>
        <v/>
      </c>
    </row>
    <row r="69" spans="2:9" x14ac:dyDescent="0.25">
      <c r="B69" s="7" t="str">
        <f>Master[[#This Row],[Accession Prefix (NPGS)]]&amp;" "&amp;Master[[#This Row],[Accession Number -Assigned]]</f>
        <v>W6 59655</v>
      </c>
      <c r="C69" s="7" t="str">
        <f>Master[[#This Row],[Accession Prefix (NPGS)]]&amp;" "&amp;Master[[#This Row],[Accession Number -Assigned]]&amp;" "&amp;Master[[#This Row],[Inventory Suffix]]&amp;" "&amp;Master[[#This Row],[Inventory Type - Lookup Picker]]</f>
        <v>W6 59655  SD</v>
      </c>
      <c r="D69" s="7" t="str">
        <f>IF(Master[[#This Row],[Collector Voucher Number]]="","",Master[[#This Row],[Collector Voucher Number]])</f>
        <v>UT080-309</v>
      </c>
      <c r="E69" s="76" t="str">
        <f>IF(Master[[#This Row],[Voucher Location (1)]]="","",Master[[#This Row],[Voucher Location (1)]])</f>
        <v/>
      </c>
      <c r="F69" s="7" t="str">
        <f t="shared" si="2"/>
        <v>mm/dd/yyyy</v>
      </c>
      <c r="G69" s="2">
        <f>IF(Master[[#This Row],[Voucher Date]]="","",Master[[#This Row],[Voucher Date]])</f>
        <v>43993</v>
      </c>
      <c r="H69" s="17" t="str">
        <f>IF(Master[[#This Row],[Voucher Collector -name, organization]]="","",Master[[#This Row],[Voucher Collector -name, organization]])</f>
        <v/>
      </c>
      <c r="I69" s="7" t="str">
        <f>IF(Master[[#This Row],[Note (Voucher)]]="","",Master[[#This Row],[Note (Voucher)]])</f>
        <v/>
      </c>
    </row>
    <row r="70" spans="2:9" x14ac:dyDescent="0.25">
      <c r="B70" s="7" t="str">
        <f>Master[[#This Row],[Accession Prefix (NPGS)]]&amp;" "&amp;Master[[#This Row],[Accession Number -Assigned]]</f>
        <v>W6 59656</v>
      </c>
      <c r="C70" s="7" t="str">
        <f>Master[[#This Row],[Accession Prefix (NPGS)]]&amp;" "&amp;Master[[#This Row],[Accession Number -Assigned]]&amp;" "&amp;Master[[#This Row],[Inventory Suffix]]&amp;" "&amp;Master[[#This Row],[Inventory Type - Lookup Picker]]</f>
        <v>W6 59656  SD</v>
      </c>
      <c r="D70" s="7" t="str">
        <f>IF(Master[[#This Row],[Collector Voucher Number]]="","",Master[[#This Row],[Collector Voucher Number]])</f>
        <v>UT080-310</v>
      </c>
      <c r="E70" s="76" t="str">
        <f>IF(Master[[#This Row],[Voucher Location (1)]]="","",Master[[#This Row],[Voucher Location (1)]])</f>
        <v/>
      </c>
      <c r="F70" s="7" t="str">
        <f t="shared" si="2"/>
        <v>mm/dd/yyyy</v>
      </c>
      <c r="G70" s="2">
        <f>IF(Master[[#This Row],[Voucher Date]]="","",Master[[#This Row],[Voucher Date]])</f>
        <v>43997</v>
      </c>
      <c r="H70" s="17" t="str">
        <f>IF(Master[[#This Row],[Voucher Collector -name, organization]]="","",Master[[#This Row],[Voucher Collector -name, organization]])</f>
        <v/>
      </c>
      <c r="I70" s="7" t="str">
        <f>IF(Master[[#This Row],[Note (Voucher)]]="","",Master[[#This Row],[Note (Voucher)]])</f>
        <v/>
      </c>
    </row>
    <row r="71" spans="2:9" x14ac:dyDescent="0.25">
      <c r="B71" s="7" t="str">
        <f>Master[[#This Row],[Accession Prefix (NPGS)]]&amp;" "&amp;Master[[#This Row],[Accession Number -Assigned]]</f>
        <v>W6 59657</v>
      </c>
      <c r="C71" s="7" t="str">
        <f>Master[[#This Row],[Accession Prefix (NPGS)]]&amp;" "&amp;Master[[#This Row],[Accession Number -Assigned]]&amp;" "&amp;Master[[#This Row],[Inventory Suffix]]&amp;" "&amp;Master[[#This Row],[Inventory Type - Lookup Picker]]</f>
        <v>W6 59657  SD</v>
      </c>
      <c r="D71" s="7" t="str">
        <f>IF(Master[[#This Row],[Collector Voucher Number]]="","",Master[[#This Row],[Collector Voucher Number]])</f>
        <v>UT080-311</v>
      </c>
      <c r="E71" s="76" t="str">
        <f>IF(Master[[#This Row],[Voucher Location (1)]]="","",Master[[#This Row],[Voucher Location (1)]])</f>
        <v/>
      </c>
      <c r="F71" s="7" t="str">
        <f t="shared" si="2"/>
        <v>mm/dd/yyyy</v>
      </c>
      <c r="G71" s="2">
        <f>IF(Master[[#This Row],[Voucher Date]]="","",Master[[#This Row],[Voucher Date]])</f>
        <v>43998</v>
      </c>
      <c r="H71" s="17" t="str">
        <f>IF(Master[[#This Row],[Voucher Collector -name, organization]]="","",Master[[#This Row],[Voucher Collector -name, organization]])</f>
        <v/>
      </c>
      <c r="I71" s="7" t="str">
        <f>IF(Master[[#This Row],[Note (Voucher)]]="","",Master[[#This Row],[Note (Voucher)]])</f>
        <v/>
      </c>
    </row>
    <row r="72" spans="2:9" x14ac:dyDescent="0.25">
      <c r="B72" s="7" t="str">
        <f>Master[[#This Row],[Accession Prefix (NPGS)]]&amp;" "&amp;Master[[#This Row],[Accession Number -Assigned]]</f>
        <v>W6 59658</v>
      </c>
      <c r="C72" s="7" t="str">
        <f>Master[[#This Row],[Accession Prefix (NPGS)]]&amp;" "&amp;Master[[#This Row],[Accession Number -Assigned]]&amp;" "&amp;Master[[#This Row],[Inventory Suffix]]&amp;" "&amp;Master[[#This Row],[Inventory Type - Lookup Picker]]</f>
        <v>W6 59658  SD</v>
      </c>
      <c r="D72" s="7" t="str">
        <f>IF(Master[[#This Row],[Collector Voucher Number]]="","",Master[[#This Row],[Collector Voucher Number]])</f>
        <v>UT080-313</v>
      </c>
      <c r="E72" s="76" t="str">
        <f>IF(Master[[#This Row],[Voucher Location (1)]]="","",Master[[#This Row],[Voucher Location (1)]])</f>
        <v/>
      </c>
      <c r="F72" s="7" t="str">
        <f t="shared" si="2"/>
        <v>mm/dd/yyyy</v>
      </c>
      <c r="G72" s="2">
        <f>IF(Master[[#This Row],[Voucher Date]]="","",Master[[#This Row],[Voucher Date]])</f>
        <v>43998</v>
      </c>
      <c r="H72" s="17" t="str">
        <f>IF(Master[[#This Row],[Voucher Collector -name, organization]]="","",Master[[#This Row],[Voucher Collector -name, organization]])</f>
        <v/>
      </c>
      <c r="I72" s="7" t="str">
        <f>IF(Master[[#This Row],[Note (Voucher)]]="","",Master[[#This Row],[Note (Voucher)]])</f>
        <v/>
      </c>
    </row>
    <row r="73" spans="2:9" x14ac:dyDescent="0.25">
      <c r="B73" s="7" t="str">
        <f>Master[[#This Row],[Accession Prefix (NPGS)]]&amp;" "&amp;Master[[#This Row],[Accession Number -Assigned]]</f>
        <v>W6 59659</v>
      </c>
      <c r="C73" s="7" t="str">
        <f>Master[[#This Row],[Accession Prefix (NPGS)]]&amp;" "&amp;Master[[#This Row],[Accession Number -Assigned]]&amp;" "&amp;Master[[#This Row],[Inventory Suffix]]&amp;" "&amp;Master[[#This Row],[Inventory Type - Lookup Picker]]</f>
        <v>W6 59659  SD</v>
      </c>
      <c r="D73" s="7" t="str">
        <f>IF(Master[[#This Row],[Collector Voucher Number]]="","",Master[[#This Row],[Collector Voucher Number]])</f>
        <v>UT080-314</v>
      </c>
      <c r="E73" s="76" t="str">
        <f>IF(Master[[#This Row],[Voucher Location (1)]]="","",Master[[#This Row],[Voucher Location (1)]])</f>
        <v/>
      </c>
      <c r="F73" s="7" t="str">
        <f t="shared" si="2"/>
        <v>mm/dd/yyyy</v>
      </c>
      <c r="G73" s="2">
        <f>IF(Master[[#This Row],[Voucher Date]]="","",Master[[#This Row],[Voucher Date]])</f>
        <v>43999</v>
      </c>
      <c r="H73" s="17" t="str">
        <f>IF(Master[[#This Row],[Voucher Collector -name, organization]]="","",Master[[#This Row],[Voucher Collector -name, organization]])</f>
        <v/>
      </c>
      <c r="I73" s="7" t="str">
        <f>IF(Master[[#This Row],[Note (Voucher)]]="","",Master[[#This Row],[Note (Voucher)]])</f>
        <v/>
      </c>
    </row>
    <row r="74" spans="2:9" x14ac:dyDescent="0.25">
      <c r="B74" s="7" t="str">
        <f>Master[[#This Row],[Accession Prefix (NPGS)]]&amp;" "&amp;Master[[#This Row],[Accession Number -Assigned]]</f>
        <v>W6 59660</v>
      </c>
      <c r="C74" s="7" t="str">
        <f>Master[[#This Row],[Accession Prefix (NPGS)]]&amp;" "&amp;Master[[#This Row],[Accession Number -Assigned]]&amp;" "&amp;Master[[#This Row],[Inventory Suffix]]&amp;" "&amp;Master[[#This Row],[Inventory Type - Lookup Picker]]</f>
        <v>W6 59660  SD</v>
      </c>
      <c r="D74" s="7" t="str">
        <f>IF(Master[[#This Row],[Collector Voucher Number]]="","",Master[[#This Row],[Collector Voucher Number]])</f>
        <v>UT080-317</v>
      </c>
      <c r="E74" s="76" t="str">
        <f>IF(Master[[#This Row],[Voucher Location (1)]]="","",Master[[#This Row],[Voucher Location (1)]])</f>
        <v/>
      </c>
      <c r="F74" s="7" t="str">
        <f t="shared" si="2"/>
        <v>mm/dd/yyyy</v>
      </c>
      <c r="G74" s="2">
        <f>IF(Master[[#This Row],[Voucher Date]]="","",Master[[#This Row],[Voucher Date]])</f>
        <v>44006</v>
      </c>
      <c r="H74" s="17" t="str">
        <f>IF(Master[[#This Row],[Voucher Collector -name, organization]]="","",Master[[#This Row],[Voucher Collector -name, organization]])</f>
        <v/>
      </c>
      <c r="I74" s="7" t="str">
        <f>IF(Master[[#This Row],[Note (Voucher)]]="","",Master[[#This Row],[Note (Voucher)]])</f>
        <v/>
      </c>
    </row>
    <row r="75" spans="2:9" x14ac:dyDescent="0.25">
      <c r="B75" s="7" t="str">
        <f>Master[[#This Row],[Accession Prefix (NPGS)]]&amp;" "&amp;Master[[#This Row],[Accession Number -Assigned]]</f>
        <v>W6 59661</v>
      </c>
      <c r="C75" s="7" t="str">
        <f>Master[[#This Row],[Accession Prefix (NPGS)]]&amp;" "&amp;Master[[#This Row],[Accession Number -Assigned]]&amp;" "&amp;Master[[#This Row],[Inventory Suffix]]&amp;" "&amp;Master[[#This Row],[Inventory Type - Lookup Picker]]</f>
        <v>W6 59661  SD</v>
      </c>
      <c r="D75" s="7" t="str">
        <f>IF(Master[[#This Row],[Collector Voucher Number]]="","",Master[[#This Row],[Collector Voucher Number]])</f>
        <v>UT080-319</v>
      </c>
      <c r="E75" s="76" t="str">
        <f>IF(Master[[#This Row],[Voucher Location (1)]]="","",Master[[#This Row],[Voucher Location (1)]])</f>
        <v/>
      </c>
      <c r="F75" s="7" t="str">
        <f t="shared" si="2"/>
        <v>mm/dd/yyyy</v>
      </c>
      <c r="G75" s="2">
        <f>IF(Master[[#This Row],[Voucher Date]]="","",Master[[#This Row],[Voucher Date]])</f>
        <v>44006</v>
      </c>
      <c r="H75" s="17" t="str">
        <f>IF(Master[[#This Row],[Voucher Collector -name, organization]]="","",Master[[#This Row],[Voucher Collector -name, organization]])</f>
        <v/>
      </c>
      <c r="I75" s="7" t="str">
        <f>IF(Master[[#This Row],[Note (Voucher)]]="","",Master[[#This Row],[Note (Voucher)]])</f>
        <v/>
      </c>
    </row>
    <row r="76" spans="2:9" x14ac:dyDescent="0.25">
      <c r="B76" s="7" t="str">
        <f>Master[[#This Row],[Accession Prefix (NPGS)]]&amp;" "&amp;Master[[#This Row],[Accession Number -Assigned]]</f>
        <v>W6 59662</v>
      </c>
      <c r="C76" s="7" t="str">
        <f>Master[[#This Row],[Accession Prefix (NPGS)]]&amp;" "&amp;Master[[#This Row],[Accession Number -Assigned]]&amp;" "&amp;Master[[#This Row],[Inventory Suffix]]&amp;" "&amp;Master[[#This Row],[Inventory Type - Lookup Picker]]</f>
        <v>W6 59662  SD</v>
      </c>
      <c r="D76" s="7" t="str">
        <f>IF(Master[[#This Row],[Collector Voucher Number]]="","",Master[[#This Row],[Collector Voucher Number]])</f>
        <v>UT080-320</v>
      </c>
      <c r="E76" s="76" t="str">
        <f>IF(Master[[#This Row],[Voucher Location (1)]]="","",Master[[#This Row],[Voucher Location (1)]])</f>
        <v/>
      </c>
      <c r="F76" s="7" t="str">
        <f t="shared" si="2"/>
        <v>mm/dd/yyyy</v>
      </c>
      <c r="G76" s="2">
        <f>IF(Master[[#This Row],[Voucher Date]]="","",Master[[#This Row],[Voucher Date]])</f>
        <v>44007</v>
      </c>
      <c r="H76" s="17" t="str">
        <f>IF(Master[[#This Row],[Voucher Collector -name, organization]]="","",Master[[#This Row],[Voucher Collector -name, organization]])</f>
        <v/>
      </c>
      <c r="I76" s="7" t="str">
        <f>IF(Master[[#This Row],[Note (Voucher)]]="","",Master[[#This Row],[Note (Voucher)]])</f>
        <v/>
      </c>
    </row>
    <row r="77" spans="2:9" x14ac:dyDescent="0.25">
      <c r="B77" s="7" t="str">
        <f>Master[[#This Row],[Accession Prefix (NPGS)]]&amp;" "&amp;Master[[#This Row],[Accession Number -Assigned]]</f>
        <v>W6 59663</v>
      </c>
      <c r="C77" s="7" t="str">
        <f>Master[[#This Row],[Accession Prefix (NPGS)]]&amp;" "&amp;Master[[#This Row],[Accession Number -Assigned]]&amp;" "&amp;Master[[#This Row],[Inventory Suffix]]&amp;" "&amp;Master[[#This Row],[Inventory Type - Lookup Picker]]</f>
        <v>W6 59663  SD</v>
      </c>
      <c r="D77" s="7" t="str">
        <f>IF(Master[[#This Row],[Collector Voucher Number]]="","",Master[[#This Row],[Collector Voucher Number]])</f>
        <v>UT080-321</v>
      </c>
      <c r="E77" s="76" t="str">
        <f>IF(Master[[#This Row],[Voucher Location (1)]]="","",Master[[#This Row],[Voucher Location (1)]])</f>
        <v/>
      </c>
      <c r="F77" s="7" t="str">
        <f t="shared" si="2"/>
        <v>mm/dd/yyyy</v>
      </c>
      <c r="G77" s="2">
        <f>IF(Master[[#This Row],[Voucher Date]]="","",Master[[#This Row],[Voucher Date]])</f>
        <v>44007</v>
      </c>
      <c r="H77" s="17" t="str">
        <f>IF(Master[[#This Row],[Voucher Collector -name, organization]]="","",Master[[#This Row],[Voucher Collector -name, organization]])</f>
        <v/>
      </c>
      <c r="I77" s="7" t="str">
        <f>IF(Master[[#This Row],[Note (Voucher)]]="","",Master[[#This Row],[Note (Voucher)]])</f>
        <v/>
      </c>
    </row>
    <row r="78" spans="2:9" x14ac:dyDescent="0.25">
      <c r="B78" s="7" t="str">
        <f>Master[[#This Row],[Accession Prefix (NPGS)]]&amp;" "&amp;Master[[#This Row],[Accession Number -Assigned]]</f>
        <v>W6 59664</v>
      </c>
      <c r="C78" s="7" t="str">
        <f>Master[[#This Row],[Accession Prefix (NPGS)]]&amp;" "&amp;Master[[#This Row],[Accession Number -Assigned]]&amp;" "&amp;Master[[#This Row],[Inventory Suffix]]&amp;" "&amp;Master[[#This Row],[Inventory Type - Lookup Picker]]</f>
        <v>W6 59664  SD</v>
      </c>
      <c r="D78" s="7" t="str">
        <f>IF(Master[[#This Row],[Collector Voucher Number]]="","",Master[[#This Row],[Collector Voucher Number]])</f>
        <v>UT080-322</v>
      </c>
      <c r="E78" s="76" t="str">
        <f>IF(Master[[#This Row],[Voucher Location (1)]]="","",Master[[#This Row],[Voucher Location (1)]])</f>
        <v/>
      </c>
      <c r="F78" s="7" t="str">
        <f t="shared" si="2"/>
        <v>mm/dd/yyyy</v>
      </c>
      <c r="G78" s="2">
        <f>IF(Master[[#This Row],[Voucher Date]]="","",Master[[#This Row],[Voucher Date]])</f>
        <v>44075</v>
      </c>
      <c r="H78" s="17" t="str">
        <f>IF(Master[[#This Row],[Voucher Collector -name, organization]]="","",Master[[#This Row],[Voucher Collector -name, organization]])</f>
        <v/>
      </c>
      <c r="I78" s="7" t="str">
        <f>IF(Master[[#This Row],[Note (Voucher)]]="","",Master[[#This Row],[Note (Voucher)]])</f>
        <v/>
      </c>
    </row>
    <row r="79" spans="2:9" x14ac:dyDescent="0.25">
      <c r="B79" s="7" t="str">
        <f>Master[[#This Row],[Accession Prefix (NPGS)]]&amp;" "&amp;Master[[#This Row],[Accession Number -Assigned]]</f>
        <v>W6 59665</v>
      </c>
      <c r="C79" s="7" t="str">
        <f>Master[[#This Row],[Accession Prefix (NPGS)]]&amp;" "&amp;Master[[#This Row],[Accession Number -Assigned]]&amp;" "&amp;Master[[#This Row],[Inventory Suffix]]&amp;" "&amp;Master[[#This Row],[Inventory Type - Lookup Picker]]</f>
        <v>W6 59665  SD</v>
      </c>
      <c r="D79" s="7" t="str">
        <f>IF(Master[[#This Row],[Collector Voucher Number]]="","",Master[[#This Row],[Collector Voucher Number]])</f>
        <v>UT080-323</v>
      </c>
      <c r="E79" s="76" t="str">
        <f>IF(Master[[#This Row],[Voucher Location (1)]]="","",Master[[#This Row],[Voucher Location (1)]])</f>
        <v/>
      </c>
      <c r="F79" s="7" t="str">
        <f t="shared" si="2"/>
        <v>mm/dd/yyyy</v>
      </c>
      <c r="G79" s="2">
        <f>IF(Master[[#This Row],[Voucher Date]]="","",Master[[#This Row],[Voucher Date]])</f>
        <v>44011</v>
      </c>
      <c r="H79" s="17" t="str">
        <f>IF(Master[[#This Row],[Voucher Collector -name, organization]]="","",Master[[#This Row],[Voucher Collector -name, organization]])</f>
        <v/>
      </c>
      <c r="I79" s="7" t="str">
        <f>IF(Master[[#This Row],[Note (Voucher)]]="","",Master[[#This Row],[Note (Voucher)]])</f>
        <v/>
      </c>
    </row>
    <row r="80" spans="2:9" x14ac:dyDescent="0.25">
      <c r="B80" s="7" t="str">
        <f>Master[[#This Row],[Accession Prefix (NPGS)]]&amp;" "&amp;Master[[#This Row],[Accession Number -Assigned]]</f>
        <v>W6 59666</v>
      </c>
      <c r="C80" s="7" t="str">
        <f>Master[[#This Row],[Accession Prefix (NPGS)]]&amp;" "&amp;Master[[#This Row],[Accession Number -Assigned]]&amp;" "&amp;Master[[#This Row],[Inventory Suffix]]&amp;" "&amp;Master[[#This Row],[Inventory Type - Lookup Picker]]</f>
        <v>W6 59666  SD</v>
      </c>
      <c r="D80" s="7" t="str">
        <f>IF(Master[[#This Row],[Collector Voucher Number]]="","",Master[[#This Row],[Collector Voucher Number]])</f>
        <v>UT080-324</v>
      </c>
      <c r="E80" s="76" t="str">
        <f>IF(Master[[#This Row],[Voucher Location (1)]]="","",Master[[#This Row],[Voucher Location (1)]])</f>
        <v/>
      </c>
      <c r="F80" s="7" t="str">
        <f t="shared" si="2"/>
        <v>mm/dd/yyyy</v>
      </c>
      <c r="G80" s="2">
        <f>IF(Master[[#This Row],[Voucher Date]]="","",Master[[#This Row],[Voucher Date]])</f>
        <v>44012</v>
      </c>
      <c r="H80" s="17" t="str">
        <f>IF(Master[[#This Row],[Voucher Collector -name, organization]]="","",Master[[#This Row],[Voucher Collector -name, organization]])</f>
        <v/>
      </c>
      <c r="I80" s="7" t="str">
        <f>IF(Master[[#This Row],[Note (Voucher)]]="","",Master[[#This Row],[Note (Voucher)]])</f>
        <v/>
      </c>
    </row>
    <row r="81" spans="2:9" x14ac:dyDescent="0.25">
      <c r="B81" s="7" t="str">
        <f>Master[[#This Row],[Accession Prefix (NPGS)]]&amp;" "&amp;Master[[#This Row],[Accession Number -Assigned]]</f>
        <v>W6 59667</v>
      </c>
      <c r="C81" s="7" t="str">
        <f>Master[[#This Row],[Accession Prefix (NPGS)]]&amp;" "&amp;Master[[#This Row],[Accession Number -Assigned]]&amp;" "&amp;Master[[#This Row],[Inventory Suffix]]&amp;" "&amp;Master[[#This Row],[Inventory Type - Lookup Picker]]</f>
        <v>W6 59667  SD</v>
      </c>
      <c r="D81" s="7" t="str">
        <f>IF(Master[[#This Row],[Collector Voucher Number]]="","",Master[[#This Row],[Collector Voucher Number]])</f>
        <v>UT080-325</v>
      </c>
      <c r="E81" s="76" t="str">
        <f>IF(Master[[#This Row],[Voucher Location (1)]]="","",Master[[#This Row],[Voucher Location (1)]])</f>
        <v/>
      </c>
      <c r="F81" s="7" t="str">
        <f t="shared" si="2"/>
        <v>mm/dd/yyyy</v>
      </c>
      <c r="G81" s="2">
        <f>IF(Master[[#This Row],[Voucher Date]]="","",Master[[#This Row],[Voucher Date]])</f>
        <v>44012</v>
      </c>
      <c r="H81" s="17" t="str">
        <f>IF(Master[[#This Row],[Voucher Collector -name, organization]]="","",Master[[#This Row],[Voucher Collector -name, organization]])</f>
        <v/>
      </c>
      <c r="I81" s="7" t="str">
        <f>IF(Master[[#This Row],[Note (Voucher)]]="","",Master[[#This Row],[Note (Voucher)]])</f>
        <v/>
      </c>
    </row>
    <row r="82" spans="2:9" x14ac:dyDescent="0.25">
      <c r="B82" s="7" t="str">
        <f>Master[[#This Row],[Accession Prefix (NPGS)]]&amp;" "&amp;Master[[#This Row],[Accession Number -Assigned]]</f>
        <v>W6 59668</v>
      </c>
      <c r="C82" s="7" t="str">
        <f>Master[[#This Row],[Accession Prefix (NPGS)]]&amp;" "&amp;Master[[#This Row],[Accession Number -Assigned]]&amp;" "&amp;Master[[#This Row],[Inventory Suffix]]&amp;" "&amp;Master[[#This Row],[Inventory Type - Lookup Picker]]</f>
        <v>W6 59668  SD</v>
      </c>
      <c r="D82" s="7" t="str">
        <f>IF(Master[[#This Row],[Collector Voucher Number]]="","",Master[[#This Row],[Collector Voucher Number]])</f>
        <v>UT080-326</v>
      </c>
      <c r="E82" s="76" t="str">
        <f>IF(Master[[#This Row],[Voucher Location (1)]]="","",Master[[#This Row],[Voucher Location (1)]])</f>
        <v/>
      </c>
      <c r="F82" s="7" t="str">
        <f t="shared" si="2"/>
        <v>mm/dd/yyyy</v>
      </c>
      <c r="G82" s="2">
        <f>IF(Master[[#This Row],[Voucher Date]]="","",Master[[#This Row],[Voucher Date]])</f>
        <v>44019</v>
      </c>
      <c r="H82" s="17" t="str">
        <f>IF(Master[[#This Row],[Voucher Collector -name, organization]]="","",Master[[#This Row],[Voucher Collector -name, organization]])</f>
        <v/>
      </c>
      <c r="I82" s="7" t="str">
        <f>IF(Master[[#This Row],[Note (Voucher)]]="","",Master[[#This Row],[Note (Voucher)]])</f>
        <v/>
      </c>
    </row>
    <row r="83" spans="2:9" x14ac:dyDescent="0.25">
      <c r="B83" s="7" t="str">
        <f>Master[[#This Row],[Accession Prefix (NPGS)]]&amp;" "&amp;Master[[#This Row],[Accession Number -Assigned]]</f>
        <v>W6 59669</v>
      </c>
      <c r="C83" s="7" t="str">
        <f>Master[[#This Row],[Accession Prefix (NPGS)]]&amp;" "&amp;Master[[#This Row],[Accession Number -Assigned]]&amp;" "&amp;Master[[#This Row],[Inventory Suffix]]&amp;" "&amp;Master[[#This Row],[Inventory Type - Lookup Picker]]</f>
        <v>W6 59669  SD</v>
      </c>
      <c r="D83" s="7" t="str">
        <f>IF(Master[[#This Row],[Collector Voucher Number]]="","",Master[[#This Row],[Collector Voucher Number]])</f>
        <v>UT080-327</v>
      </c>
      <c r="E83" s="76" t="str">
        <f>IF(Master[[#This Row],[Voucher Location (1)]]="","",Master[[#This Row],[Voucher Location (1)]])</f>
        <v/>
      </c>
      <c r="F83" s="7" t="str">
        <f t="shared" si="2"/>
        <v>mm/dd/yyyy</v>
      </c>
      <c r="G83" s="2">
        <f>IF(Master[[#This Row],[Voucher Date]]="","",Master[[#This Row],[Voucher Date]])</f>
        <v>44053</v>
      </c>
      <c r="H83" s="17" t="str">
        <f>IF(Master[[#This Row],[Voucher Collector -name, organization]]="","",Master[[#This Row],[Voucher Collector -name, organization]])</f>
        <v/>
      </c>
      <c r="I83" s="7" t="str">
        <f>IF(Master[[#This Row],[Note (Voucher)]]="","",Master[[#This Row],[Note (Voucher)]])</f>
        <v/>
      </c>
    </row>
    <row r="84" spans="2:9" x14ac:dyDescent="0.25">
      <c r="B84" s="7" t="str">
        <f>Master[[#This Row],[Accession Prefix (NPGS)]]&amp;" "&amp;Master[[#This Row],[Accession Number -Assigned]]</f>
        <v>W6 59670</v>
      </c>
      <c r="C84" s="7" t="str">
        <f>Master[[#This Row],[Accession Prefix (NPGS)]]&amp;" "&amp;Master[[#This Row],[Accession Number -Assigned]]&amp;" "&amp;Master[[#This Row],[Inventory Suffix]]&amp;" "&amp;Master[[#This Row],[Inventory Type - Lookup Picker]]</f>
        <v>W6 59670  SD</v>
      </c>
      <c r="D84" s="7" t="str">
        <f>IF(Master[[#This Row],[Collector Voucher Number]]="","",Master[[#This Row],[Collector Voucher Number]])</f>
        <v>UT080-329</v>
      </c>
      <c r="E84" s="76" t="str">
        <f>IF(Master[[#This Row],[Voucher Location (1)]]="","",Master[[#This Row],[Voucher Location (1)]])</f>
        <v/>
      </c>
      <c r="F84" s="7" t="str">
        <f t="shared" si="2"/>
        <v>mm/dd/yyyy</v>
      </c>
      <c r="G84" s="2">
        <f>IF(Master[[#This Row],[Voucher Date]]="","",Master[[#This Row],[Voucher Date]])</f>
        <v>44075</v>
      </c>
      <c r="H84" s="17" t="str">
        <f>IF(Master[[#This Row],[Voucher Collector -name, organization]]="","",Master[[#This Row],[Voucher Collector -name, organization]])</f>
        <v/>
      </c>
      <c r="I84" s="7" t="str">
        <f>IF(Master[[#This Row],[Note (Voucher)]]="","",Master[[#This Row],[Note (Voucher)]])</f>
        <v/>
      </c>
    </row>
    <row r="85" spans="2:9" x14ac:dyDescent="0.25">
      <c r="B85" s="7" t="str">
        <f>Master[[#This Row],[Accession Prefix (NPGS)]]&amp;" "&amp;Master[[#This Row],[Accession Number -Assigned]]</f>
        <v>W6 59671</v>
      </c>
      <c r="C85" s="7" t="str">
        <f>Master[[#This Row],[Accession Prefix (NPGS)]]&amp;" "&amp;Master[[#This Row],[Accession Number -Assigned]]&amp;" "&amp;Master[[#This Row],[Inventory Suffix]]&amp;" "&amp;Master[[#This Row],[Inventory Type - Lookup Picker]]</f>
        <v>W6 59671  SD</v>
      </c>
      <c r="D85" s="7" t="str">
        <f>IF(Master[[#This Row],[Collector Voucher Number]]="","",Master[[#This Row],[Collector Voucher Number]])</f>
        <v>UT080-330</v>
      </c>
      <c r="E85" s="76" t="str">
        <f>IF(Master[[#This Row],[Voucher Location (1)]]="","",Master[[#This Row],[Voucher Location (1)]])</f>
        <v/>
      </c>
      <c r="F85" s="7" t="str">
        <f t="shared" si="2"/>
        <v>mm/dd/yyyy</v>
      </c>
      <c r="G85" s="2">
        <f>IF(Master[[#This Row],[Voucher Date]]="","",Master[[#This Row],[Voucher Date]])</f>
        <v>44075</v>
      </c>
      <c r="H85" s="17" t="str">
        <f>IF(Master[[#This Row],[Voucher Collector -name, organization]]="","",Master[[#This Row],[Voucher Collector -name, organization]])</f>
        <v/>
      </c>
      <c r="I85" s="7" t="str">
        <f>IF(Master[[#This Row],[Note (Voucher)]]="","",Master[[#This Row],[Note (Voucher)]])</f>
        <v/>
      </c>
    </row>
    <row r="86" spans="2:9" x14ac:dyDescent="0.25">
      <c r="B86" s="7" t="str">
        <f>Master[[#This Row],[Accession Prefix (NPGS)]]&amp;" "&amp;Master[[#This Row],[Accession Number -Assigned]]</f>
        <v>W6 59672</v>
      </c>
      <c r="C86" s="7" t="str">
        <f>Master[[#This Row],[Accession Prefix (NPGS)]]&amp;" "&amp;Master[[#This Row],[Accession Number -Assigned]]&amp;" "&amp;Master[[#This Row],[Inventory Suffix]]&amp;" "&amp;Master[[#This Row],[Inventory Type - Lookup Picker]]</f>
        <v>W6 59672  SD</v>
      </c>
      <c r="D86" s="7" t="str">
        <f>IF(Master[[#This Row],[Collector Voucher Number]]="","",Master[[#This Row],[Collector Voucher Number]])</f>
        <v>UT080-336</v>
      </c>
      <c r="E86" s="76" t="str">
        <f>IF(Master[[#This Row],[Voucher Location (1)]]="","",Master[[#This Row],[Voucher Location (1)]])</f>
        <v/>
      </c>
      <c r="F86" s="7" t="str">
        <f t="shared" ref="F86:F117" si="3">"mm/dd/yyyy"</f>
        <v>mm/dd/yyyy</v>
      </c>
      <c r="G86" s="2">
        <f>IF(Master[[#This Row],[Voucher Date]]="","",Master[[#This Row],[Voucher Date]])</f>
        <v>44028</v>
      </c>
      <c r="H86" s="17" t="str">
        <f>IF(Master[[#This Row],[Voucher Collector -name, organization]]="","",Master[[#This Row],[Voucher Collector -name, organization]])</f>
        <v/>
      </c>
      <c r="I86" s="7" t="str">
        <f>IF(Master[[#This Row],[Note (Voucher)]]="","",Master[[#This Row],[Note (Voucher)]])</f>
        <v/>
      </c>
    </row>
    <row r="87" spans="2:9" x14ac:dyDescent="0.25">
      <c r="B87" s="7" t="str">
        <f>Master[[#This Row],[Accession Prefix (NPGS)]]&amp;" "&amp;Master[[#This Row],[Accession Number -Assigned]]</f>
        <v>W6 59673</v>
      </c>
      <c r="C87" s="7" t="str">
        <f>Master[[#This Row],[Accession Prefix (NPGS)]]&amp;" "&amp;Master[[#This Row],[Accession Number -Assigned]]&amp;" "&amp;Master[[#This Row],[Inventory Suffix]]&amp;" "&amp;Master[[#This Row],[Inventory Type - Lookup Picker]]</f>
        <v>W6 59673  SD</v>
      </c>
      <c r="D87" s="7" t="str">
        <f>IF(Master[[#This Row],[Collector Voucher Number]]="","",Master[[#This Row],[Collector Voucher Number]])</f>
        <v>UT080-337</v>
      </c>
      <c r="E87" s="76" t="str">
        <f>IF(Master[[#This Row],[Voucher Location (1)]]="","",Master[[#This Row],[Voucher Location (1)]])</f>
        <v/>
      </c>
      <c r="F87" s="7" t="str">
        <f t="shared" si="3"/>
        <v>mm/dd/yyyy</v>
      </c>
      <c r="G87" s="2">
        <f>IF(Master[[#This Row],[Voucher Date]]="","",Master[[#This Row],[Voucher Date]])</f>
        <v>44063</v>
      </c>
      <c r="H87" s="17" t="str">
        <f>IF(Master[[#This Row],[Voucher Collector -name, organization]]="","",Master[[#This Row],[Voucher Collector -name, organization]])</f>
        <v/>
      </c>
      <c r="I87" s="7" t="str">
        <f>IF(Master[[#This Row],[Note (Voucher)]]="","",Master[[#This Row],[Note (Voucher)]])</f>
        <v/>
      </c>
    </row>
    <row r="88" spans="2:9" x14ac:dyDescent="0.25">
      <c r="B88" s="7" t="str">
        <f>Master[[#This Row],[Accession Prefix (NPGS)]]&amp;" "&amp;Master[[#This Row],[Accession Number -Assigned]]</f>
        <v>W6 59674</v>
      </c>
      <c r="C88" s="7" t="str">
        <f>Master[[#This Row],[Accession Prefix (NPGS)]]&amp;" "&amp;Master[[#This Row],[Accession Number -Assigned]]&amp;" "&amp;Master[[#This Row],[Inventory Suffix]]&amp;" "&amp;Master[[#This Row],[Inventory Type - Lookup Picker]]</f>
        <v>W6 59674  SD</v>
      </c>
      <c r="D88" s="7" t="str">
        <f>IF(Master[[#This Row],[Collector Voucher Number]]="","",Master[[#This Row],[Collector Voucher Number]])</f>
        <v>UT080-338</v>
      </c>
      <c r="E88" s="76" t="str">
        <f>IF(Master[[#This Row],[Voucher Location (1)]]="","",Master[[#This Row],[Voucher Location (1)]])</f>
        <v/>
      </c>
      <c r="F88" s="7" t="str">
        <f t="shared" si="3"/>
        <v>mm/dd/yyyy</v>
      </c>
      <c r="G88" s="2">
        <f>IF(Master[[#This Row],[Voucher Date]]="","",Master[[#This Row],[Voucher Date]])</f>
        <v>44040</v>
      </c>
      <c r="H88" s="17" t="str">
        <f>IF(Master[[#This Row],[Voucher Collector -name, organization]]="","",Master[[#This Row],[Voucher Collector -name, organization]])</f>
        <v/>
      </c>
      <c r="I88" s="7" t="str">
        <f>IF(Master[[#This Row],[Note (Voucher)]]="","",Master[[#This Row],[Note (Voucher)]])</f>
        <v/>
      </c>
    </row>
    <row r="89" spans="2:9" x14ac:dyDescent="0.25">
      <c r="B89" s="7" t="str">
        <f>Master[[#This Row],[Accession Prefix (NPGS)]]&amp;" "&amp;Master[[#This Row],[Accession Number -Assigned]]</f>
        <v>W6 59675</v>
      </c>
      <c r="C89" s="7" t="str">
        <f>Master[[#This Row],[Accession Prefix (NPGS)]]&amp;" "&amp;Master[[#This Row],[Accession Number -Assigned]]&amp;" "&amp;Master[[#This Row],[Inventory Suffix]]&amp;" "&amp;Master[[#This Row],[Inventory Type - Lookup Picker]]</f>
        <v>W6 59675  SD</v>
      </c>
      <c r="D89" s="7" t="str">
        <f>IF(Master[[#This Row],[Collector Voucher Number]]="","",Master[[#This Row],[Collector Voucher Number]])</f>
        <v>UT080-340</v>
      </c>
      <c r="E89" s="76" t="str">
        <f>IF(Master[[#This Row],[Voucher Location (1)]]="","",Master[[#This Row],[Voucher Location (1)]])</f>
        <v/>
      </c>
      <c r="F89" s="7" t="str">
        <f t="shared" si="3"/>
        <v>mm/dd/yyyy</v>
      </c>
      <c r="G89" s="2">
        <f>IF(Master[[#This Row],[Voucher Date]]="","",Master[[#This Row],[Voucher Date]])</f>
        <v>44063</v>
      </c>
      <c r="H89" s="17" t="str">
        <f>IF(Master[[#This Row],[Voucher Collector -name, organization]]="","",Master[[#This Row],[Voucher Collector -name, organization]])</f>
        <v/>
      </c>
      <c r="I89" s="7" t="str">
        <f>IF(Master[[#This Row],[Note (Voucher)]]="","",Master[[#This Row],[Note (Voucher)]])</f>
        <v/>
      </c>
    </row>
    <row r="90" spans="2:9" x14ac:dyDescent="0.25">
      <c r="B90" s="7" t="str">
        <f>Master[[#This Row],[Accession Prefix (NPGS)]]&amp;" "&amp;Master[[#This Row],[Accession Number -Assigned]]</f>
        <v>W6 59676</v>
      </c>
      <c r="C90" s="7" t="str">
        <f>Master[[#This Row],[Accession Prefix (NPGS)]]&amp;" "&amp;Master[[#This Row],[Accession Number -Assigned]]&amp;" "&amp;Master[[#This Row],[Inventory Suffix]]&amp;" "&amp;Master[[#This Row],[Inventory Type - Lookup Picker]]</f>
        <v>W6 59676  SD</v>
      </c>
      <c r="D90" s="7" t="str">
        <f>IF(Master[[#This Row],[Collector Voucher Number]]="","",Master[[#This Row],[Collector Voucher Number]])</f>
        <v>UT080-342</v>
      </c>
      <c r="E90" s="76" t="str">
        <f>IF(Master[[#This Row],[Voucher Location (1)]]="","",Master[[#This Row],[Voucher Location (1)]])</f>
        <v/>
      </c>
      <c r="F90" s="7" t="str">
        <f t="shared" si="3"/>
        <v>mm/dd/yyyy</v>
      </c>
      <c r="G90" s="2">
        <f>IF(Master[[#This Row],[Voucher Date]]="","",Master[[#This Row],[Voucher Date]])</f>
        <v>44063</v>
      </c>
      <c r="H90" s="17" t="str">
        <f>IF(Master[[#This Row],[Voucher Collector -name, organization]]="","",Master[[#This Row],[Voucher Collector -name, organization]])</f>
        <v/>
      </c>
      <c r="I90" s="7" t="str">
        <f>IF(Master[[#This Row],[Note (Voucher)]]="","",Master[[#This Row],[Note (Voucher)]])</f>
        <v/>
      </c>
    </row>
    <row r="91" spans="2:9" x14ac:dyDescent="0.25">
      <c r="B91" s="7" t="str">
        <f>Master[[#This Row],[Accession Prefix (NPGS)]]&amp;" "&amp;Master[[#This Row],[Accession Number -Assigned]]</f>
        <v>W6 59677</v>
      </c>
      <c r="C91" s="7" t="str">
        <f>Master[[#This Row],[Accession Prefix (NPGS)]]&amp;" "&amp;Master[[#This Row],[Accession Number -Assigned]]&amp;" "&amp;Master[[#This Row],[Inventory Suffix]]&amp;" "&amp;Master[[#This Row],[Inventory Type - Lookup Picker]]</f>
        <v>W6 59677  SD</v>
      </c>
      <c r="D91" s="7" t="str">
        <f>IF(Master[[#This Row],[Collector Voucher Number]]="","",Master[[#This Row],[Collector Voucher Number]])</f>
        <v>UT080-343</v>
      </c>
      <c r="E91" s="76" t="str">
        <f>IF(Master[[#This Row],[Voucher Location (1)]]="","",Master[[#This Row],[Voucher Location (1)]])</f>
        <v/>
      </c>
      <c r="F91" s="7" t="str">
        <f t="shared" si="3"/>
        <v>mm/dd/yyyy</v>
      </c>
      <c r="G91" s="2">
        <f>IF(Master[[#This Row],[Voucher Date]]="","",Master[[#This Row],[Voucher Date]])</f>
        <v>44063</v>
      </c>
      <c r="H91" s="17" t="str">
        <f>IF(Master[[#This Row],[Voucher Collector -name, organization]]="","",Master[[#This Row],[Voucher Collector -name, organization]])</f>
        <v/>
      </c>
      <c r="I91" s="7" t="str">
        <f>IF(Master[[#This Row],[Note (Voucher)]]="","",Master[[#This Row],[Note (Voucher)]])</f>
        <v/>
      </c>
    </row>
    <row r="92" spans="2:9" x14ac:dyDescent="0.25">
      <c r="B92" s="7" t="str">
        <f>Master[[#This Row],[Accession Prefix (NPGS)]]&amp;" "&amp;Master[[#This Row],[Accession Number -Assigned]]</f>
        <v>W6 59678</v>
      </c>
      <c r="C92" s="7" t="str">
        <f>Master[[#This Row],[Accession Prefix (NPGS)]]&amp;" "&amp;Master[[#This Row],[Accession Number -Assigned]]&amp;" "&amp;Master[[#This Row],[Inventory Suffix]]&amp;" "&amp;Master[[#This Row],[Inventory Type - Lookup Picker]]</f>
        <v>W6 59678  SD</v>
      </c>
      <c r="D92" s="7" t="str">
        <f>IF(Master[[#This Row],[Collector Voucher Number]]="","",Master[[#This Row],[Collector Voucher Number]])</f>
        <v>UT080-344</v>
      </c>
      <c r="E92" s="76" t="str">
        <f>IF(Master[[#This Row],[Voucher Location (1)]]="","",Master[[#This Row],[Voucher Location (1)]])</f>
        <v/>
      </c>
      <c r="F92" s="7" t="str">
        <f t="shared" si="3"/>
        <v>mm/dd/yyyy</v>
      </c>
      <c r="G92" s="2">
        <f>IF(Master[[#This Row],[Voucher Date]]="","",Master[[#This Row],[Voucher Date]])</f>
        <v>44109</v>
      </c>
      <c r="H92" s="17" t="str">
        <f>IF(Master[[#This Row],[Voucher Collector -name, organization]]="","",Master[[#This Row],[Voucher Collector -name, organization]])</f>
        <v/>
      </c>
      <c r="I92" s="7" t="str">
        <f>IF(Master[[#This Row],[Note (Voucher)]]="","",Master[[#This Row],[Note (Voucher)]])</f>
        <v/>
      </c>
    </row>
    <row r="93" spans="2:9" x14ac:dyDescent="0.25">
      <c r="B93" s="7" t="str">
        <f>Master[[#This Row],[Accession Prefix (NPGS)]]&amp;" "&amp;Master[[#This Row],[Accession Number -Assigned]]</f>
        <v>W6 59679</v>
      </c>
      <c r="C93" s="7" t="str">
        <f>Master[[#This Row],[Accession Prefix (NPGS)]]&amp;" "&amp;Master[[#This Row],[Accession Number -Assigned]]&amp;" "&amp;Master[[#This Row],[Inventory Suffix]]&amp;" "&amp;Master[[#This Row],[Inventory Type - Lookup Picker]]</f>
        <v>W6 59679  SD</v>
      </c>
      <c r="D93" s="7" t="str">
        <f>IF(Master[[#This Row],[Collector Voucher Number]]="","",Master[[#This Row],[Collector Voucher Number]])</f>
        <v>UT080-345</v>
      </c>
      <c r="E93" s="76" t="str">
        <f>IF(Master[[#This Row],[Voucher Location (1)]]="","",Master[[#This Row],[Voucher Location (1)]])</f>
        <v/>
      </c>
      <c r="F93" s="7" t="str">
        <f t="shared" si="3"/>
        <v>mm/dd/yyyy</v>
      </c>
      <c r="G93" s="2">
        <f>IF(Master[[#This Row],[Voucher Date]]="","",Master[[#This Row],[Voucher Date]])</f>
        <v>44085</v>
      </c>
      <c r="H93" s="17" t="str">
        <f>IF(Master[[#This Row],[Voucher Collector -name, organization]]="","",Master[[#This Row],[Voucher Collector -name, organization]])</f>
        <v/>
      </c>
      <c r="I93" s="7" t="str">
        <f>IF(Master[[#This Row],[Note (Voucher)]]="","",Master[[#This Row],[Note (Voucher)]])</f>
        <v/>
      </c>
    </row>
    <row r="94" spans="2:9" x14ac:dyDescent="0.25">
      <c r="B94" s="7" t="str">
        <f>Master[[#This Row],[Accession Prefix (NPGS)]]&amp;" "&amp;Master[[#This Row],[Accession Number -Assigned]]</f>
        <v>W6 59680</v>
      </c>
      <c r="C94" s="7" t="str">
        <f>Master[[#This Row],[Accession Prefix (NPGS)]]&amp;" "&amp;Master[[#This Row],[Accession Number -Assigned]]&amp;" "&amp;Master[[#This Row],[Inventory Suffix]]&amp;" "&amp;Master[[#This Row],[Inventory Type - Lookup Picker]]</f>
        <v>W6 59680  SD</v>
      </c>
      <c r="D94" s="7" t="str">
        <f>IF(Master[[#This Row],[Collector Voucher Number]]="","",Master[[#This Row],[Collector Voucher Number]])</f>
        <v>UT080-348</v>
      </c>
      <c r="E94" s="76" t="str">
        <f>IF(Master[[#This Row],[Voucher Location (1)]]="","",Master[[#This Row],[Voucher Location (1)]])</f>
        <v/>
      </c>
      <c r="F94" s="7" t="str">
        <f t="shared" si="3"/>
        <v>mm/dd/yyyy</v>
      </c>
      <c r="G94" s="2">
        <f>IF(Master[[#This Row],[Voucher Date]]="","",Master[[#This Row],[Voucher Date]])</f>
        <v>44089</v>
      </c>
      <c r="H94" s="17" t="str">
        <f>IF(Master[[#This Row],[Voucher Collector -name, organization]]="","",Master[[#This Row],[Voucher Collector -name, organization]])</f>
        <v/>
      </c>
      <c r="I94" s="7" t="str">
        <f>IF(Master[[#This Row],[Note (Voucher)]]="","",Master[[#This Row],[Note (Voucher)]])</f>
        <v/>
      </c>
    </row>
    <row r="95" spans="2:9" x14ac:dyDescent="0.25">
      <c r="B95" s="7" t="str">
        <f>Master[[#This Row],[Accession Prefix (NPGS)]]&amp;" "&amp;Master[[#This Row],[Accession Number -Assigned]]</f>
        <v>W6 59681</v>
      </c>
      <c r="C95" s="7" t="str">
        <f>Master[[#This Row],[Accession Prefix (NPGS)]]&amp;" "&amp;Master[[#This Row],[Accession Number -Assigned]]&amp;" "&amp;Master[[#This Row],[Inventory Suffix]]&amp;" "&amp;Master[[#This Row],[Inventory Type - Lookup Picker]]</f>
        <v>W6 59681  SD</v>
      </c>
      <c r="D95" s="7" t="str">
        <f>IF(Master[[#This Row],[Collector Voucher Number]]="","",Master[[#This Row],[Collector Voucher Number]])</f>
        <v>UT080-351</v>
      </c>
      <c r="E95" s="76" t="str">
        <f>IF(Master[[#This Row],[Voucher Location (1)]]="","",Master[[#This Row],[Voucher Location (1)]])</f>
        <v/>
      </c>
      <c r="F95" s="7" t="str">
        <f t="shared" si="3"/>
        <v>mm/dd/yyyy</v>
      </c>
      <c r="G95" s="2">
        <f>IF(Master[[#This Row],[Voucher Date]]="","",Master[[#This Row],[Voucher Date]])</f>
        <v>44063</v>
      </c>
      <c r="H95" s="17" t="str">
        <f>IF(Master[[#This Row],[Voucher Collector -name, organization]]="","",Master[[#This Row],[Voucher Collector -name, organization]])</f>
        <v/>
      </c>
      <c r="I95" s="7" t="str">
        <f>IF(Master[[#This Row],[Note (Voucher)]]="","",Master[[#This Row],[Note (Voucher)]])</f>
        <v/>
      </c>
    </row>
    <row r="96" spans="2:9" x14ac:dyDescent="0.25">
      <c r="B96" s="7" t="str">
        <f>Master[[#This Row],[Accession Prefix (NPGS)]]&amp;" "&amp;Master[[#This Row],[Accession Number -Assigned]]</f>
        <v>W6 59682</v>
      </c>
      <c r="C96" s="7" t="str">
        <f>Master[[#This Row],[Accession Prefix (NPGS)]]&amp;" "&amp;Master[[#This Row],[Accession Number -Assigned]]&amp;" "&amp;Master[[#This Row],[Inventory Suffix]]&amp;" "&amp;Master[[#This Row],[Inventory Type - Lookup Picker]]</f>
        <v>W6 59682  SD</v>
      </c>
      <c r="D96" s="7" t="str">
        <f>IF(Master[[#This Row],[Collector Voucher Number]]="","",Master[[#This Row],[Collector Voucher Number]])</f>
        <v>UT080-352</v>
      </c>
      <c r="E96" s="76" t="str">
        <f>IF(Master[[#This Row],[Voucher Location (1)]]="","",Master[[#This Row],[Voucher Location (1)]])</f>
        <v/>
      </c>
      <c r="F96" s="7" t="str">
        <f t="shared" si="3"/>
        <v>mm/dd/yyyy</v>
      </c>
      <c r="G96" s="2">
        <f>IF(Master[[#This Row],[Voucher Date]]="","",Master[[#This Row],[Voucher Date]])</f>
        <v>44104</v>
      </c>
      <c r="H96" s="17" t="str">
        <f>IF(Master[[#This Row],[Voucher Collector -name, organization]]="","",Master[[#This Row],[Voucher Collector -name, organization]])</f>
        <v/>
      </c>
      <c r="I96" s="7" t="str">
        <f>IF(Master[[#This Row],[Note (Voucher)]]="","",Master[[#This Row],[Note (Voucher)]])</f>
        <v/>
      </c>
    </row>
    <row r="97" spans="2:9" x14ac:dyDescent="0.25">
      <c r="B97" s="7" t="str">
        <f>Master[[#This Row],[Accession Prefix (NPGS)]]&amp;" "&amp;Master[[#This Row],[Accession Number -Assigned]]</f>
        <v>W6 59683</v>
      </c>
      <c r="C97" s="7" t="str">
        <f>Master[[#This Row],[Accession Prefix (NPGS)]]&amp;" "&amp;Master[[#This Row],[Accession Number -Assigned]]&amp;" "&amp;Master[[#This Row],[Inventory Suffix]]&amp;" "&amp;Master[[#This Row],[Inventory Type - Lookup Picker]]</f>
        <v>W6 59683  SD</v>
      </c>
      <c r="D97" s="7" t="str">
        <f>IF(Master[[#This Row],[Collector Voucher Number]]="","",Master[[#This Row],[Collector Voucher Number]])</f>
        <v>WY050-229</v>
      </c>
      <c r="E97" s="76" t="str">
        <f>IF(Master[[#This Row],[Voucher Location (1)]]="","",Master[[#This Row],[Voucher Location (1)]])</f>
        <v/>
      </c>
      <c r="F97" s="7" t="str">
        <f t="shared" si="3"/>
        <v>mm/dd/yyyy</v>
      </c>
      <c r="G97" s="2" t="str">
        <f>IF(Master[[#This Row],[Voucher Date]]="","",Master[[#This Row],[Voucher Date]])</f>
        <v/>
      </c>
      <c r="H97" s="17" t="str">
        <f>IF(Master[[#This Row],[Voucher Collector -name, organization]]="","",Master[[#This Row],[Voucher Collector -name, organization]])</f>
        <v>Emma Freeland, BLM Natural Resources Specialist:In Field:08 JUL 2020</v>
      </c>
      <c r="I97" s="7" t="str">
        <f>IF(Master[[#This Row],[Note (Voucher)]]="","",Master[[#This Row],[Note (Voucher)]])</f>
        <v/>
      </c>
    </row>
    <row r="98" spans="2:9" x14ac:dyDescent="0.25">
      <c r="B98" s="7" t="str">
        <f>Master[[#This Row],[Accession Prefix (NPGS)]]&amp;" "&amp;Master[[#This Row],[Accession Number -Assigned]]</f>
        <v>W6 59684</v>
      </c>
      <c r="C98" s="7" t="str">
        <f>Master[[#This Row],[Accession Prefix (NPGS)]]&amp;" "&amp;Master[[#This Row],[Accession Number -Assigned]]&amp;" "&amp;Master[[#This Row],[Inventory Suffix]]&amp;" "&amp;Master[[#This Row],[Inventory Type - Lookup Picker]]</f>
        <v>W6 59684  SD</v>
      </c>
      <c r="D98" s="7" t="str">
        <f>IF(Master[[#This Row],[Collector Voucher Number]]="","",Master[[#This Row],[Collector Voucher Number]])</f>
        <v>WY070-76</v>
      </c>
      <c r="E98" s="76" t="str">
        <f>IF(Master[[#This Row],[Voucher Location (1)]]="","",Master[[#This Row],[Voucher Location (1)]])</f>
        <v>Smithsonian (US)</v>
      </c>
      <c r="F98" s="7" t="str">
        <f t="shared" si="3"/>
        <v>mm/dd/yyyy</v>
      </c>
      <c r="G98" s="2">
        <f>IF(Master[[#This Row],[Voucher Date]]="","",Master[[#This Row],[Voucher Date]])</f>
        <v>43997</v>
      </c>
      <c r="H98" s="17" t="str">
        <f>IF(Master[[#This Row],[Voucher Collector -name, organization]]="","",Master[[#This Row],[Voucher Collector -name, organization]])</f>
        <v>SOS Field Crew - Buffalo, WY:In Field:15 JUN 2020</v>
      </c>
      <c r="I98" s="7" t="str">
        <f>IF(Master[[#This Row],[Note (Voucher)]]="","",Master[[#This Row],[Note (Voucher)]])</f>
        <v/>
      </c>
    </row>
    <row r="99" spans="2:9" x14ac:dyDescent="0.25">
      <c r="B99" s="7" t="str">
        <f>Master[[#This Row],[Accession Prefix (NPGS)]]&amp;" "&amp;Master[[#This Row],[Accession Number -Assigned]]</f>
        <v>W6 59685</v>
      </c>
      <c r="C99" s="7" t="str">
        <f>Master[[#This Row],[Accession Prefix (NPGS)]]&amp;" "&amp;Master[[#This Row],[Accession Number -Assigned]]&amp;" "&amp;Master[[#This Row],[Inventory Suffix]]&amp;" "&amp;Master[[#This Row],[Inventory Type - Lookup Picker]]</f>
        <v>W6 59685  SD</v>
      </c>
      <c r="D99" s="7" t="str">
        <f>IF(Master[[#This Row],[Collector Voucher Number]]="","",Master[[#This Row],[Collector Voucher Number]])</f>
        <v>WY070-77</v>
      </c>
      <c r="E99" s="76" t="str">
        <f>IF(Master[[#This Row],[Voucher Location (1)]]="","",Master[[#This Row],[Voucher Location (1)]])</f>
        <v>Smithsonian (US)</v>
      </c>
      <c r="F99" s="7" t="str">
        <f t="shared" si="3"/>
        <v>mm/dd/yyyy</v>
      </c>
      <c r="G99" s="2">
        <f>IF(Master[[#This Row],[Voucher Date]]="","",Master[[#This Row],[Voucher Date]])</f>
        <v>43998</v>
      </c>
      <c r="H99" s="17" t="str">
        <f>IF(Master[[#This Row],[Voucher Collector -name, organization]]="","",Master[[#This Row],[Voucher Collector -name, organization]])</f>
        <v>SOS Field Crew-Buffalo, WY:In Field:16 JUN 2020</v>
      </c>
      <c r="I99" s="7" t="str">
        <f>IF(Master[[#This Row],[Note (Voucher)]]="","",Master[[#This Row],[Note (Voucher)]])</f>
        <v/>
      </c>
    </row>
    <row r="100" spans="2:9" x14ac:dyDescent="0.25">
      <c r="B100" s="7" t="str">
        <f>Master[[#This Row],[Accession Prefix (NPGS)]]&amp;" "&amp;Master[[#This Row],[Accession Number -Assigned]]</f>
        <v>W6 59686</v>
      </c>
      <c r="C100" s="7" t="str">
        <f>Master[[#This Row],[Accession Prefix (NPGS)]]&amp;" "&amp;Master[[#This Row],[Accession Number -Assigned]]&amp;" "&amp;Master[[#This Row],[Inventory Suffix]]&amp;" "&amp;Master[[#This Row],[Inventory Type - Lookup Picker]]</f>
        <v>W6 59686  SD</v>
      </c>
      <c r="D100" s="7" t="str">
        <f>IF(Master[[#This Row],[Collector Voucher Number]]="","",Master[[#This Row],[Collector Voucher Number]])</f>
        <v>WY070-78</v>
      </c>
      <c r="E100" s="76" t="str">
        <f>IF(Master[[#This Row],[Voucher Location (1)]]="","",Master[[#This Row],[Voucher Location (1)]])</f>
        <v>Smithsonian (US)</v>
      </c>
      <c r="F100" s="7" t="str">
        <f t="shared" si="3"/>
        <v>mm/dd/yyyy</v>
      </c>
      <c r="G100" s="2">
        <f>IF(Master[[#This Row],[Voucher Date]]="","",Master[[#This Row],[Voucher Date]])</f>
        <v>43991</v>
      </c>
      <c r="H100" s="17" t="str">
        <f>IF(Master[[#This Row],[Voucher Collector -name, organization]]="","",Master[[#This Row],[Voucher Collector -name, organization]])</f>
        <v>SOS Field Crew-Buffalo, WY:In Field:09 JUN 2020</v>
      </c>
      <c r="I100" s="7" t="str">
        <f>IF(Master[[#This Row],[Note (Voucher)]]="","",Master[[#This Row],[Note (Voucher)]])</f>
        <v/>
      </c>
    </row>
    <row r="101" spans="2:9" x14ac:dyDescent="0.25">
      <c r="B101" s="7" t="str">
        <f>Master[[#This Row],[Accession Prefix (NPGS)]]&amp;" "&amp;Master[[#This Row],[Accession Number -Assigned]]</f>
        <v>W6 59687</v>
      </c>
      <c r="C101" s="7" t="str">
        <f>Master[[#This Row],[Accession Prefix (NPGS)]]&amp;" "&amp;Master[[#This Row],[Accession Number -Assigned]]&amp;" "&amp;Master[[#This Row],[Inventory Suffix]]&amp;" "&amp;Master[[#This Row],[Inventory Type - Lookup Picker]]</f>
        <v>W6 59687  SD</v>
      </c>
      <c r="D101" s="7" t="str">
        <f>IF(Master[[#This Row],[Collector Voucher Number]]="","",Master[[#This Row],[Collector Voucher Number]])</f>
        <v>WY070-79</v>
      </c>
      <c r="E101" s="76" t="str">
        <f>IF(Master[[#This Row],[Voucher Location (1)]]="","",Master[[#This Row],[Voucher Location (1)]])</f>
        <v>Smithsonian (US)</v>
      </c>
      <c r="F101" s="7" t="str">
        <f t="shared" si="3"/>
        <v>mm/dd/yyyy</v>
      </c>
      <c r="G101" s="2">
        <f>IF(Master[[#This Row],[Voucher Date]]="","",Master[[#This Row],[Voucher Date]])</f>
        <v>44005</v>
      </c>
      <c r="H101" s="17" t="str">
        <f>IF(Master[[#This Row],[Voucher Collector -name, organization]]="","",Master[[#This Row],[Voucher Collector -name, organization]])</f>
        <v>SOS Field Crew-Buffalo, WY:In Field:23 JUN 2020</v>
      </c>
      <c r="I101" s="7" t="str">
        <f>IF(Master[[#This Row],[Note (Voucher)]]="","",Master[[#This Row],[Note (Voucher)]])</f>
        <v/>
      </c>
    </row>
    <row r="102" spans="2:9" x14ac:dyDescent="0.25">
      <c r="B102" s="7" t="str">
        <f>Master[[#This Row],[Accession Prefix (NPGS)]]&amp;" "&amp;Master[[#This Row],[Accession Number -Assigned]]</f>
        <v>W6 59688</v>
      </c>
      <c r="C102" s="7" t="str">
        <f>Master[[#This Row],[Accession Prefix (NPGS)]]&amp;" "&amp;Master[[#This Row],[Accession Number -Assigned]]&amp;" "&amp;Master[[#This Row],[Inventory Suffix]]&amp;" "&amp;Master[[#This Row],[Inventory Type - Lookup Picker]]</f>
        <v>W6 59688  SD</v>
      </c>
      <c r="D102" s="7" t="str">
        <f>IF(Master[[#This Row],[Collector Voucher Number]]="","",Master[[#This Row],[Collector Voucher Number]])</f>
        <v>WY070-80</v>
      </c>
      <c r="E102" s="76" t="str">
        <f>IF(Master[[#This Row],[Voucher Location (1)]]="","",Master[[#This Row],[Voucher Location (1)]])</f>
        <v>Smithsonian (US)</v>
      </c>
      <c r="F102" s="7" t="str">
        <f t="shared" si="3"/>
        <v>mm/dd/yyyy</v>
      </c>
      <c r="G102" s="2">
        <f>IF(Master[[#This Row],[Voucher Date]]="","",Master[[#This Row],[Voucher Date]])</f>
        <v>43986</v>
      </c>
      <c r="H102" s="17" t="str">
        <f>IF(Master[[#This Row],[Voucher Collector -name, organization]]="","",Master[[#This Row],[Voucher Collector -name, organization]])</f>
        <v>SOS Field Crew-Buffalo, WY:In Field:04 JUN 2020</v>
      </c>
      <c r="I102" s="7" t="str">
        <f>IF(Master[[#This Row],[Note (Voucher)]]="","",Master[[#This Row],[Note (Voucher)]])</f>
        <v/>
      </c>
    </row>
    <row r="103" spans="2:9" x14ac:dyDescent="0.25">
      <c r="B103" s="7" t="str">
        <f>Master[[#This Row],[Accession Prefix (NPGS)]]&amp;" "&amp;Master[[#This Row],[Accession Number -Assigned]]</f>
        <v>W6 59689</v>
      </c>
      <c r="C103" s="7" t="str">
        <f>Master[[#This Row],[Accession Prefix (NPGS)]]&amp;" "&amp;Master[[#This Row],[Accession Number -Assigned]]&amp;" "&amp;Master[[#This Row],[Inventory Suffix]]&amp;" "&amp;Master[[#This Row],[Inventory Type - Lookup Picker]]</f>
        <v>W6 59689  SD</v>
      </c>
      <c r="D103" s="7" t="str">
        <f>IF(Master[[#This Row],[Collector Voucher Number]]="","",Master[[#This Row],[Collector Voucher Number]])</f>
        <v>WY070-81</v>
      </c>
      <c r="E103" s="76" t="str">
        <f>IF(Master[[#This Row],[Voucher Location (1)]]="","",Master[[#This Row],[Voucher Location (1)]])</f>
        <v>Smithsonian (US)</v>
      </c>
      <c r="F103" s="7" t="str">
        <f t="shared" si="3"/>
        <v>mm/dd/yyyy</v>
      </c>
      <c r="G103" s="2">
        <f>IF(Master[[#This Row],[Voucher Date]]="","",Master[[#This Row],[Voucher Date]])</f>
        <v>43991</v>
      </c>
      <c r="H103" s="17" t="str">
        <f>IF(Master[[#This Row],[Voucher Collector -name, organization]]="","",Master[[#This Row],[Voucher Collector -name, organization]])</f>
        <v>Buffalo SOS Field Crew:In Field:09 JUN 2020</v>
      </c>
      <c r="I103" s="7" t="str">
        <f>IF(Master[[#This Row],[Note (Voucher)]]="","",Master[[#This Row],[Note (Voucher)]])</f>
        <v/>
      </c>
    </row>
    <row r="104" spans="2:9" x14ac:dyDescent="0.25">
      <c r="B104" s="7" t="str">
        <f>Master[[#This Row],[Accession Prefix (NPGS)]]&amp;" "&amp;Master[[#This Row],[Accession Number -Assigned]]</f>
        <v>W6 59690</v>
      </c>
      <c r="C104" s="7" t="str">
        <f>Master[[#This Row],[Accession Prefix (NPGS)]]&amp;" "&amp;Master[[#This Row],[Accession Number -Assigned]]&amp;" "&amp;Master[[#This Row],[Inventory Suffix]]&amp;" "&amp;Master[[#This Row],[Inventory Type - Lookup Picker]]</f>
        <v>W6 59690  SD</v>
      </c>
      <c r="D104" s="7" t="str">
        <f>IF(Master[[#This Row],[Collector Voucher Number]]="","",Master[[#This Row],[Collector Voucher Number]])</f>
        <v>WY070-82</v>
      </c>
      <c r="E104" s="76" t="str">
        <f>IF(Master[[#This Row],[Voucher Location (1)]]="","",Master[[#This Row],[Voucher Location (1)]])</f>
        <v>Smithsonian (US)</v>
      </c>
      <c r="F104" s="7" t="str">
        <f t="shared" si="3"/>
        <v>mm/dd/yyyy</v>
      </c>
      <c r="G104" s="2">
        <f>IF(Master[[#This Row],[Voucher Date]]="","",Master[[#This Row],[Voucher Date]])</f>
        <v>43991</v>
      </c>
      <c r="H104" s="17" t="str">
        <f>IF(Master[[#This Row],[Voucher Collector -name, organization]]="","",Master[[#This Row],[Voucher Collector -name, organization]])</f>
        <v>SOS Field Crew-Buffalo:In Field:09 JUN 2020</v>
      </c>
      <c r="I104" s="7" t="str">
        <f>IF(Master[[#This Row],[Note (Voucher)]]="","",Master[[#This Row],[Note (Voucher)]])</f>
        <v/>
      </c>
    </row>
    <row r="105" spans="2:9" x14ac:dyDescent="0.25">
      <c r="B105" s="7" t="str">
        <f>Master[[#This Row],[Accession Prefix (NPGS)]]&amp;" "&amp;Master[[#This Row],[Accession Number -Assigned]]</f>
        <v>W6 59691</v>
      </c>
      <c r="C105" s="7" t="str">
        <f>Master[[#This Row],[Accession Prefix (NPGS)]]&amp;" "&amp;Master[[#This Row],[Accession Number -Assigned]]&amp;" "&amp;Master[[#This Row],[Inventory Suffix]]&amp;" "&amp;Master[[#This Row],[Inventory Type - Lookup Picker]]</f>
        <v>W6 59691  SD</v>
      </c>
      <c r="D105" s="7" t="str">
        <f>IF(Master[[#This Row],[Collector Voucher Number]]="","",Master[[#This Row],[Collector Voucher Number]])</f>
        <v>WY070-83</v>
      </c>
      <c r="E105" s="76" t="str">
        <f>IF(Master[[#This Row],[Voucher Location (1)]]="","",Master[[#This Row],[Voucher Location (1)]])</f>
        <v>Smithsonian (US)</v>
      </c>
      <c r="F105" s="7" t="str">
        <f t="shared" si="3"/>
        <v>mm/dd/yyyy</v>
      </c>
      <c r="G105" s="2">
        <f>IF(Master[[#This Row],[Voucher Date]]="","",Master[[#This Row],[Voucher Date]])</f>
        <v>43999</v>
      </c>
      <c r="H105" s="17" t="str">
        <f>IF(Master[[#This Row],[Voucher Collector -name, organization]]="","",Master[[#This Row],[Voucher Collector -name, organization]])</f>
        <v>SOS Field Crew- Buffalo, WY:In Field:17 JUN 2020</v>
      </c>
      <c r="I105" s="7" t="str">
        <f>IF(Master[[#This Row],[Note (Voucher)]]="","",Master[[#This Row],[Note (Voucher)]])</f>
        <v/>
      </c>
    </row>
    <row r="106" spans="2:9" x14ac:dyDescent="0.25">
      <c r="B106" s="7" t="str">
        <f>Master[[#This Row],[Accession Prefix (NPGS)]]&amp;" "&amp;Master[[#This Row],[Accession Number -Assigned]]</f>
        <v>W6 59692</v>
      </c>
      <c r="C106" s="7" t="str">
        <f>Master[[#This Row],[Accession Prefix (NPGS)]]&amp;" "&amp;Master[[#This Row],[Accession Number -Assigned]]&amp;" "&amp;Master[[#This Row],[Inventory Suffix]]&amp;" "&amp;Master[[#This Row],[Inventory Type - Lookup Picker]]</f>
        <v>W6 59692  SD</v>
      </c>
      <c r="D106" s="7" t="str">
        <f>IF(Master[[#This Row],[Collector Voucher Number]]="","",Master[[#This Row],[Collector Voucher Number]])</f>
        <v>WY070-84</v>
      </c>
      <c r="E106" s="76" t="str">
        <f>IF(Master[[#This Row],[Voucher Location (1)]]="","",Master[[#This Row],[Voucher Location (1)]])</f>
        <v>Smithsonian (US)</v>
      </c>
      <c r="F106" s="7" t="str">
        <f t="shared" si="3"/>
        <v>mm/dd/yyyy</v>
      </c>
      <c r="G106" s="2">
        <f>IF(Master[[#This Row],[Voucher Date]]="","",Master[[#This Row],[Voucher Date]])</f>
        <v>43992</v>
      </c>
      <c r="H106" s="17" t="str">
        <f>IF(Master[[#This Row],[Voucher Collector -name, organization]]="","",Master[[#This Row],[Voucher Collector -name, organization]])</f>
        <v>SOS Field Crew - Buffalo, WY:In Field:10 JUN 2020</v>
      </c>
      <c r="I106" s="7" t="str">
        <f>IF(Master[[#This Row],[Note (Voucher)]]="","",Master[[#This Row],[Note (Voucher)]])</f>
        <v/>
      </c>
    </row>
    <row r="107" spans="2:9" x14ac:dyDescent="0.25">
      <c r="B107" s="7" t="str">
        <f>Master[[#This Row],[Accession Prefix (NPGS)]]&amp;" "&amp;Master[[#This Row],[Accession Number -Assigned]]</f>
        <v>W6 59693</v>
      </c>
      <c r="C107" s="7" t="str">
        <f>Master[[#This Row],[Accession Prefix (NPGS)]]&amp;" "&amp;Master[[#This Row],[Accession Number -Assigned]]&amp;" "&amp;Master[[#This Row],[Inventory Suffix]]&amp;" "&amp;Master[[#This Row],[Inventory Type - Lookup Picker]]</f>
        <v>W6 59693  SD</v>
      </c>
      <c r="D107" s="7" t="str">
        <f>IF(Master[[#This Row],[Collector Voucher Number]]="","",Master[[#This Row],[Collector Voucher Number]])</f>
        <v>WY070-85</v>
      </c>
      <c r="E107" s="76" t="str">
        <f>IF(Master[[#This Row],[Voucher Location (1)]]="","",Master[[#This Row],[Voucher Location (1)]])</f>
        <v>Smithsonian (US)</v>
      </c>
      <c r="F107" s="7" t="str">
        <f t="shared" si="3"/>
        <v>mm/dd/yyyy</v>
      </c>
      <c r="G107" s="2">
        <f>IF(Master[[#This Row],[Voucher Date]]="","",Master[[#This Row],[Voucher Date]])</f>
        <v>43986</v>
      </c>
      <c r="H107" s="17" t="str">
        <f>IF(Master[[#This Row],[Voucher Collector -name, organization]]="","",Master[[#This Row],[Voucher Collector -name, organization]])</f>
        <v>SOS Field Crew-Buffalo, WY:In Field:04 JUN 2020</v>
      </c>
      <c r="I107" s="7" t="str">
        <f>IF(Master[[#This Row],[Note (Voucher)]]="","",Master[[#This Row],[Note (Voucher)]])</f>
        <v/>
      </c>
    </row>
    <row r="108" spans="2:9" x14ac:dyDescent="0.25">
      <c r="B108" s="7" t="str">
        <f>Master[[#This Row],[Accession Prefix (NPGS)]]&amp;" "&amp;Master[[#This Row],[Accession Number -Assigned]]</f>
        <v>W6 59694</v>
      </c>
      <c r="C108" s="7" t="str">
        <f>Master[[#This Row],[Accession Prefix (NPGS)]]&amp;" "&amp;Master[[#This Row],[Accession Number -Assigned]]&amp;" "&amp;Master[[#This Row],[Inventory Suffix]]&amp;" "&amp;Master[[#This Row],[Inventory Type - Lookup Picker]]</f>
        <v>W6 59694  SD</v>
      </c>
      <c r="D108" s="7" t="str">
        <f>IF(Master[[#This Row],[Collector Voucher Number]]="","",Master[[#This Row],[Collector Voucher Number]])</f>
        <v>WY070-86</v>
      </c>
      <c r="E108" s="76" t="str">
        <f>IF(Master[[#This Row],[Voucher Location (1)]]="","",Master[[#This Row],[Voucher Location (1)]])</f>
        <v>Smithsonian (US)</v>
      </c>
      <c r="F108" s="7" t="str">
        <f t="shared" si="3"/>
        <v>mm/dd/yyyy</v>
      </c>
      <c r="G108" s="2">
        <f>IF(Master[[#This Row],[Voucher Date]]="","",Master[[#This Row],[Voucher Date]])</f>
        <v>44012</v>
      </c>
      <c r="H108" s="17" t="str">
        <f>IF(Master[[#This Row],[Voucher Collector -name, organization]]="","",Master[[#This Row],[Voucher Collector -name, organization]])</f>
        <v>SOS Field Crew - Buffalo WY:In Field:30 JUN 2020</v>
      </c>
      <c r="I108" s="7" t="str">
        <f>IF(Master[[#This Row],[Note (Voucher)]]="","",Master[[#This Row],[Note (Voucher)]])</f>
        <v/>
      </c>
    </row>
    <row r="109" spans="2:9" x14ac:dyDescent="0.25">
      <c r="B109" s="7" t="str">
        <f>Master[[#This Row],[Accession Prefix (NPGS)]]&amp;" "&amp;Master[[#This Row],[Accession Number -Assigned]]</f>
        <v>W6 59695</v>
      </c>
      <c r="C109" s="7" t="str">
        <f>Master[[#This Row],[Accession Prefix (NPGS)]]&amp;" "&amp;Master[[#This Row],[Accession Number -Assigned]]&amp;" "&amp;Master[[#This Row],[Inventory Suffix]]&amp;" "&amp;Master[[#This Row],[Inventory Type - Lookup Picker]]</f>
        <v>W6 59695  SD</v>
      </c>
      <c r="D109" s="7" t="str">
        <f>IF(Master[[#This Row],[Collector Voucher Number]]="","",Master[[#This Row],[Collector Voucher Number]])</f>
        <v>WY070-87</v>
      </c>
      <c r="E109" s="76" t="str">
        <f>IF(Master[[#This Row],[Voucher Location (1)]]="","",Master[[#This Row],[Voucher Location (1)]])</f>
        <v>Smithsonian (US)</v>
      </c>
      <c r="F109" s="7" t="str">
        <f t="shared" si="3"/>
        <v>mm/dd/yyyy</v>
      </c>
      <c r="G109" s="2">
        <f>IF(Master[[#This Row],[Voucher Date]]="","",Master[[#This Row],[Voucher Date]])</f>
        <v>44005</v>
      </c>
      <c r="H109" s="17" t="str">
        <f>IF(Master[[#This Row],[Voucher Collector -name, organization]]="","",Master[[#This Row],[Voucher Collector -name, organization]])</f>
        <v>SOS Field Crew-Buffalo, WY:In Field:23 JUN 2020</v>
      </c>
      <c r="I109" s="7" t="str">
        <f>IF(Master[[#This Row],[Note (Voucher)]]="","",Master[[#This Row],[Note (Voucher)]])</f>
        <v/>
      </c>
    </row>
    <row r="110" spans="2:9" x14ac:dyDescent="0.25">
      <c r="B110" s="7" t="str">
        <f>Master[[#This Row],[Accession Prefix (NPGS)]]&amp;" "&amp;Master[[#This Row],[Accession Number -Assigned]]</f>
        <v>W6 59696</v>
      </c>
      <c r="C110" s="7" t="str">
        <f>Master[[#This Row],[Accession Prefix (NPGS)]]&amp;" "&amp;Master[[#This Row],[Accession Number -Assigned]]&amp;" "&amp;Master[[#This Row],[Inventory Suffix]]&amp;" "&amp;Master[[#This Row],[Inventory Type - Lookup Picker]]</f>
        <v>W6 59696  SD</v>
      </c>
      <c r="D110" s="7" t="str">
        <f>IF(Master[[#This Row],[Collector Voucher Number]]="","",Master[[#This Row],[Collector Voucher Number]])</f>
        <v>WY070-88</v>
      </c>
      <c r="E110" s="76" t="str">
        <f>IF(Master[[#This Row],[Voucher Location (1)]]="","",Master[[#This Row],[Voucher Location (1)]])</f>
        <v>Smithsonian (US)</v>
      </c>
      <c r="F110" s="7" t="str">
        <f t="shared" si="3"/>
        <v>mm/dd/yyyy</v>
      </c>
      <c r="G110" s="2">
        <f>IF(Master[[#This Row],[Voucher Date]]="","",Master[[#This Row],[Voucher Date]])</f>
        <v>44006</v>
      </c>
      <c r="H110" s="17" t="str">
        <f>IF(Master[[#This Row],[Voucher Collector -name, organization]]="","",Master[[#This Row],[Voucher Collector -name, organization]])</f>
        <v>Buffalo SOS Field Crew:In Field:24 JUN 2020</v>
      </c>
      <c r="I110" s="7" t="str">
        <f>IF(Master[[#This Row],[Note (Voucher)]]="","",Master[[#This Row],[Note (Voucher)]])</f>
        <v/>
      </c>
    </row>
    <row r="111" spans="2:9" x14ac:dyDescent="0.25">
      <c r="B111" s="7" t="str">
        <f>Master[[#This Row],[Accession Prefix (NPGS)]]&amp;" "&amp;Master[[#This Row],[Accession Number -Assigned]]</f>
        <v>W6 59697</v>
      </c>
      <c r="C111" s="7" t="str">
        <f>Master[[#This Row],[Accession Prefix (NPGS)]]&amp;" "&amp;Master[[#This Row],[Accession Number -Assigned]]&amp;" "&amp;Master[[#This Row],[Inventory Suffix]]&amp;" "&amp;Master[[#This Row],[Inventory Type - Lookup Picker]]</f>
        <v>W6 59697  SD</v>
      </c>
      <c r="D111" s="7" t="str">
        <f>IF(Master[[#This Row],[Collector Voucher Number]]="","",Master[[#This Row],[Collector Voucher Number]])</f>
        <v>WY070-89</v>
      </c>
      <c r="E111" s="76" t="str">
        <f>IF(Master[[#This Row],[Voucher Location (1)]]="","",Master[[#This Row],[Voucher Location (1)]])</f>
        <v>Smithsonian (US)</v>
      </c>
      <c r="F111" s="7" t="str">
        <f t="shared" si="3"/>
        <v>mm/dd/yyyy</v>
      </c>
      <c r="G111" s="2">
        <f>IF(Master[[#This Row],[Voucher Date]]="","",Master[[#This Row],[Voucher Date]])</f>
        <v>44006</v>
      </c>
      <c r="H111" s="17" t="str">
        <f>IF(Master[[#This Row],[Voucher Collector -name, organization]]="","",Master[[#This Row],[Voucher Collector -name, organization]])</f>
        <v>Buffalo SOS Field Crew:From pressed specimen on day of collection:24 JUN 2020</v>
      </c>
      <c r="I111" s="7" t="str">
        <f>IF(Master[[#This Row],[Note (Voucher)]]="","",Master[[#This Row],[Note (Voucher)]])</f>
        <v/>
      </c>
    </row>
    <row r="112" spans="2:9" x14ac:dyDescent="0.25">
      <c r="B112" s="7" t="str">
        <f>Master[[#This Row],[Accession Prefix (NPGS)]]&amp;" "&amp;Master[[#This Row],[Accession Number -Assigned]]</f>
        <v>W6 59698</v>
      </c>
      <c r="C112" s="7" t="str">
        <f>Master[[#This Row],[Accession Prefix (NPGS)]]&amp;" "&amp;Master[[#This Row],[Accession Number -Assigned]]&amp;" "&amp;Master[[#This Row],[Inventory Suffix]]&amp;" "&amp;Master[[#This Row],[Inventory Type - Lookup Picker]]</f>
        <v>W6 59698  SD</v>
      </c>
      <c r="D112" s="7" t="str">
        <f>IF(Master[[#This Row],[Collector Voucher Number]]="","",Master[[#This Row],[Collector Voucher Number]])</f>
        <v>WY070-90</v>
      </c>
      <c r="E112" s="76" t="str">
        <f>IF(Master[[#This Row],[Voucher Location (1)]]="","",Master[[#This Row],[Voucher Location (1)]])</f>
        <v>Smithsonian (US)</v>
      </c>
      <c r="F112" s="7" t="str">
        <f t="shared" si="3"/>
        <v>mm/dd/yyyy</v>
      </c>
      <c r="G112" s="2">
        <f>IF(Master[[#This Row],[Voucher Date]]="","",Master[[#This Row],[Voucher Date]])</f>
        <v>43992</v>
      </c>
      <c r="H112" s="17" t="str">
        <f>IF(Master[[#This Row],[Voucher Collector -name, organization]]="","",Master[[#This Row],[Voucher Collector -name, organization]])</f>
        <v>SOS Field Crew-Buffalo, WY:In Field:10 JUN 2020</v>
      </c>
      <c r="I112" s="7" t="str">
        <f>IF(Master[[#This Row],[Note (Voucher)]]="","",Master[[#This Row],[Note (Voucher)]])</f>
        <v/>
      </c>
    </row>
    <row r="113" spans="2:9" x14ac:dyDescent="0.25">
      <c r="B113" s="7" t="str">
        <f>Master[[#This Row],[Accession Prefix (NPGS)]]&amp;" "&amp;Master[[#This Row],[Accession Number -Assigned]]</f>
        <v>W6 59699</v>
      </c>
      <c r="C113" s="7" t="str">
        <f>Master[[#This Row],[Accession Prefix (NPGS)]]&amp;" "&amp;Master[[#This Row],[Accession Number -Assigned]]&amp;" "&amp;Master[[#This Row],[Inventory Suffix]]&amp;" "&amp;Master[[#This Row],[Inventory Type - Lookup Picker]]</f>
        <v>W6 59699  SD</v>
      </c>
      <c r="D113" s="7" t="str">
        <f>IF(Master[[#This Row],[Collector Voucher Number]]="","",Master[[#This Row],[Collector Voucher Number]])</f>
        <v>WY070-92</v>
      </c>
      <c r="E113" s="76" t="str">
        <f>IF(Master[[#This Row],[Voucher Location (1)]]="","",Master[[#This Row],[Voucher Location (1)]])</f>
        <v/>
      </c>
      <c r="F113" s="7" t="str">
        <f t="shared" si="3"/>
        <v>mm/dd/yyyy</v>
      </c>
      <c r="G113" s="2" t="str">
        <f>IF(Master[[#This Row],[Voucher Date]]="","",Master[[#This Row],[Voucher Date]])</f>
        <v/>
      </c>
      <c r="H113" s="17" t="str">
        <f>IF(Master[[#This Row],[Voucher Collector -name, organization]]="","",Master[[#This Row],[Voucher Collector -name, organization]])</f>
        <v>Buffalo SOS Field Crew:In Field:27 JUL 2020</v>
      </c>
      <c r="I113" s="7" t="str">
        <f>IF(Master[[#This Row],[Note (Voucher)]]="","",Master[[#This Row],[Note (Voucher)]])</f>
        <v/>
      </c>
    </row>
    <row r="114" spans="2:9" x14ac:dyDescent="0.25">
      <c r="B114" s="7" t="str">
        <f>Master[[#This Row],[Accession Prefix (NPGS)]]&amp;" "&amp;Master[[#This Row],[Accession Number -Assigned]]</f>
        <v>W6 59700</v>
      </c>
      <c r="C114" s="7" t="str">
        <f>Master[[#This Row],[Accession Prefix (NPGS)]]&amp;" "&amp;Master[[#This Row],[Accession Number -Assigned]]&amp;" "&amp;Master[[#This Row],[Inventory Suffix]]&amp;" "&amp;Master[[#This Row],[Inventory Type - Lookup Picker]]</f>
        <v>W6 59700  SD</v>
      </c>
      <c r="D114" s="7" t="str">
        <f>IF(Master[[#This Row],[Collector Voucher Number]]="","",Master[[#This Row],[Collector Voucher Number]])</f>
        <v>WY070-93</v>
      </c>
      <c r="E114" s="76" t="str">
        <f>IF(Master[[#This Row],[Voucher Location (1)]]="","",Master[[#This Row],[Voucher Location (1)]])</f>
        <v/>
      </c>
      <c r="F114" s="7" t="str">
        <f t="shared" si="3"/>
        <v>mm/dd/yyyy</v>
      </c>
      <c r="G114" s="2" t="str">
        <f>IF(Master[[#This Row],[Voucher Date]]="","",Master[[#This Row],[Voucher Date]])</f>
        <v/>
      </c>
      <c r="H114" s="17" t="str">
        <f>IF(Master[[#This Row],[Voucher Collector -name, organization]]="","",Master[[#This Row],[Voucher Collector -name, organization]])</f>
        <v>Buffalo SOS Field Crew:In Field:03 AUG 0202</v>
      </c>
      <c r="I114" s="7" t="str">
        <f>IF(Master[[#This Row],[Note (Voucher)]]="","",Master[[#This Row],[Note (Voucher)]])</f>
        <v/>
      </c>
    </row>
    <row r="115" spans="2:9" x14ac:dyDescent="0.25">
      <c r="B115" s="7" t="str">
        <f>Master[[#This Row],[Accession Prefix (NPGS)]]&amp;" "&amp;Master[[#This Row],[Accession Number -Assigned]]</f>
        <v>W6 59701</v>
      </c>
      <c r="C115" s="7" t="str">
        <f>Master[[#This Row],[Accession Prefix (NPGS)]]&amp;" "&amp;Master[[#This Row],[Accession Number -Assigned]]&amp;" "&amp;Master[[#This Row],[Inventory Suffix]]&amp;" "&amp;Master[[#This Row],[Inventory Type - Lookup Picker]]</f>
        <v>W6 59701  SD</v>
      </c>
      <c r="D115" s="7" t="str">
        <f>IF(Master[[#This Row],[Collector Voucher Number]]="","",Master[[#This Row],[Collector Voucher Number]])</f>
        <v>WY070-94</v>
      </c>
      <c r="E115" s="76" t="str">
        <f>IF(Master[[#This Row],[Voucher Location (1)]]="","",Master[[#This Row],[Voucher Location (1)]])</f>
        <v>Smithsonian (US)</v>
      </c>
      <c r="F115" s="7" t="str">
        <f t="shared" si="3"/>
        <v>mm/dd/yyyy</v>
      </c>
      <c r="G115" s="2">
        <f>IF(Master[[#This Row],[Voucher Date]]="","",Master[[#This Row],[Voucher Date]])</f>
        <v>44048</v>
      </c>
      <c r="H115" s="17" t="str">
        <f>IF(Master[[#This Row],[Voucher Collector -name, organization]]="","",Master[[#This Row],[Voucher Collector -name, organization]])</f>
        <v>Buffalo SOS Field Crew:In Field:05 AUG 2020</v>
      </c>
      <c r="I115" s="7" t="str">
        <f>IF(Master[[#This Row],[Note (Voucher)]]="","",Master[[#This Row],[Note (Voucher)]])</f>
        <v/>
      </c>
    </row>
    <row r="116" spans="2:9" x14ac:dyDescent="0.25">
      <c r="B116" s="7" t="str">
        <f>Master[[#This Row],[Accession Prefix (NPGS)]]&amp;" "&amp;Master[[#This Row],[Accession Number -Assigned]]</f>
        <v>W6 59702</v>
      </c>
      <c r="C116" s="7" t="str">
        <f>Master[[#This Row],[Accession Prefix (NPGS)]]&amp;" "&amp;Master[[#This Row],[Accession Number -Assigned]]&amp;" "&amp;Master[[#This Row],[Inventory Suffix]]&amp;" "&amp;Master[[#This Row],[Inventory Type - Lookup Picker]]</f>
        <v>W6 59702  SD</v>
      </c>
      <c r="D116" s="7" t="str">
        <f>IF(Master[[#This Row],[Collector Voucher Number]]="","",Master[[#This Row],[Collector Voucher Number]])</f>
        <v>WY070-95</v>
      </c>
      <c r="E116" s="76" t="str">
        <f>IF(Master[[#This Row],[Voucher Location (1)]]="","",Master[[#This Row],[Voucher Location (1)]])</f>
        <v/>
      </c>
      <c r="F116" s="7" t="str">
        <f t="shared" si="3"/>
        <v>mm/dd/yyyy</v>
      </c>
      <c r="G116" s="2" t="str">
        <f>IF(Master[[#This Row],[Voucher Date]]="","",Master[[#This Row],[Voucher Date]])</f>
        <v/>
      </c>
      <c r="H116" s="17" t="str">
        <f>IF(Master[[#This Row],[Voucher Collector -name, organization]]="","",Master[[#This Row],[Voucher Collector -name, organization]])</f>
        <v>Buffalo SOS Field Crew:In Field:05 AUG 2020</v>
      </c>
      <c r="I116" s="7" t="str">
        <f>IF(Master[[#This Row],[Note (Voucher)]]="","",Master[[#This Row],[Note (Voucher)]])</f>
        <v/>
      </c>
    </row>
    <row r="117" spans="2:9" x14ac:dyDescent="0.25">
      <c r="B117" s="7" t="str">
        <f>Master[[#This Row],[Accession Prefix (NPGS)]]&amp;" "&amp;Master[[#This Row],[Accession Number -Assigned]]</f>
        <v>W6 59703</v>
      </c>
      <c r="C117" s="7" t="str">
        <f>Master[[#This Row],[Accession Prefix (NPGS)]]&amp;" "&amp;Master[[#This Row],[Accession Number -Assigned]]&amp;" "&amp;Master[[#This Row],[Inventory Suffix]]&amp;" "&amp;Master[[#This Row],[Inventory Type - Lookup Picker]]</f>
        <v>W6 59703  SD</v>
      </c>
      <c r="D117" s="7" t="str">
        <f>IF(Master[[#This Row],[Collector Voucher Number]]="","",Master[[#This Row],[Collector Voucher Number]])</f>
        <v>WY070-96</v>
      </c>
      <c r="E117" s="76" t="str">
        <f>IF(Master[[#This Row],[Voucher Location (1)]]="","",Master[[#This Row],[Voucher Location (1)]])</f>
        <v>Smithsonian (US)</v>
      </c>
      <c r="F117" s="7" t="str">
        <f t="shared" si="3"/>
        <v>mm/dd/yyyy</v>
      </c>
      <c r="G117" s="2">
        <f>IF(Master[[#This Row],[Voucher Date]]="","",Master[[#This Row],[Voucher Date]])</f>
        <v>44049</v>
      </c>
      <c r="H117" s="17" t="str">
        <f>IF(Master[[#This Row],[Voucher Collector -name, organization]]="","",Master[[#This Row],[Voucher Collector -name, organization]])</f>
        <v>Buffalo SOS Field Crew:In Field:06 AUG 2020</v>
      </c>
      <c r="I117" s="7" t="str">
        <f>IF(Master[[#This Row],[Note (Voucher)]]="","",Master[[#This Row],[Note (Voucher)]])</f>
        <v/>
      </c>
    </row>
    <row r="118" spans="2:9" x14ac:dyDescent="0.25">
      <c r="B118" s="7" t="str">
        <f>Master[[#This Row],[Accession Prefix (NPGS)]]&amp;" "&amp;Master[[#This Row],[Accession Number -Assigned]]</f>
        <v>W6 59704</v>
      </c>
      <c r="C118" s="7" t="str">
        <f>Master[[#This Row],[Accession Prefix (NPGS)]]&amp;" "&amp;Master[[#This Row],[Accession Number -Assigned]]&amp;" "&amp;Master[[#This Row],[Inventory Suffix]]&amp;" "&amp;Master[[#This Row],[Inventory Type - Lookup Picker]]</f>
        <v>W6 59704  SD</v>
      </c>
      <c r="D118" s="7" t="str">
        <f>IF(Master[[#This Row],[Collector Voucher Number]]="","",Master[[#This Row],[Collector Voucher Number]])</f>
        <v>WY070-97</v>
      </c>
      <c r="E118" s="76" t="str">
        <f>IF(Master[[#This Row],[Voucher Location (1)]]="","",Master[[#This Row],[Voucher Location (1)]])</f>
        <v>Smithsonian (US)</v>
      </c>
      <c r="F118" s="7" t="str">
        <f t="shared" ref="F118:F149" si="4">"mm/dd/yyyy"</f>
        <v>mm/dd/yyyy</v>
      </c>
      <c r="G118" s="2">
        <f>IF(Master[[#This Row],[Voucher Date]]="","",Master[[#This Row],[Voucher Date]])</f>
        <v>44042</v>
      </c>
      <c r="H118" s="17" t="str">
        <f>IF(Master[[#This Row],[Voucher Collector -name, organization]]="","",Master[[#This Row],[Voucher Collector -name, organization]])</f>
        <v>Buffalo SOS Field Crew:In Field:30 JUL 2020</v>
      </c>
      <c r="I118" s="7" t="str">
        <f>IF(Master[[#This Row],[Note (Voucher)]]="","",Master[[#This Row],[Note (Voucher)]])</f>
        <v/>
      </c>
    </row>
    <row r="119" spans="2:9" x14ac:dyDescent="0.25">
      <c r="B119" s="7" t="str">
        <f>Master[[#This Row],[Accession Prefix (NPGS)]]&amp;" "&amp;Master[[#This Row],[Accession Number -Assigned]]</f>
        <v>W6 59705</v>
      </c>
      <c r="C119" s="7" t="str">
        <f>Master[[#This Row],[Accession Prefix (NPGS)]]&amp;" "&amp;Master[[#This Row],[Accession Number -Assigned]]&amp;" "&amp;Master[[#This Row],[Inventory Suffix]]&amp;" "&amp;Master[[#This Row],[Inventory Type - Lookup Picker]]</f>
        <v>W6 59705  SD</v>
      </c>
      <c r="D119" s="7" t="str">
        <f>IF(Master[[#This Row],[Collector Voucher Number]]="","",Master[[#This Row],[Collector Voucher Number]])</f>
        <v>WY070-98</v>
      </c>
      <c r="E119" s="76" t="str">
        <f>IF(Master[[#This Row],[Voucher Location (1)]]="","",Master[[#This Row],[Voucher Location (1)]])</f>
        <v>Smithsonian (US)</v>
      </c>
      <c r="F119" s="7" t="str">
        <f t="shared" si="4"/>
        <v>mm/dd/yyyy</v>
      </c>
      <c r="G119" s="2">
        <f>IF(Master[[#This Row],[Voucher Date]]="","",Master[[#This Row],[Voucher Date]])</f>
        <v>44056</v>
      </c>
      <c r="H119" s="17" t="str">
        <f>IF(Master[[#This Row],[Voucher Collector -name, organization]]="","",Master[[#This Row],[Voucher Collector -name, organization]])</f>
        <v>SOS Field Crew-Buffalo, WY:In Field:13 AUG 2020</v>
      </c>
      <c r="I119" s="7" t="str">
        <f>IF(Master[[#This Row],[Note (Voucher)]]="","",Master[[#This Row],[Note (Voucher)]])</f>
        <v/>
      </c>
    </row>
    <row r="120" spans="2:9" x14ac:dyDescent="0.25">
      <c r="B120" s="7" t="str">
        <f>Master[[#This Row],[Accession Prefix (NPGS)]]&amp;" "&amp;Master[[#This Row],[Accession Number -Assigned]]</f>
        <v>W6 59706</v>
      </c>
      <c r="C120" s="7" t="str">
        <f>Master[[#This Row],[Accession Prefix (NPGS)]]&amp;" "&amp;Master[[#This Row],[Accession Number -Assigned]]&amp;" "&amp;Master[[#This Row],[Inventory Suffix]]&amp;" "&amp;Master[[#This Row],[Inventory Type - Lookup Picker]]</f>
        <v>W6 59706  SD</v>
      </c>
      <c r="D120" s="7" t="str">
        <f>IF(Master[[#This Row],[Collector Voucher Number]]="","",Master[[#This Row],[Collector Voucher Number]])</f>
        <v>WY070-99</v>
      </c>
      <c r="E120" s="76" t="str">
        <f>IF(Master[[#This Row],[Voucher Location (1)]]="","",Master[[#This Row],[Voucher Location (1)]])</f>
        <v>Smithsonian (US)</v>
      </c>
      <c r="F120" s="7" t="str">
        <f t="shared" si="4"/>
        <v>mm/dd/yyyy</v>
      </c>
      <c r="G120" s="2">
        <f>IF(Master[[#This Row],[Voucher Date]]="","",Master[[#This Row],[Voucher Date]])</f>
        <v>44060</v>
      </c>
      <c r="H120" s="17" t="str">
        <f>IF(Master[[#This Row],[Voucher Collector -name, organization]]="","",Master[[#This Row],[Voucher Collector -name, organization]])</f>
        <v>SOS Field Crew-Buffalo, WY:In Field:17 AUG 2020</v>
      </c>
      <c r="I120" s="7" t="str">
        <f>IF(Master[[#This Row],[Note (Voucher)]]="","",Master[[#This Row],[Note (Voucher)]])</f>
        <v/>
      </c>
    </row>
    <row r="121" spans="2:9" x14ac:dyDescent="0.25">
      <c r="B121" s="7" t="str">
        <f>Master[[#This Row],[Accession Prefix (NPGS)]]&amp;" "&amp;Master[[#This Row],[Accession Number -Assigned]]</f>
        <v>W6 59707</v>
      </c>
      <c r="C121" s="7" t="str">
        <f>Master[[#This Row],[Accession Prefix (NPGS)]]&amp;" "&amp;Master[[#This Row],[Accession Number -Assigned]]&amp;" "&amp;Master[[#This Row],[Inventory Suffix]]&amp;" "&amp;Master[[#This Row],[Inventory Type - Lookup Picker]]</f>
        <v>W6 59707  SD</v>
      </c>
      <c r="D121" s="7" t="str">
        <f>IF(Master[[#This Row],[Collector Voucher Number]]="","",Master[[#This Row],[Collector Voucher Number]])</f>
        <v>WY070-100</v>
      </c>
      <c r="E121" s="76" t="str">
        <f>IF(Master[[#This Row],[Voucher Location (1)]]="","",Master[[#This Row],[Voucher Location (1)]])</f>
        <v>Smithsonian (US)</v>
      </c>
      <c r="F121" s="7" t="str">
        <f t="shared" si="4"/>
        <v>mm/dd/yyyy</v>
      </c>
      <c r="G121" s="2">
        <f>IF(Master[[#This Row],[Voucher Date]]="","",Master[[#This Row],[Voucher Date]])</f>
        <v>44039</v>
      </c>
      <c r="H121" s="17" t="str">
        <f>IF(Master[[#This Row],[Voucher Collector -name, organization]]="","",Master[[#This Row],[Voucher Collector -name, organization]])</f>
        <v>SOS Field Crew-Buffalo, WY:In Field:27 JUL 2020</v>
      </c>
      <c r="I121" s="7" t="str">
        <f>IF(Master[[#This Row],[Note (Voucher)]]="","",Master[[#This Row],[Note (Voucher)]])</f>
        <v/>
      </c>
    </row>
    <row r="122" spans="2:9" x14ac:dyDescent="0.25">
      <c r="B122" s="7" t="str">
        <f>Master[[#This Row],[Accession Prefix (NPGS)]]&amp;" "&amp;Master[[#This Row],[Accession Number -Assigned]]</f>
        <v>W6 59708</v>
      </c>
      <c r="C122" s="7" t="str">
        <f>Master[[#This Row],[Accession Prefix (NPGS)]]&amp;" "&amp;Master[[#This Row],[Accession Number -Assigned]]&amp;" "&amp;Master[[#This Row],[Inventory Suffix]]&amp;" "&amp;Master[[#This Row],[Inventory Type - Lookup Picker]]</f>
        <v>W6 59708  SD</v>
      </c>
      <c r="D122" s="7" t="str">
        <f>IF(Master[[#This Row],[Collector Voucher Number]]="","",Master[[#This Row],[Collector Voucher Number]])</f>
        <v>WY070-101</v>
      </c>
      <c r="E122" s="76" t="str">
        <f>IF(Master[[#This Row],[Voucher Location (1)]]="","",Master[[#This Row],[Voucher Location (1)]])</f>
        <v>Smithsonian (US)</v>
      </c>
      <c r="F122" s="7" t="str">
        <f t="shared" si="4"/>
        <v>mm/dd/yyyy</v>
      </c>
      <c r="G122" s="2">
        <f>IF(Master[[#This Row],[Voucher Date]]="","",Master[[#This Row],[Voucher Date]])</f>
        <v>44061</v>
      </c>
      <c r="H122" s="17" t="str">
        <f>IF(Master[[#This Row],[Voucher Collector -name, organization]]="","",Master[[#This Row],[Voucher Collector -name, organization]])</f>
        <v>SOS Field Crew-Buffalo, WY:In Field:18 AUG 2020</v>
      </c>
      <c r="I122" s="7" t="str">
        <f>IF(Master[[#This Row],[Note (Voucher)]]="","",Master[[#This Row],[Note (Voucher)]])</f>
        <v/>
      </c>
    </row>
    <row r="123" spans="2:9" x14ac:dyDescent="0.25">
      <c r="B123" s="7" t="str">
        <f>Master[[#This Row],[Accession Prefix (NPGS)]]&amp;" "&amp;Master[[#This Row],[Accession Number -Assigned]]</f>
        <v>W6 59709</v>
      </c>
      <c r="C123" s="7" t="str">
        <f>Master[[#This Row],[Accession Prefix (NPGS)]]&amp;" "&amp;Master[[#This Row],[Accession Number -Assigned]]&amp;" "&amp;Master[[#This Row],[Inventory Suffix]]&amp;" "&amp;Master[[#This Row],[Inventory Type - Lookup Picker]]</f>
        <v>W6 59709  SD</v>
      </c>
      <c r="D123" s="7" t="str">
        <f>IF(Master[[#This Row],[Collector Voucher Number]]="","",Master[[#This Row],[Collector Voucher Number]])</f>
        <v>WY070-102</v>
      </c>
      <c r="E123" s="76" t="str">
        <f>IF(Master[[#This Row],[Voucher Location (1)]]="","",Master[[#This Row],[Voucher Location (1)]])</f>
        <v>Smithsonian (US)</v>
      </c>
      <c r="F123" s="7" t="str">
        <f t="shared" si="4"/>
        <v>mm/dd/yyyy</v>
      </c>
      <c r="G123" s="2">
        <f>IF(Master[[#This Row],[Voucher Date]]="","",Master[[#This Row],[Voucher Date]])</f>
        <v>44054</v>
      </c>
      <c r="H123" s="17" t="str">
        <f>IF(Master[[#This Row],[Voucher Collector -name, organization]]="","",Master[[#This Row],[Voucher Collector -name, organization]])</f>
        <v>SOS Field Crew-Buffalo, WY:In Field:11 AUG 2020</v>
      </c>
      <c r="I123" s="7" t="str">
        <f>IF(Master[[#This Row],[Note (Voucher)]]="","",Master[[#This Row],[Note (Voucher)]])</f>
        <v/>
      </c>
    </row>
    <row r="124" spans="2:9" x14ac:dyDescent="0.25">
      <c r="B124" s="7" t="str">
        <f>Master[[#This Row],[Accession Prefix (NPGS)]]&amp;" "&amp;Master[[#This Row],[Accession Number -Assigned]]</f>
        <v>W6 59710</v>
      </c>
      <c r="C124" s="7" t="str">
        <f>Master[[#This Row],[Accession Prefix (NPGS)]]&amp;" "&amp;Master[[#This Row],[Accession Number -Assigned]]&amp;" "&amp;Master[[#This Row],[Inventory Suffix]]&amp;" "&amp;Master[[#This Row],[Inventory Type - Lookup Picker]]</f>
        <v>W6 59710  SD</v>
      </c>
      <c r="D124" s="7" t="str">
        <f>IF(Master[[#This Row],[Collector Voucher Number]]="","",Master[[#This Row],[Collector Voucher Number]])</f>
        <v>WY070-103</v>
      </c>
      <c r="E124" s="76" t="str">
        <f>IF(Master[[#This Row],[Voucher Location (1)]]="","",Master[[#This Row],[Voucher Location (1)]])</f>
        <v>Smithsonian (US)</v>
      </c>
      <c r="F124" s="7" t="str">
        <f t="shared" si="4"/>
        <v>mm/dd/yyyy</v>
      </c>
      <c r="G124" s="2">
        <f>IF(Master[[#This Row],[Voucher Date]]="","",Master[[#This Row],[Voucher Date]])</f>
        <v>44068</v>
      </c>
      <c r="H124" s="17" t="str">
        <f>IF(Master[[#This Row],[Voucher Collector -name, organization]]="","",Master[[#This Row],[Voucher Collector -name, organization]])</f>
        <v>Buffalo SOS Field Crew:In Field:25 AUG 2020</v>
      </c>
      <c r="I124" s="7" t="str">
        <f>IF(Master[[#This Row],[Note (Voucher)]]="","",Master[[#This Row],[Note (Voucher)]])</f>
        <v/>
      </c>
    </row>
    <row r="125" spans="2:9" x14ac:dyDescent="0.25">
      <c r="B125" s="7" t="str">
        <f>Master[[#This Row],[Accession Prefix (NPGS)]]&amp;" "&amp;Master[[#This Row],[Accession Number -Assigned]]</f>
        <v>W6 59711</v>
      </c>
      <c r="C125" s="7" t="str">
        <f>Master[[#This Row],[Accession Prefix (NPGS)]]&amp;" "&amp;Master[[#This Row],[Accession Number -Assigned]]&amp;" "&amp;Master[[#This Row],[Inventory Suffix]]&amp;" "&amp;Master[[#This Row],[Inventory Type - Lookup Picker]]</f>
        <v>W6 59711  SD</v>
      </c>
      <c r="D125" s="7" t="str">
        <f>IF(Master[[#This Row],[Collector Voucher Number]]="","",Master[[#This Row],[Collector Voucher Number]])</f>
        <v>WY070-104</v>
      </c>
      <c r="E125" s="76" t="str">
        <f>IF(Master[[#This Row],[Voucher Location (1)]]="","",Master[[#This Row],[Voucher Location (1)]])</f>
        <v>Smithsonian (US)</v>
      </c>
      <c r="F125" s="7" t="str">
        <f t="shared" si="4"/>
        <v>mm/dd/yyyy</v>
      </c>
      <c r="G125" s="2">
        <f>IF(Master[[#This Row],[Voucher Date]]="","",Master[[#This Row],[Voucher Date]])</f>
        <v>44070</v>
      </c>
      <c r="H125" s="17" t="str">
        <f>IF(Master[[#This Row],[Voucher Collector -name, organization]]="","",Master[[#This Row],[Voucher Collector -name, organization]])</f>
        <v>Buffalo SOS Field Crew:In Field:27 AUG 2020</v>
      </c>
      <c r="I125" s="7" t="str">
        <f>IF(Master[[#This Row],[Note (Voucher)]]="","",Master[[#This Row],[Note (Voucher)]])</f>
        <v/>
      </c>
    </row>
    <row r="126" spans="2:9" x14ac:dyDescent="0.25">
      <c r="B126" s="7" t="str">
        <f>Master[[#This Row],[Accession Prefix (NPGS)]]&amp;" "&amp;Master[[#This Row],[Accession Number -Assigned]]</f>
        <v>W6 59712</v>
      </c>
      <c r="C126" s="7" t="str">
        <f>Master[[#This Row],[Accession Prefix (NPGS)]]&amp;" "&amp;Master[[#This Row],[Accession Number -Assigned]]&amp;" "&amp;Master[[#This Row],[Inventory Suffix]]&amp;" "&amp;Master[[#This Row],[Inventory Type - Lookup Picker]]</f>
        <v>W6 59712  SD</v>
      </c>
      <c r="D126" s="7" t="str">
        <f>IF(Master[[#This Row],[Collector Voucher Number]]="","",Master[[#This Row],[Collector Voucher Number]])</f>
        <v>WY070-105</v>
      </c>
      <c r="E126" s="76" t="str">
        <f>IF(Master[[#This Row],[Voucher Location (1)]]="","",Master[[#This Row],[Voucher Location (1)]])</f>
        <v>Smithsonian (US)</v>
      </c>
      <c r="F126" s="7" t="str">
        <f t="shared" si="4"/>
        <v>mm/dd/yyyy</v>
      </c>
      <c r="G126" s="2">
        <f>IF(Master[[#This Row],[Voucher Date]]="","",Master[[#This Row],[Voucher Date]])</f>
        <v>44068</v>
      </c>
      <c r="H126" s="17" t="str">
        <f>IF(Master[[#This Row],[Voucher Collector -name, organization]]="","",Master[[#This Row],[Voucher Collector -name, organization]])</f>
        <v>Buffalo SOS Field Crew:In Field:25 AUG 2020</v>
      </c>
      <c r="I126" s="7" t="str">
        <f>IF(Master[[#This Row],[Note (Voucher)]]="","",Master[[#This Row],[Note (Voucher)]])</f>
        <v/>
      </c>
    </row>
    <row r="127" spans="2:9" x14ac:dyDescent="0.25">
      <c r="B127" s="7" t="str">
        <f>Master[[#This Row],[Accession Prefix (NPGS)]]&amp;" "&amp;Master[[#This Row],[Accession Number -Assigned]]</f>
        <v>W6 59713</v>
      </c>
      <c r="C127" s="7" t="str">
        <f>Master[[#This Row],[Accession Prefix (NPGS)]]&amp;" "&amp;Master[[#This Row],[Accession Number -Assigned]]&amp;" "&amp;Master[[#This Row],[Inventory Suffix]]&amp;" "&amp;Master[[#This Row],[Inventory Type - Lookup Picker]]</f>
        <v>W6 59713  SD</v>
      </c>
      <c r="D127" s="7" t="str">
        <f>IF(Master[[#This Row],[Collector Voucher Number]]="","",Master[[#This Row],[Collector Voucher Number]])</f>
        <v>WY090-173</v>
      </c>
      <c r="E127" s="76" t="str">
        <f>IF(Master[[#This Row],[Voucher Location (1)]]="","",Master[[#This Row],[Voucher Location (1)]])</f>
        <v>Smithsonian (US)</v>
      </c>
      <c r="F127" s="7" t="str">
        <f t="shared" si="4"/>
        <v>mm/dd/yyyy</v>
      </c>
      <c r="G127" s="2">
        <f>IF(Master[[#This Row],[Voucher Date]]="","",Master[[#This Row],[Voucher Date]])</f>
        <v>44047</v>
      </c>
      <c r="H127" s="17" t="str">
        <f>IF(Master[[#This Row],[Voucher Collector -name, organization]]="","",Master[[#This Row],[Voucher Collector -name, organization]])</f>
        <v>Boies, A., Grelecki, A.:In Field:03 AUG 2020</v>
      </c>
      <c r="I127" s="7" t="str">
        <f>IF(Master[[#This Row],[Note (Voucher)]]="","",Master[[#This Row],[Note (Voucher)]])</f>
        <v/>
      </c>
    </row>
    <row r="128" spans="2:9" x14ac:dyDescent="0.25">
      <c r="B128" s="7" t="str">
        <f>Master[[#This Row],[Accession Prefix (NPGS)]]&amp;" "&amp;Master[[#This Row],[Accession Number -Assigned]]</f>
        <v>W6 59714</v>
      </c>
      <c r="C128" s="7" t="str">
        <f>Master[[#This Row],[Accession Prefix (NPGS)]]&amp;" "&amp;Master[[#This Row],[Accession Number -Assigned]]&amp;" "&amp;Master[[#This Row],[Inventory Suffix]]&amp;" "&amp;Master[[#This Row],[Inventory Type - Lookup Picker]]</f>
        <v>W6 59714  SD</v>
      </c>
      <c r="D128" s="7" t="str">
        <f>IF(Master[[#This Row],[Collector Voucher Number]]="","",Master[[#This Row],[Collector Voucher Number]])</f>
        <v>WY090-175</v>
      </c>
      <c r="E128" s="76" t="str">
        <f>IF(Master[[#This Row],[Voucher Location (1)]]="","",Master[[#This Row],[Voucher Location (1)]])</f>
        <v>Smithsonian (US)</v>
      </c>
      <c r="F128" s="7" t="str">
        <f t="shared" si="4"/>
        <v>mm/dd/yyyy</v>
      </c>
      <c r="G128" s="2">
        <f>IF(Master[[#This Row],[Voucher Date]]="","",Master[[#This Row],[Voucher Date]])</f>
        <v>44005</v>
      </c>
      <c r="H128" s="17" t="str">
        <f>IF(Master[[#This Row],[Voucher Collector -name, organization]]="","",Master[[#This Row],[Voucher Collector -name, organization]])</f>
        <v>Boies, A., Grelecki, A.:In Field:23 JUN 2020</v>
      </c>
      <c r="I128" s="7" t="str">
        <f>IF(Master[[#This Row],[Note (Voucher)]]="","",Master[[#This Row],[Note (Voucher)]])</f>
        <v/>
      </c>
    </row>
    <row r="129" spans="2:9" x14ac:dyDescent="0.25">
      <c r="B129" s="7" t="str">
        <f>Master[[#This Row],[Accession Prefix (NPGS)]]&amp;" "&amp;Master[[#This Row],[Accession Number -Assigned]]</f>
        <v>W6 59715</v>
      </c>
      <c r="C129" s="7" t="str">
        <f>Master[[#This Row],[Accession Prefix (NPGS)]]&amp;" "&amp;Master[[#This Row],[Accession Number -Assigned]]&amp;" "&amp;Master[[#This Row],[Inventory Suffix]]&amp;" "&amp;Master[[#This Row],[Inventory Type - Lookup Picker]]</f>
        <v>W6 59715  SD</v>
      </c>
      <c r="D129" s="7" t="str">
        <f>IF(Master[[#This Row],[Collector Voucher Number]]="","",Master[[#This Row],[Collector Voucher Number]])</f>
        <v>WY090-176</v>
      </c>
      <c r="E129" s="76" t="str">
        <f>IF(Master[[#This Row],[Voucher Location (1)]]="","",Master[[#This Row],[Voucher Location (1)]])</f>
        <v>Smithsonian (US)</v>
      </c>
      <c r="F129" s="7" t="str">
        <f t="shared" si="4"/>
        <v>mm/dd/yyyy</v>
      </c>
      <c r="G129" s="2">
        <f>IF(Master[[#This Row],[Voucher Date]]="","",Master[[#This Row],[Voucher Date]])</f>
        <v>44055</v>
      </c>
      <c r="H129" s="17" t="str">
        <f>IF(Master[[#This Row],[Voucher Collector -name, organization]]="","",Master[[#This Row],[Voucher Collector -name, organization]])</f>
        <v>Boies, A., Grelecki, A.:In Field:12 AUG 2020</v>
      </c>
      <c r="I129" s="7" t="str">
        <f>IF(Master[[#This Row],[Note (Voucher)]]="","",Master[[#This Row],[Note (Voucher)]])</f>
        <v/>
      </c>
    </row>
    <row r="130" spans="2:9" x14ac:dyDescent="0.25">
      <c r="B130" s="7" t="str">
        <f>Master[[#This Row],[Accession Prefix (NPGS)]]&amp;" "&amp;Master[[#This Row],[Accession Number -Assigned]]</f>
        <v>W6 59716</v>
      </c>
      <c r="C130" s="7" t="str">
        <f>Master[[#This Row],[Accession Prefix (NPGS)]]&amp;" "&amp;Master[[#This Row],[Accession Number -Assigned]]&amp;" "&amp;Master[[#This Row],[Inventory Suffix]]&amp;" "&amp;Master[[#This Row],[Inventory Type - Lookup Picker]]</f>
        <v>W6 59716  SD</v>
      </c>
      <c r="D130" s="7" t="str">
        <f>IF(Master[[#This Row],[Collector Voucher Number]]="","",Master[[#This Row],[Collector Voucher Number]])</f>
        <v>WY090-178</v>
      </c>
      <c r="E130" s="76" t="str">
        <f>IF(Master[[#This Row],[Voucher Location (1)]]="","",Master[[#This Row],[Voucher Location (1)]])</f>
        <v>Smithsonian (US)</v>
      </c>
      <c r="F130" s="7" t="str">
        <f t="shared" si="4"/>
        <v>mm/dd/yyyy</v>
      </c>
      <c r="G130" s="2">
        <f>IF(Master[[#This Row],[Voucher Date]]="","",Master[[#This Row],[Voucher Date]])</f>
        <v>44000</v>
      </c>
      <c r="H130" s="17" t="str">
        <f>IF(Master[[#This Row],[Voucher Collector -name, organization]]="","",Master[[#This Row],[Voucher Collector -name, organization]])</f>
        <v>Boies, A., Grelecki, A.:In Field:18 JUN 2020</v>
      </c>
      <c r="I130" s="7" t="str">
        <f>IF(Master[[#This Row],[Note (Voucher)]]="","",Master[[#This Row],[Note (Voucher)]])</f>
        <v/>
      </c>
    </row>
    <row r="131" spans="2:9" x14ac:dyDescent="0.25">
      <c r="B131" s="7" t="str">
        <f>Master[[#This Row],[Accession Prefix (NPGS)]]&amp;" "&amp;Master[[#This Row],[Accession Number -Assigned]]</f>
        <v>W6 59717</v>
      </c>
      <c r="C131" s="7" t="str">
        <f>Master[[#This Row],[Accession Prefix (NPGS)]]&amp;" "&amp;Master[[#This Row],[Accession Number -Assigned]]&amp;" "&amp;Master[[#This Row],[Inventory Suffix]]&amp;" "&amp;Master[[#This Row],[Inventory Type - Lookup Picker]]</f>
        <v>W6 59717  SD</v>
      </c>
      <c r="D131" s="7" t="str">
        <f>IF(Master[[#This Row],[Collector Voucher Number]]="","",Master[[#This Row],[Collector Voucher Number]])</f>
        <v>WY090-179</v>
      </c>
      <c r="E131" s="76" t="str">
        <f>IF(Master[[#This Row],[Voucher Location (1)]]="","",Master[[#This Row],[Voucher Location (1)]])</f>
        <v>Smithsonian (US)</v>
      </c>
      <c r="F131" s="7" t="str">
        <f t="shared" si="4"/>
        <v>mm/dd/yyyy</v>
      </c>
      <c r="G131" s="2">
        <f>IF(Master[[#This Row],[Voucher Date]]="","",Master[[#This Row],[Voucher Date]])</f>
        <v>44046</v>
      </c>
      <c r="H131" s="17" t="str">
        <f>IF(Master[[#This Row],[Voucher Collector -name, organization]]="","",Master[[#This Row],[Voucher Collector -name, organization]])</f>
        <v>Boies, A., Grelecki, A.:In Field:03 AUG 2020</v>
      </c>
      <c r="I131" s="7" t="str">
        <f>IF(Master[[#This Row],[Note (Voucher)]]="","",Master[[#This Row],[Note (Voucher)]])</f>
        <v/>
      </c>
    </row>
    <row r="132" spans="2:9" x14ac:dyDescent="0.25">
      <c r="B132" s="7" t="str">
        <f>Master[[#This Row],[Accession Prefix (NPGS)]]&amp;" "&amp;Master[[#This Row],[Accession Number -Assigned]]</f>
        <v>W6 59718</v>
      </c>
      <c r="C132" s="7" t="str">
        <f>Master[[#This Row],[Accession Prefix (NPGS)]]&amp;" "&amp;Master[[#This Row],[Accession Number -Assigned]]&amp;" "&amp;Master[[#This Row],[Inventory Suffix]]&amp;" "&amp;Master[[#This Row],[Inventory Type - Lookup Picker]]</f>
        <v>W6 59718  SD</v>
      </c>
      <c r="D132" s="7" t="str">
        <f>IF(Master[[#This Row],[Collector Voucher Number]]="","",Master[[#This Row],[Collector Voucher Number]])</f>
        <v>WY090-180</v>
      </c>
      <c r="E132" s="76" t="str">
        <f>IF(Master[[#This Row],[Voucher Location (1)]]="","",Master[[#This Row],[Voucher Location (1)]])</f>
        <v>Smithsonian (US)</v>
      </c>
      <c r="F132" s="7" t="str">
        <f t="shared" si="4"/>
        <v>mm/dd/yyyy</v>
      </c>
      <c r="G132" s="2">
        <f>IF(Master[[#This Row],[Voucher Date]]="","",Master[[#This Row],[Voucher Date]])</f>
        <v>44006</v>
      </c>
      <c r="H132" s="17" t="str">
        <f>IF(Master[[#This Row],[Voucher Collector -name, organization]]="","",Master[[#This Row],[Voucher Collector -name, organization]])</f>
        <v>Boies, A., Grelecki, A.:In Field:24 JUN 2020</v>
      </c>
      <c r="I132" s="7" t="str">
        <f>IF(Master[[#This Row],[Note (Voucher)]]="","",Master[[#This Row],[Note (Voucher)]])</f>
        <v/>
      </c>
    </row>
    <row r="133" spans="2:9" x14ac:dyDescent="0.25">
      <c r="B133" s="7" t="str">
        <f>Master[[#This Row],[Accession Prefix (NPGS)]]&amp;" "&amp;Master[[#This Row],[Accession Number -Assigned]]</f>
        <v>W6 59719</v>
      </c>
      <c r="C133" s="7" t="str">
        <f>Master[[#This Row],[Accession Prefix (NPGS)]]&amp;" "&amp;Master[[#This Row],[Accession Number -Assigned]]&amp;" "&amp;Master[[#This Row],[Inventory Suffix]]&amp;" "&amp;Master[[#This Row],[Inventory Type - Lookup Picker]]</f>
        <v>W6 59719  SD</v>
      </c>
      <c r="D133" s="7" t="str">
        <f>IF(Master[[#This Row],[Collector Voucher Number]]="","",Master[[#This Row],[Collector Voucher Number]])</f>
        <v>WY090-183</v>
      </c>
      <c r="E133" s="76" t="str">
        <f>IF(Master[[#This Row],[Voucher Location (1)]]="","",Master[[#This Row],[Voucher Location (1)]])</f>
        <v>Smithsonian (US)</v>
      </c>
      <c r="F133" s="7" t="str">
        <f t="shared" si="4"/>
        <v>mm/dd/yyyy</v>
      </c>
      <c r="G133" s="2">
        <f>IF(Master[[#This Row],[Voucher Date]]="","",Master[[#This Row],[Voucher Date]])</f>
        <v>44046</v>
      </c>
      <c r="H133" s="17" t="str">
        <f>IF(Master[[#This Row],[Voucher Collector -name, organization]]="","",Master[[#This Row],[Voucher Collector -name, organization]])</f>
        <v>Boies, A., Grelecki, A.:In Field:17 JUN 2020</v>
      </c>
      <c r="I133" s="7" t="str">
        <f>IF(Master[[#This Row],[Note (Voucher)]]="","",Master[[#This Row],[Note (Voucher)]])</f>
        <v/>
      </c>
    </row>
    <row r="134" spans="2:9" x14ac:dyDescent="0.25">
      <c r="B134" s="7" t="str">
        <f>Master[[#This Row],[Accession Prefix (NPGS)]]&amp;" "&amp;Master[[#This Row],[Accession Number -Assigned]]</f>
        <v>W6 59720</v>
      </c>
      <c r="C134" s="7" t="str">
        <f>Master[[#This Row],[Accession Prefix (NPGS)]]&amp;" "&amp;Master[[#This Row],[Accession Number -Assigned]]&amp;" "&amp;Master[[#This Row],[Inventory Suffix]]&amp;" "&amp;Master[[#This Row],[Inventory Type - Lookup Picker]]</f>
        <v>W6 59720  SD</v>
      </c>
      <c r="D134" s="7" t="str">
        <f>IF(Master[[#This Row],[Collector Voucher Number]]="","",Master[[#This Row],[Collector Voucher Number]])</f>
        <v>WY090-184</v>
      </c>
      <c r="E134" s="76" t="str">
        <f>IF(Master[[#This Row],[Voucher Location (1)]]="","",Master[[#This Row],[Voucher Location (1)]])</f>
        <v>Smithsonian (US)</v>
      </c>
      <c r="F134" s="7" t="str">
        <f t="shared" si="4"/>
        <v>mm/dd/yyyy</v>
      </c>
      <c r="G134" s="2">
        <f>IF(Master[[#This Row],[Voucher Date]]="","",Master[[#This Row],[Voucher Date]])</f>
        <v>44033</v>
      </c>
      <c r="H134" s="17" t="str">
        <f>IF(Master[[#This Row],[Voucher Collector -name, organization]]="","",Master[[#This Row],[Voucher Collector -name, organization]])</f>
        <v>Boies, A., Grelecki, A.:In Field:21 JUL 2020</v>
      </c>
      <c r="I134" s="7" t="str">
        <f>IF(Master[[#This Row],[Note (Voucher)]]="","",Master[[#This Row],[Note (Voucher)]])</f>
        <v/>
      </c>
    </row>
    <row r="135" spans="2:9" x14ac:dyDescent="0.25">
      <c r="B135" s="7" t="str">
        <f>Master[[#This Row],[Accession Prefix (NPGS)]]&amp;" "&amp;Master[[#This Row],[Accession Number -Assigned]]</f>
        <v>W6 59721</v>
      </c>
      <c r="C135" s="7" t="str">
        <f>Master[[#This Row],[Accession Prefix (NPGS)]]&amp;" "&amp;Master[[#This Row],[Accession Number -Assigned]]&amp;" "&amp;Master[[#This Row],[Inventory Suffix]]&amp;" "&amp;Master[[#This Row],[Inventory Type - Lookup Picker]]</f>
        <v>W6 59721  SD</v>
      </c>
      <c r="D135" s="7" t="str">
        <f>IF(Master[[#This Row],[Collector Voucher Number]]="","",Master[[#This Row],[Collector Voucher Number]])</f>
        <v>WY090-185</v>
      </c>
      <c r="E135" s="76" t="str">
        <f>IF(Master[[#This Row],[Voucher Location (1)]]="","",Master[[#This Row],[Voucher Location (1)]])</f>
        <v>Smithsonian (US)</v>
      </c>
      <c r="F135" s="7" t="str">
        <f t="shared" si="4"/>
        <v>mm/dd/yyyy</v>
      </c>
      <c r="G135" s="2">
        <f>IF(Master[[#This Row],[Voucher Date]]="","",Master[[#This Row],[Voucher Date]])</f>
        <v>44046</v>
      </c>
      <c r="H135" s="17" t="str">
        <f>IF(Master[[#This Row],[Voucher Collector -name, organization]]="","",Master[[#This Row],[Voucher Collector -name, organization]])</f>
        <v>Boies, A., Grelecki, A.::03 AUG 2020</v>
      </c>
      <c r="I135" s="7" t="str">
        <f>IF(Master[[#This Row],[Note (Voucher)]]="","",Master[[#This Row],[Note (Voucher)]])</f>
        <v/>
      </c>
    </row>
    <row r="136" spans="2:9" x14ac:dyDescent="0.25">
      <c r="B136" s="7" t="str">
        <f>Master[[#This Row],[Accession Prefix (NPGS)]]&amp;" "&amp;Master[[#This Row],[Accession Number -Assigned]]</f>
        <v>W6 59722</v>
      </c>
      <c r="C136" s="7" t="str">
        <f>Master[[#This Row],[Accession Prefix (NPGS)]]&amp;" "&amp;Master[[#This Row],[Accession Number -Assigned]]&amp;" "&amp;Master[[#This Row],[Inventory Suffix]]&amp;" "&amp;Master[[#This Row],[Inventory Type - Lookup Picker]]</f>
        <v>W6 59722  SD</v>
      </c>
      <c r="D136" s="7" t="str">
        <f>IF(Master[[#This Row],[Collector Voucher Number]]="","",Master[[#This Row],[Collector Voucher Number]])</f>
        <v>WY090-186</v>
      </c>
      <c r="E136" s="76" t="str">
        <f>IF(Master[[#This Row],[Voucher Location (1)]]="","",Master[[#This Row],[Voucher Location (1)]])</f>
        <v/>
      </c>
      <c r="F136" s="7" t="str">
        <f t="shared" si="4"/>
        <v>mm/dd/yyyy</v>
      </c>
      <c r="G136" s="2" t="str">
        <f>IF(Master[[#This Row],[Voucher Date]]="","",Master[[#This Row],[Voucher Date]])</f>
        <v/>
      </c>
      <c r="H136" s="17" t="str">
        <f>IF(Master[[#This Row],[Voucher Collector -name, organization]]="","",Master[[#This Row],[Voucher Collector -name, organization]])</f>
        <v>Boies, A., Grelecki, A.:In Field:21 JUL 2020</v>
      </c>
      <c r="I136" s="7" t="str">
        <f>IF(Master[[#This Row],[Note (Voucher)]]="","",Master[[#This Row],[Note (Voucher)]])</f>
        <v/>
      </c>
    </row>
    <row r="137" spans="2:9" x14ac:dyDescent="0.25">
      <c r="B137" s="7" t="str">
        <f>Master[[#This Row],[Accession Prefix (NPGS)]]&amp;" "&amp;Master[[#This Row],[Accession Number -Assigned]]</f>
        <v>W6 59723</v>
      </c>
      <c r="C137" s="7" t="str">
        <f>Master[[#This Row],[Accession Prefix (NPGS)]]&amp;" "&amp;Master[[#This Row],[Accession Number -Assigned]]&amp;" "&amp;Master[[#This Row],[Inventory Suffix]]&amp;" "&amp;Master[[#This Row],[Inventory Type - Lookup Picker]]</f>
        <v>W6 59723  SD</v>
      </c>
      <c r="D137" s="7" t="str">
        <f>IF(Master[[#This Row],[Collector Voucher Number]]="","",Master[[#This Row],[Collector Voucher Number]])</f>
        <v>WY090-187</v>
      </c>
      <c r="E137" s="76" t="str">
        <f>IF(Master[[#This Row],[Voucher Location (1)]]="","",Master[[#This Row],[Voucher Location (1)]])</f>
        <v/>
      </c>
      <c r="F137" s="7" t="str">
        <f t="shared" si="4"/>
        <v>mm/dd/yyyy</v>
      </c>
      <c r="G137" s="2" t="str">
        <f>IF(Master[[#This Row],[Voucher Date]]="","",Master[[#This Row],[Voucher Date]])</f>
        <v/>
      </c>
      <c r="H137" s="17" t="str">
        <f>IF(Master[[#This Row],[Voucher Collector -name, organization]]="","",Master[[#This Row],[Voucher Collector -name, organization]])</f>
        <v>Boies, A., Grelecki, A.:In Field:20 AUG 2020</v>
      </c>
      <c r="I137" s="7" t="str">
        <f>IF(Master[[#This Row],[Note (Voucher)]]="","",Master[[#This Row],[Note (Voucher)]])</f>
        <v/>
      </c>
    </row>
    <row r="138" spans="2:9" x14ac:dyDescent="0.25">
      <c r="B138" s="7" t="str">
        <f>Master[[#This Row],[Accession Prefix (NPGS)]]&amp;" "&amp;Master[[#This Row],[Accession Number -Assigned]]</f>
        <v>W6 59724</v>
      </c>
      <c r="C138" s="7" t="str">
        <f>Master[[#This Row],[Accession Prefix (NPGS)]]&amp;" "&amp;Master[[#This Row],[Accession Number -Assigned]]&amp;" "&amp;Master[[#This Row],[Inventory Suffix]]&amp;" "&amp;Master[[#This Row],[Inventory Type - Lookup Picker]]</f>
        <v>W6 59724  SD</v>
      </c>
      <c r="D138" s="7" t="str">
        <f>IF(Master[[#This Row],[Collector Voucher Number]]="","",Master[[#This Row],[Collector Voucher Number]])</f>
        <v>WY090-188</v>
      </c>
      <c r="E138" s="76" t="str">
        <f>IF(Master[[#This Row],[Voucher Location (1)]]="","",Master[[#This Row],[Voucher Location (1)]])</f>
        <v/>
      </c>
      <c r="F138" s="7" t="str">
        <f t="shared" si="4"/>
        <v>mm/dd/yyyy</v>
      </c>
      <c r="G138" s="2" t="str">
        <f>IF(Master[[#This Row],[Voucher Date]]="","",Master[[#This Row],[Voucher Date]])</f>
        <v/>
      </c>
      <c r="H138" s="17" t="str">
        <f>IF(Master[[#This Row],[Voucher Collector -name, organization]]="","",Master[[#This Row],[Voucher Collector -name, organization]])</f>
        <v>Boies, A., Grelecki, A.:In Field:09 JUL 2020</v>
      </c>
      <c r="I138" s="7" t="str">
        <f>IF(Master[[#This Row],[Note (Voucher)]]="","",Master[[#This Row],[Note (Voucher)]])</f>
        <v/>
      </c>
    </row>
    <row r="139" spans="2:9" x14ac:dyDescent="0.25">
      <c r="B139" s="7" t="str">
        <f>Master[[#This Row],[Accession Prefix (NPGS)]]&amp;" "&amp;Master[[#This Row],[Accession Number -Assigned]]</f>
        <v>W6 59725</v>
      </c>
      <c r="C139" s="7" t="str">
        <f>Master[[#This Row],[Accession Prefix (NPGS)]]&amp;" "&amp;Master[[#This Row],[Accession Number -Assigned]]&amp;" "&amp;Master[[#This Row],[Inventory Suffix]]&amp;" "&amp;Master[[#This Row],[Inventory Type - Lookup Picker]]</f>
        <v>W6 59725  SD</v>
      </c>
      <c r="D139" s="7" t="str">
        <f>IF(Master[[#This Row],[Collector Voucher Number]]="","",Master[[#This Row],[Collector Voucher Number]])</f>
        <v>WY090-189</v>
      </c>
      <c r="E139" s="76" t="str">
        <f>IF(Master[[#This Row],[Voucher Location (1)]]="","",Master[[#This Row],[Voucher Location (1)]])</f>
        <v/>
      </c>
      <c r="F139" s="7" t="str">
        <f t="shared" si="4"/>
        <v>mm/dd/yyyy</v>
      </c>
      <c r="G139" s="2" t="str">
        <f>IF(Master[[#This Row],[Voucher Date]]="","",Master[[#This Row],[Voucher Date]])</f>
        <v/>
      </c>
      <c r="H139" s="17" t="str">
        <f>IF(Master[[#This Row],[Voucher Collector -name, organization]]="","",Master[[#This Row],[Voucher Collector -name, organization]])</f>
        <v>Boies, A., Grelecki, A.:In Field:09 JUL 2020</v>
      </c>
      <c r="I139" s="7" t="str">
        <f>IF(Master[[#This Row],[Note (Voucher)]]="","",Master[[#This Row],[Note (Voucher)]])</f>
        <v/>
      </c>
    </row>
    <row r="140" spans="2:9" x14ac:dyDescent="0.25">
      <c r="B140" s="7" t="str">
        <f>Master[[#This Row],[Accession Prefix (NPGS)]]&amp;" "&amp;Master[[#This Row],[Accession Number -Assigned]]</f>
        <v>W6 59726</v>
      </c>
      <c r="C140" s="7" t="str">
        <f>Master[[#This Row],[Accession Prefix (NPGS)]]&amp;" "&amp;Master[[#This Row],[Accession Number -Assigned]]&amp;" "&amp;Master[[#This Row],[Inventory Suffix]]&amp;" "&amp;Master[[#This Row],[Inventory Type - Lookup Picker]]</f>
        <v>W6 59726  SD</v>
      </c>
      <c r="D140" s="7" t="str">
        <f>IF(Master[[#This Row],[Collector Voucher Number]]="","",Master[[#This Row],[Collector Voucher Number]])</f>
        <v>WY090-190</v>
      </c>
      <c r="E140" s="76" t="str">
        <f>IF(Master[[#This Row],[Voucher Location (1)]]="","",Master[[#This Row],[Voucher Location (1)]])</f>
        <v/>
      </c>
      <c r="F140" s="7" t="str">
        <f t="shared" si="4"/>
        <v>mm/dd/yyyy</v>
      </c>
      <c r="G140" s="2" t="str">
        <f>IF(Master[[#This Row],[Voucher Date]]="","",Master[[#This Row],[Voucher Date]])</f>
        <v/>
      </c>
      <c r="H140" s="17" t="str">
        <f>IF(Master[[#This Row],[Voucher Collector -name, organization]]="","",Master[[#This Row],[Voucher Collector -name, organization]])</f>
        <v>Boies, A., Grelecki, A.:In Field:17 SEP 2020</v>
      </c>
      <c r="I140" s="7" t="str">
        <f>IF(Master[[#This Row],[Note (Voucher)]]="","",Master[[#This Row],[Note (Voucher)]])</f>
        <v/>
      </c>
    </row>
    <row r="141" spans="2:9" x14ac:dyDescent="0.25">
      <c r="B141" s="7" t="str">
        <f>Master[[#This Row],[Accession Prefix (NPGS)]]&amp;" "&amp;Master[[#This Row],[Accession Number -Assigned]]</f>
        <v>W6 59727</v>
      </c>
      <c r="C141" s="7" t="str">
        <f>Master[[#This Row],[Accession Prefix (NPGS)]]&amp;" "&amp;Master[[#This Row],[Accession Number -Assigned]]&amp;" "&amp;Master[[#This Row],[Inventory Suffix]]&amp;" "&amp;Master[[#This Row],[Inventory Type - Lookup Picker]]</f>
        <v>W6 59727  SD</v>
      </c>
      <c r="D141" s="7" t="str">
        <f>IF(Master[[#This Row],[Collector Voucher Number]]="","",Master[[#This Row],[Collector Voucher Number]])</f>
        <v>WY090-191</v>
      </c>
      <c r="E141" s="76" t="str">
        <f>IF(Master[[#This Row],[Voucher Location (1)]]="","",Master[[#This Row],[Voucher Location (1)]])</f>
        <v/>
      </c>
      <c r="F141" s="7" t="str">
        <f t="shared" si="4"/>
        <v>mm/dd/yyyy</v>
      </c>
      <c r="G141" s="2" t="str">
        <f>IF(Master[[#This Row],[Voucher Date]]="","",Master[[#This Row],[Voucher Date]])</f>
        <v/>
      </c>
      <c r="H141" s="17" t="str">
        <f>IF(Master[[#This Row],[Voucher Collector -name, organization]]="","",Master[[#This Row],[Voucher Collector -name, organization]])</f>
        <v>Boies, A., Grelecki, A.:In Field:17 SEP 2020</v>
      </c>
      <c r="I141" s="7" t="str">
        <f>IF(Master[[#This Row],[Note (Voucher)]]="","",Master[[#This Row],[Note (Voucher)]])</f>
        <v/>
      </c>
    </row>
    <row r="142" spans="2:9" x14ac:dyDescent="0.25">
      <c r="B142" s="7" t="str">
        <f>Master[[#This Row],[Accession Prefix (NPGS)]]&amp;" "&amp;Master[[#This Row],[Accession Number -Assigned]]</f>
        <v>W6 59728</v>
      </c>
      <c r="C142" s="7" t="str">
        <f>Master[[#This Row],[Accession Prefix (NPGS)]]&amp;" "&amp;Master[[#This Row],[Accession Number -Assigned]]&amp;" "&amp;Master[[#This Row],[Inventory Suffix]]&amp;" "&amp;Master[[#This Row],[Inventory Type - Lookup Picker]]</f>
        <v>W6 59728  SD</v>
      </c>
      <c r="D142" s="7" t="str">
        <f>IF(Master[[#This Row],[Collector Voucher Number]]="","",Master[[#This Row],[Collector Voucher Number]])</f>
        <v>WY090-192</v>
      </c>
      <c r="E142" s="76" t="str">
        <f>IF(Master[[#This Row],[Voucher Location (1)]]="","",Master[[#This Row],[Voucher Location (1)]])</f>
        <v/>
      </c>
      <c r="F142" s="7" t="str">
        <f t="shared" si="4"/>
        <v>mm/dd/yyyy</v>
      </c>
      <c r="G142" s="2" t="str">
        <f>IF(Master[[#This Row],[Voucher Date]]="","",Master[[#This Row],[Voucher Date]])</f>
        <v/>
      </c>
      <c r="H142" s="17" t="str">
        <f>IF(Master[[#This Row],[Voucher Collector -name, organization]]="","",Master[[#This Row],[Voucher Collector -name, organization]])</f>
        <v>Boies, A., Grelecki, A.:In Field:10 SEP 2020</v>
      </c>
      <c r="I142" s="7" t="str">
        <f>IF(Master[[#This Row],[Note (Voucher)]]="","",Master[[#This Row],[Note (Voucher)]])</f>
        <v/>
      </c>
    </row>
    <row r="143" spans="2:9" x14ac:dyDescent="0.25">
      <c r="B143" s="7" t="str">
        <f>Master[[#This Row],[Accession Prefix (NPGS)]]&amp;" "&amp;Master[[#This Row],[Accession Number -Assigned]]</f>
        <v>W6 59729</v>
      </c>
      <c r="C143" s="7" t="str">
        <f>Master[[#This Row],[Accession Prefix (NPGS)]]&amp;" "&amp;Master[[#This Row],[Accession Number -Assigned]]&amp;" "&amp;Master[[#This Row],[Inventory Suffix]]&amp;" "&amp;Master[[#This Row],[Inventory Type - Lookup Picker]]</f>
        <v>W6 59729  SD</v>
      </c>
      <c r="D143" s="7" t="str">
        <f>IF(Master[[#This Row],[Collector Voucher Number]]="","",Master[[#This Row],[Collector Voucher Number]])</f>
        <v>WY090-193</v>
      </c>
      <c r="E143" s="76" t="str">
        <f>IF(Master[[#This Row],[Voucher Location (1)]]="","",Master[[#This Row],[Voucher Location (1)]])</f>
        <v/>
      </c>
      <c r="F143" s="7" t="str">
        <f t="shared" si="4"/>
        <v>mm/dd/yyyy</v>
      </c>
      <c r="G143" s="2" t="str">
        <f>IF(Master[[#This Row],[Voucher Date]]="","",Master[[#This Row],[Voucher Date]])</f>
        <v/>
      </c>
      <c r="H143" s="17" t="str">
        <f>IF(Master[[#This Row],[Voucher Collector -name, organization]]="","",Master[[#This Row],[Voucher Collector -name, organization]])</f>
        <v>Boies, A., Grelecki, A.:From pressed specimen on day of collection:22 SEP 2020</v>
      </c>
      <c r="I143" s="7" t="str">
        <f>IF(Master[[#This Row],[Note (Voucher)]]="","",Master[[#This Row],[Note (Voucher)]])</f>
        <v/>
      </c>
    </row>
    <row r="144" spans="2:9" x14ac:dyDescent="0.25">
      <c r="B144" s="7" t="str">
        <f>Master[[#This Row],[Accession Prefix (NPGS)]]&amp;" "&amp;Master[[#This Row],[Accession Number -Assigned]]</f>
        <v>W6 59730</v>
      </c>
      <c r="C144" s="7" t="str">
        <f>Master[[#This Row],[Accession Prefix (NPGS)]]&amp;" "&amp;Master[[#This Row],[Accession Number -Assigned]]&amp;" "&amp;Master[[#This Row],[Inventory Suffix]]&amp;" "&amp;Master[[#This Row],[Inventory Type - Lookup Picker]]</f>
        <v>W6 59730  SD</v>
      </c>
      <c r="D144" s="7" t="str">
        <f>IF(Master[[#This Row],[Collector Voucher Number]]="","",Master[[#This Row],[Collector Voucher Number]])</f>
        <v>WY090-194</v>
      </c>
      <c r="E144" s="76" t="str">
        <f>IF(Master[[#This Row],[Voucher Location (1)]]="","",Master[[#This Row],[Voucher Location (1)]])</f>
        <v/>
      </c>
      <c r="F144" s="7" t="str">
        <f t="shared" si="4"/>
        <v>mm/dd/yyyy</v>
      </c>
      <c r="G144" s="2" t="str">
        <f>IF(Master[[#This Row],[Voucher Date]]="","",Master[[#This Row],[Voucher Date]])</f>
        <v/>
      </c>
      <c r="H144" s="17" t="str">
        <f>IF(Master[[#This Row],[Voucher Collector -name, organization]]="","",Master[[#This Row],[Voucher Collector -name, organization]])</f>
        <v>Boies, A., Grelecki, A.:In Field:23 SEP 2020</v>
      </c>
      <c r="I144" s="7" t="str">
        <f>IF(Master[[#This Row],[Note (Voucher)]]="","",Master[[#This Row],[Note (Voucher)]])</f>
        <v/>
      </c>
    </row>
    <row r="145" spans="2:9" x14ac:dyDescent="0.25">
      <c r="B145" s="7" t="str">
        <f>Master[[#This Row],[Accession Prefix (NPGS)]]&amp;" "&amp;Master[[#This Row],[Accession Number -Assigned]]</f>
        <v>W6 59731</v>
      </c>
      <c r="C145" s="7" t="str">
        <f>Master[[#This Row],[Accession Prefix (NPGS)]]&amp;" "&amp;Master[[#This Row],[Accession Number -Assigned]]&amp;" "&amp;Master[[#This Row],[Inventory Suffix]]&amp;" "&amp;Master[[#This Row],[Inventory Type - Lookup Picker]]</f>
        <v>W6 59731  SD</v>
      </c>
      <c r="D145" s="7" t="str">
        <f>IF(Master[[#This Row],[Collector Voucher Number]]="","",Master[[#This Row],[Collector Voucher Number]])</f>
        <v>WY090-196</v>
      </c>
      <c r="E145" s="76" t="str">
        <f>IF(Master[[#This Row],[Voucher Location (1)]]="","",Master[[#This Row],[Voucher Location (1)]])</f>
        <v/>
      </c>
      <c r="F145" s="7" t="str">
        <f t="shared" si="4"/>
        <v>mm/dd/yyyy</v>
      </c>
      <c r="G145" s="2" t="str">
        <f>IF(Master[[#This Row],[Voucher Date]]="","",Master[[#This Row],[Voucher Date]])</f>
        <v/>
      </c>
      <c r="H145" s="17" t="str">
        <f>IF(Master[[#This Row],[Voucher Collector -name, organization]]="","",Master[[#This Row],[Voucher Collector -name, organization]])</f>
        <v>Boies, A., Grelecki, A.:In Field:23 SEP 2020</v>
      </c>
      <c r="I145" s="7" t="str">
        <f>IF(Master[[#This Row],[Note (Voucher)]]="","",Master[[#This Row],[Note (Voucher)]])</f>
        <v/>
      </c>
    </row>
    <row r="146" spans="2:9" x14ac:dyDescent="0.25">
      <c r="B146" s="7" t="str">
        <f>Master[[#This Row],[Accession Prefix (NPGS)]]&amp;" "&amp;Master[[#This Row],[Accession Number -Assigned]]</f>
        <v>W6 59732</v>
      </c>
      <c r="C146" s="7" t="str">
        <f>Master[[#This Row],[Accession Prefix (NPGS)]]&amp;" "&amp;Master[[#This Row],[Accession Number -Assigned]]&amp;" "&amp;Master[[#This Row],[Inventory Suffix]]&amp;" "&amp;Master[[#This Row],[Inventory Type - Lookup Picker]]</f>
        <v>W6 59732  SD</v>
      </c>
      <c r="D146" s="7" t="str">
        <f>IF(Master[[#This Row],[Collector Voucher Number]]="","",Master[[#This Row],[Collector Voucher Number]])</f>
        <v>WY090-197</v>
      </c>
      <c r="E146" s="76" t="str">
        <f>IF(Master[[#This Row],[Voucher Location (1)]]="","",Master[[#This Row],[Voucher Location (1)]])</f>
        <v/>
      </c>
      <c r="F146" s="7" t="str">
        <f t="shared" si="4"/>
        <v>mm/dd/yyyy</v>
      </c>
      <c r="G146" s="2" t="str">
        <f>IF(Master[[#This Row],[Voucher Date]]="","",Master[[#This Row],[Voucher Date]])</f>
        <v/>
      </c>
      <c r="H146" s="17" t="str">
        <f>IF(Master[[#This Row],[Voucher Collector -name, organization]]="","",Master[[#This Row],[Voucher Collector -name, organization]])</f>
        <v>Boies, A., Grelecki, A.:In Field:02 OCT 2020</v>
      </c>
      <c r="I146" s="7" t="str">
        <f>IF(Master[[#This Row],[Note (Voucher)]]="","",Master[[#This Row],[Note (Voucher)]])</f>
        <v/>
      </c>
    </row>
    <row r="147" spans="2:9" x14ac:dyDescent="0.25">
      <c r="B147" s="7" t="str">
        <f>Master[[#This Row],[Accession Prefix (NPGS)]]&amp;" "&amp;Master[[#This Row],[Accession Number -Assigned]]</f>
        <v>W6 59733</v>
      </c>
      <c r="C147" s="7" t="str">
        <f>Master[[#This Row],[Accession Prefix (NPGS)]]&amp;" "&amp;Master[[#This Row],[Accession Number -Assigned]]&amp;" "&amp;Master[[#This Row],[Inventory Suffix]]&amp;" "&amp;Master[[#This Row],[Inventory Type - Lookup Picker]]</f>
        <v>W6 59733  SD</v>
      </c>
      <c r="D147" s="7" t="str">
        <f>IF(Master[[#This Row],[Collector Voucher Number]]="","",Master[[#This Row],[Collector Voucher Number]])</f>
        <v>WY090-198</v>
      </c>
      <c r="E147" s="76" t="str">
        <f>IF(Master[[#This Row],[Voucher Location (1)]]="","",Master[[#This Row],[Voucher Location (1)]])</f>
        <v/>
      </c>
      <c r="F147" s="7" t="str">
        <f t="shared" si="4"/>
        <v>mm/dd/yyyy</v>
      </c>
      <c r="G147" s="2" t="str">
        <f>IF(Master[[#This Row],[Voucher Date]]="","",Master[[#This Row],[Voucher Date]])</f>
        <v/>
      </c>
      <c r="H147" s="17" t="str">
        <f>IF(Master[[#This Row],[Voucher Collector -name, organization]]="","",Master[[#This Row],[Voucher Collector -name, organization]])</f>
        <v>Boies, A., Grelecki, A.:In Field:05 OCT 2020</v>
      </c>
      <c r="I147" s="7" t="str">
        <f>IF(Master[[#This Row],[Note (Voucher)]]="","",Master[[#This Row],[Note (Voucher)]])</f>
        <v/>
      </c>
    </row>
    <row r="148" spans="2:9" x14ac:dyDescent="0.25">
      <c r="B148" s="7" t="str">
        <f>Master[[#This Row],[Accession Prefix (NPGS)]]&amp;" "&amp;Master[[#This Row],[Accession Number -Assigned]]</f>
        <v>W6 59734</v>
      </c>
      <c r="C148" s="7" t="str">
        <f>Master[[#This Row],[Accession Prefix (NPGS)]]&amp;" "&amp;Master[[#This Row],[Accession Number -Assigned]]&amp;" "&amp;Master[[#This Row],[Inventory Suffix]]&amp;" "&amp;Master[[#This Row],[Inventory Type - Lookup Picker]]</f>
        <v>W6 59734  SD</v>
      </c>
      <c r="D148" s="7" t="str">
        <f>IF(Master[[#This Row],[Collector Voucher Number]]="","",Master[[#This Row],[Collector Voucher Number]])</f>
        <v>WY090-199</v>
      </c>
      <c r="E148" s="76" t="str">
        <f>IF(Master[[#This Row],[Voucher Location (1)]]="","",Master[[#This Row],[Voucher Location (1)]])</f>
        <v/>
      </c>
      <c r="F148" s="7" t="str">
        <f t="shared" si="4"/>
        <v>mm/dd/yyyy</v>
      </c>
      <c r="G148" s="2" t="str">
        <f>IF(Master[[#This Row],[Voucher Date]]="","",Master[[#This Row],[Voucher Date]])</f>
        <v/>
      </c>
      <c r="H148" s="17" t="str">
        <f>IF(Master[[#This Row],[Voucher Collector -name, organization]]="","",Master[[#This Row],[Voucher Collector -name, organization]])</f>
        <v>Boies, A., Grelecki, A.:In Field:05 OCT 2020</v>
      </c>
      <c r="I148" s="7" t="str">
        <f>IF(Master[[#This Row],[Note (Voucher)]]="","",Master[[#This Row],[Note (Voucher)]])</f>
        <v/>
      </c>
    </row>
    <row r="149" spans="2:9" x14ac:dyDescent="0.25">
      <c r="B149" s="7" t="str">
        <f>Master[[#This Row],[Accession Prefix (NPGS)]]&amp;" "&amp;Master[[#This Row],[Accession Number -Assigned]]</f>
        <v>W6 59735</v>
      </c>
      <c r="C149" s="7" t="str">
        <f>Master[[#This Row],[Accession Prefix (NPGS)]]&amp;" "&amp;Master[[#This Row],[Accession Number -Assigned]]&amp;" "&amp;Master[[#This Row],[Inventory Suffix]]&amp;" "&amp;Master[[#This Row],[Inventory Type - Lookup Picker]]</f>
        <v>W6 59735  SD</v>
      </c>
      <c r="D149" s="7" t="str">
        <f>IF(Master[[#This Row],[Collector Voucher Number]]="","",Master[[#This Row],[Collector Voucher Number]])</f>
        <v>WY090-200</v>
      </c>
      <c r="E149" s="76" t="str">
        <f>IF(Master[[#This Row],[Voucher Location (1)]]="","",Master[[#This Row],[Voucher Location (1)]])</f>
        <v/>
      </c>
      <c r="F149" s="7" t="str">
        <f t="shared" si="4"/>
        <v>mm/dd/yyyy</v>
      </c>
      <c r="G149" s="2" t="str">
        <f>IF(Master[[#This Row],[Voucher Date]]="","",Master[[#This Row],[Voucher Date]])</f>
        <v/>
      </c>
      <c r="H149" s="17" t="str">
        <f>IF(Master[[#This Row],[Voucher Collector -name, organization]]="","",Master[[#This Row],[Voucher Collector -name, organization]])</f>
        <v>Boies, A., Grelecki, A.:From pressed specimen on day of collection:07 JUL 2020</v>
      </c>
      <c r="I149" s="7" t="str">
        <f>IF(Master[[#This Row],[Note (Voucher)]]="","",Master[[#This Row],[Note (Voucher)]])</f>
        <v/>
      </c>
    </row>
    <row r="150" spans="2:9" x14ac:dyDescent="0.25">
      <c r="B150" s="7" t="str">
        <f>Master[[#This Row],[Accession Prefix (NPGS)]]&amp;" "&amp;Master[[#This Row],[Accession Number -Assigned]]</f>
        <v>W6 59736</v>
      </c>
      <c r="C150" s="7" t="str">
        <f>Master[[#This Row],[Accession Prefix (NPGS)]]&amp;" "&amp;Master[[#This Row],[Accession Number -Assigned]]&amp;" "&amp;Master[[#This Row],[Inventory Suffix]]&amp;" "&amp;Master[[#This Row],[Inventory Type - Lookup Picker]]</f>
        <v>W6 59736  SD</v>
      </c>
      <c r="D150" s="7" t="str">
        <f>IF(Master[[#This Row],[Collector Voucher Number]]="","",Master[[#This Row],[Collector Voucher Number]])</f>
        <v>WY090-201</v>
      </c>
      <c r="E150" s="76" t="str">
        <f>IF(Master[[#This Row],[Voucher Location (1)]]="","",Master[[#This Row],[Voucher Location (1)]])</f>
        <v/>
      </c>
      <c r="F150" s="7" t="str">
        <f t="shared" ref="F150:F181" si="5">"mm/dd/yyyy"</f>
        <v>mm/dd/yyyy</v>
      </c>
      <c r="G150" s="2" t="str">
        <f>IF(Master[[#This Row],[Voucher Date]]="","",Master[[#This Row],[Voucher Date]])</f>
        <v/>
      </c>
      <c r="H150" s="17" t="str">
        <f>IF(Master[[#This Row],[Voucher Collector -name, organization]]="","",Master[[#This Row],[Voucher Collector -name, organization]])</f>
        <v>Boies, A., Grelecki, A.:In Field:07 OCT 2020</v>
      </c>
      <c r="I150" s="7" t="str">
        <f>IF(Master[[#This Row],[Note (Voucher)]]="","",Master[[#This Row],[Note (Voucher)]])</f>
        <v/>
      </c>
    </row>
    <row r="151" spans="2:9" x14ac:dyDescent="0.25">
      <c r="B151" s="7" t="str">
        <f>Master[[#This Row],[Accession Prefix (NPGS)]]&amp;" "&amp;Master[[#This Row],[Accession Number -Assigned]]</f>
        <v>W6 59737</v>
      </c>
      <c r="C151" s="7" t="str">
        <f>Master[[#This Row],[Accession Prefix (NPGS)]]&amp;" "&amp;Master[[#This Row],[Accession Number -Assigned]]&amp;" "&amp;Master[[#This Row],[Inventory Suffix]]&amp;" "&amp;Master[[#This Row],[Inventory Type - Lookup Picker]]</f>
        <v>W6 59737  SD</v>
      </c>
      <c r="D151" s="7" t="str">
        <f>IF(Master[[#This Row],[Collector Voucher Number]]="","",Master[[#This Row],[Collector Voucher Number]])</f>
        <v>WY090-202</v>
      </c>
      <c r="E151" s="76" t="str">
        <f>IF(Master[[#This Row],[Voucher Location (1)]]="","",Master[[#This Row],[Voucher Location (1)]])</f>
        <v>Smithsonian (US)</v>
      </c>
      <c r="F151" s="7" t="str">
        <f t="shared" si="5"/>
        <v>mm/dd/yyyy</v>
      </c>
      <c r="G151" s="2">
        <f>IF(Master[[#This Row],[Voucher Date]]="","",Master[[#This Row],[Voucher Date]])</f>
        <v>44000</v>
      </c>
      <c r="H151" s="17" t="str">
        <f>IF(Master[[#This Row],[Voucher Collector -name, organization]]="","",Master[[#This Row],[Voucher Collector -name, organization]])</f>
        <v>Boies, A., Grelecki, A.:In Field:18 JUN 2020</v>
      </c>
      <c r="I151" s="7" t="str">
        <f>IF(Master[[#This Row],[Note (Voucher)]]="","",Master[[#This Row],[Note (Voucher)]])</f>
        <v/>
      </c>
    </row>
    <row r="152" spans="2:9" x14ac:dyDescent="0.2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76" t="str">
        <f>IF(Master[[#This Row],[Voucher Location (1)]]="","",Master[[#This Row],[Voucher Location (1)]])</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2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76" t="str">
        <f>IF(Master[[#This Row],[Voucher Location (1)]]="","",Master[[#This Row],[Voucher Location (1)]])</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2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76" t="str">
        <f>IF(Master[[#This Row],[Voucher Location (1)]]="","",Master[[#This Row],[Voucher Location (1)]])</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2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76" t="str">
        <f>IF(Master[[#This Row],[Voucher Location (1)]]="","",Master[[#This Row],[Voucher Location (1)]])</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2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76" t="str">
        <f>IF(Master[[#This Row],[Voucher Location (1)]]="","",Master[[#This Row],[Voucher Location (1)]])</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2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76" t="str">
        <f>IF(Master[[#This Row],[Voucher Location (1)]]="","",Master[[#This Row],[Voucher Location (1)]])</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2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76" t="str">
        <f>IF(Master[[#This Row],[Voucher Location (1)]]="","",Master[[#This Row],[Voucher Location (1)]])</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2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76" t="str">
        <f>IF(Master[[#This Row],[Voucher Location (1)]]="","",Master[[#This Row],[Voucher Location (1)]])</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2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76" t="str">
        <f>IF(Master[[#This Row],[Voucher Location (1)]]="","",Master[[#This Row],[Voucher Location (1)]])</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2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76" t="str">
        <f>IF(Master[[#This Row],[Voucher Location (1)]]="","",Master[[#This Row],[Voucher Location (1)]])</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2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76" t="str">
        <f>IF(Master[[#This Row],[Voucher Location (1)]]="","",Master[[#This Row],[Voucher Location (1)]])</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2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76" t="str">
        <f>IF(Master[[#This Row],[Voucher Location (1)]]="","",Master[[#This Row],[Voucher Location (1)]])</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2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76" t="str">
        <f>IF(Master[[#This Row],[Voucher Location (1)]]="","",Master[[#This Row],[Voucher Location (1)]])</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2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76" t="str">
        <f>IF(Master[[#This Row],[Voucher Location (1)]]="","",Master[[#This Row],[Voucher Location (1)]])</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2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76" t="str">
        <f>IF(Master[[#This Row],[Voucher Location (1)]]="","",Master[[#This Row],[Voucher Location (1)]])</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2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76" t="str">
        <f>IF(Master[[#This Row],[Voucher Location (1)]]="","",Master[[#This Row],[Voucher Location (1)]])</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2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76" t="str">
        <f>IF(Master[[#This Row],[Voucher Location (1)]]="","",Master[[#This Row],[Voucher Location (1)]])</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2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76" t="str">
        <f>IF(Master[[#This Row],[Voucher Location (1)]]="","",Master[[#This Row],[Voucher Location (1)]])</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2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76" t="str">
        <f>IF(Master[[#This Row],[Voucher Location (1)]]="","",Master[[#This Row],[Voucher Location (1)]])</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2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76" t="str">
        <f>IF(Master[[#This Row],[Voucher Location (1)]]="","",Master[[#This Row],[Voucher Location (1)]])</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2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76" t="str">
        <f>IF(Master[[#This Row],[Voucher Location (1)]]="","",Master[[#This Row],[Voucher Location (1)]])</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2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76" t="str">
        <f>IF(Master[[#This Row],[Voucher Location (1)]]="","",Master[[#This Row],[Voucher Location (1)]])</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2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76" t="str">
        <f>IF(Master[[#This Row],[Voucher Location (1)]]="","",Master[[#This Row],[Voucher Location (1)]])</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2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76" t="str">
        <f>IF(Master[[#This Row],[Voucher Location (1)]]="","",Master[[#This Row],[Voucher Location (1)]])</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2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76" t="str">
        <f>IF(Master[[#This Row],[Voucher Location (1)]]="","",Master[[#This Row],[Voucher Location (1)]])</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2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76" t="str">
        <f>IF(Master[[#This Row],[Voucher Location (1)]]="","",Master[[#This Row],[Voucher Location (1)]])</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2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76" t="str">
        <f>IF(Master[[#This Row],[Voucher Location (1)]]="","",Master[[#This Row],[Voucher Location (1)]])</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2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76" t="str">
        <f>IF(Master[[#This Row],[Voucher Location (1)]]="","",Master[[#This Row],[Voucher Location (1)]])</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2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76" t="str">
        <f>IF(Master[[#This Row],[Voucher Location (1)]]="","",Master[[#This Row],[Voucher Location (1)]])</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2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76" t="str">
        <f>IF(Master[[#This Row],[Voucher Location (1)]]="","",Master[[#This Row],[Voucher Location (1)]])</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2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76" t="str">
        <f>IF(Master[[#This Row],[Voucher Location (1)]]="","",Master[[#This Row],[Voucher Location (1)]])</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2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76" t="str">
        <f>IF(Master[[#This Row],[Voucher Location (1)]]="","",Master[[#This Row],[Voucher Location (1)]])</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2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76" t="str">
        <f>IF(Master[[#This Row],[Voucher Location (1)]]="","",Master[[#This Row],[Voucher Location (1)]])</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2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76" t="str">
        <f>IF(Master[[#This Row],[Voucher Location (1)]]="","",Master[[#This Row],[Voucher Location (1)]])</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2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76" t="str">
        <f>IF(Master[[#This Row],[Voucher Location (1)]]="","",Master[[#This Row],[Voucher Location (1)]])</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2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76" t="str">
        <f>IF(Master[[#This Row],[Voucher Location (1)]]="","",Master[[#This Row],[Voucher Location (1)]])</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2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76" t="str">
        <f>IF(Master[[#This Row],[Voucher Location (1)]]="","",Master[[#This Row],[Voucher Location (1)]])</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2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76" t="str">
        <f>IF(Master[[#This Row],[Voucher Location (1)]]="","",Master[[#This Row],[Voucher Location (1)]])</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2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76" t="str">
        <f>IF(Master[[#This Row],[Voucher Location (1)]]="","",Master[[#This Row],[Voucher Location (1)]])</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2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76" t="str">
        <f>IF(Master[[#This Row],[Voucher Location (1)]]="","",Master[[#This Row],[Voucher Location (1)]])</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2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76" t="str">
        <f>IF(Master[[#This Row],[Voucher Location (1)]]="","",Master[[#This Row],[Voucher Location (1)]])</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2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76" t="str">
        <f>IF(Master[[#This Row],[Voucher Location (1)]]="","",Master[[#This Row],[Voucher Location (1)]])</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2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76" t="str">
        <f>IF(Master[[#This Row],[Voucher Location (1)]]="","",Master[[#This Row],[Voucher Location (1)]])</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2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76" t="str">
        <f>IF(Master[[#This Row],[Voucher Location (1)]]="","",Master[[#This Row],[Voucher Location (1)]])</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2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76" t="str">
        <f>IF(Master[[#This Row],[Voucher Location (1)]]="","",Master[[#This Row],[Voucher Location (1)]])</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2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76" t="str">
        <f>IF(Master[[#This Row],[Voucher Location (1)]]="","",Master[[#This Row],[Voucher Location (1)]])</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2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76" t="str">
        <f>IF(Master[[#This Row],[Voucher Location (1)]]="","",Master[[#This Row],[Voucher Location (1)]])</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2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76" t="str">
        <f>IF(Master[[#This Row],[Voucher Location (1)]]="","",Master[[#This Row],[Voucher Location (1)]])</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2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76" t="str">
        <f>IF(Master[[#This Row],[Voucher Location (1)]]="","",Master[[#This Row],[Voucher Location (1)]])</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2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76" t="str">
        <f>IF(Master[[#This Row],[Voucher Location (1)]]="","",Master[[#This Row],[Voucher Location (1)]])</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4">
    <tabColor theme="0" tint="-0.249977111117893"/>
  </sheetPr>
  <dimension ref="A1:O201"/>
  <sheetViews>
    <sheetView workbookViewId="0">
      <selection activeCell="A2" sqref="A2"/>
    </sheetView>
  </sheetViews>
  <sheetFormatPr defaultColWidth="9.140625" defaultRowHeight="15" x14ac:dyDescent="0.25"/>
  <cols>
    <col min="1" max="4" width="16.28515625" style="7"/>
    <col min="5" max="5" width="18" style="7" customWidth="1"/>
    <col min="6" max="6" width="11.5703125" style="7" customWidth="1"/>
    <col min="7" max="7" width="13.28515625" style="7" customWidth="1"/>
    <col min="8" max="8" width="96.5703125" style="7" bestFit="1" customWidth="1"/>
    <col min="9" max="9" width="16.28515625" style="7"/>
    <col min="10" max="10" width="11.7109375" style="7" bestFit="1" customWidth="1"/>
    <col min="11" max="11" width="13.85546875" style="7" bestFit="1" customWidth="1"/>
    <col min="12" max="12" width="23.5703125" style="7" bestFit="1" customWidth="1"/>
    <col min="13" max="13" width="13.85546875" style="7" bestFit="1" customWidth="1"/>
    <col min="14" max="14" width="23.5703125" style="7" bestFit="1" customWidth="1"/>
    <col min="15" max="15" width="13.85546875" style="7" bestFit="1" customWidth="1"/>
    <col min="16" max="16" width="23.5703125" style="7" bestFit="1" customWidth="1"/>
    <col min="17" max="16384" width="9.140625" style="7"/>
  </cols>
  <sheetData>
    <row r="1" spans="1:15" s="119" customFormat="1" ht="45" x14ac:dyDescent="0.25">
      <c r="A1" s="116" t="s">
        <v>75</v>
      </c>
      <c r="B1" s="116" t="s">
        <v>10</v>
      </c>
      <c r="C1" s="118" t="s">
        <v>31</v>
      </c>
      <c r="D1" s="116" t="s">
        <v>76</v>
      </c>
      <c r="E1" s="118" t="s">
        <v>77</v>
      </c>
      <c r="F1" s="116" t="s">
        <v>78</v>
      </c>
      <c r="G1" s="116" t="s">
        <v>44</v>
      </c>
      <c r="H1" s="116" t="s">
        <v>9</v>
      </c>
      <c r="I1" s="116" t="s">
        <v>514</v>
      </c>
    </row>
    <row r="2" spans="1:15" ht="15.75" x14ac:dyDescent="0.2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(2)]]="","",Master[[#This Row],[Voucher Location (2)]])</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8"/>
      <c r="M2" s="8"/>
      <c r="O2" s="8"/>
    </row>
    <row r="3" spans="1:15" x14ac:dyDescent="0.2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ACC_NUM</v>
      </c>
      <c r="E3" s="17" t="str">
        <f>IF(Master[[#This Row],[Voucher Location (2)]]="","",Master[[#This Row],[Voucher Location (2)]])</f>
        <v>LOC2</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8"/>
      <c r="M3" s="8"/>
      <c r="O3" s="8"/>
    </row>
    <row r="4" spans="1:15" x14ac:dyDescent="0.25">
      <c r="B4" s="7" t="str">
        <f>Master[[#This Row],[Accession Prefix (NPGS)]]&amp;" "&amp;Master[[#This Row],[Accession Number -Assigned]]</f>
        <v>W6 59590</v>
      </c>
      <c r="C4" s="7" t="str">
        <f>Master[[#This Row],[Accession Prefix (NPGS)]]&amp;" "&amp;Master[[#This Row],[Accession Number -Assigned]]&amp;" "&amp;Master[[#This Row],[Inventory Suffix]]&amp;" "&amp;Master[[#This Row],[Inventory Type - Lookup Picker]]</f>
        <v>W6 59590  SD</v>
      </c>
      <c r="D4" s="7" t="str">
        <f>IF(Master[[#This Row],[Collector Voucher Number]]="","",Master[[#This Row],[Collector Voucher Number]])</f>
        <v>CO932-397</v>
      </c>
      <c r="E4" s="17" t="str">
        <f>IF(Master[[#This Row],[Voucher Location (2)]]="","",Master[[#This Row],[Voucher Location (2)]])</f>
        <v>Denver Botanic Gardens (KHD)</v>
      </c>
      <c r="F4" s="7" t="str">
        <f t="shared" si="0"/>
        <v>mm/dd/yyyy</v>
      </c>
      <c r="G4" s="2">
        <f>IF(Master[[#This Row],[Voucher Date]]="","",Master[[#This Row],[Voucher Date]])</f>
        <v>43992</v>
      </c>
      <c r="H4" s="17" t="str">
        <f>IF(Master[[#This Row],[Voucher Collector -name, organization]]="","",Master[[#This Row],[Voucher Collector -name, organization]])</f>
        <v>M. Gardner, E. Varone DBG:In Field:10 JUN 2020</v>
      </c>
      <c r="I4" s="7" t="str">
        <f>IF(Master[[#This Row],[Note (Voucher)]]="","",Master[[#This Row],[Note (Voucher)]])</f>
        <v/>
      </c>
      <c r="K4" s="8"/>
      <c r="M4" s="8"/>
      <c r="O4" s="8"/>
    </row>
    <row r="5" spans="1:15" x14ac:dyDescent="0.25">
      <c r="B5" s="7" t="str">
        <f>Master[[#This Row],[Accession Prefix (NPGS)]]&amp;" "&amp;Master[[#This Row],[Accession Number -Assigned]]</f>
        <v>W6 59591</v>
      </c>
      <c r="C5" s="7" t="str">
        <f>Master[[#This Row],[Accession Prefix (NPGS)]]&amp;" "&amp;Master[[#This Row],[Accession Number -Assigned]]&amp;" "&amp;Master[[#This Row],[Inventory Suffix]]&amp;" "&amp;Master[[#This Row],[Inventory Type - Lookup Picker]]</f>
        <v>W6 59591  SD</v>
      </c>
      <c r="D5" s="7" t="str">
        <f>IF(Master[[#This Row],[Collector Voucher Number]]="","",Master[[#This Row],[Collector Voucher Number]])</f>
        <v>CO932-398</v>
      </c>
      <c r="E5" s="17" t="str">
        <f>IF(Master[[#This Row],[Voucher Location (2)]]="","",Master[[#This Row],[Voucher Location (2)]])</f>
        <v>Denver Botanic Gardens (KHD)</v>
      </c>
      <c r="F5" s="7" t="str">
        <f t="shared" si="0"/>
        <v>mm/dd/yyyy</v>
      </c>
      <c r="G5" s="2">
        <f>IF(Master[[#This Row],[Voucher Date]]="","",Master[[#This Row],[Voucher Date]])</f>
        <v>43992</v>
      </c>
      <c r="H5" s="17" t="str">
        <f>IF(Master[[#This Row],[Voucher Collector -name, organization]]="","",Master[[#This Row],[Voucher Collector -name, organization]])</f>
        <v>M. Gardner, E. Varone DBG:In Field:10 JUN 2020</v>
      </c>
      <c r="I5" s="7" t="str">
        <f>IF(Master[[#This Row],[Note (Voucher)]]="","",Master[[#This Row],[Note (Voucher)]])</f>
        <v/>
      </c>
    </row>
    <row r="6" spans="1:15" x14ac:dyDescent="0.25">
      <c r="B6" s="7" t="str">
        <f>Master[[#This Row],[Accession Prefix (NPGS)]]&amp;" "&amp;Master[[#This Row],[Accession Number -Assigned]]</f>
        <v>W6 59592</v>
      </c>
      <c r="C6" s="7" t="str">
        <f>Master[[#This Row],[Accession Prefix (NPGS)]]&amp;" "&amp;Master[[#This Row],[Accession Number -Assigned]]&amp;" "&amp;Master[[#This Row],[Inventory Suffix]]&amp;" "&amp;Master[[#This Row],[Inventory Type - Lookup Picker]]</f>
        <v>W6 59592  SD</v>
      </c>
      <c r="D6" s="7" t="str">
        <f>IF(Master[[#This Row],[Collector Voucher Number]]="","",Master[[#This Row],[Collector Voucher Number]])</f>
        <v>CO932-399</v>
      </c>
      <c r="E6" s="17" t="str">
        <f>IF(Master[[#This Row],[Voucher Location (2)]]="","",Master[[#This Row],[Voucher Location (2)]])</f>
        <v>Denver Botanic Gardens (KHD)</v>
      </c>
      <c r="F6" s="7" t="str">
        <f t="shared" si="0"/>
        <v>mm/dd/yyyy</v>
      </c>
      <c r="G6" s="2">
        <f>IF(Master[[#This Row],[Voucher Date]]="","",Master[[#This Row],[Voucher Date]])</f>
        <v>44021</v>
      </c>
      <c r="H6" s="17" t="str">
        <f>IF(Master[[#This Row],[Voucher Collector -name, organization]]="","",Master[[#This Row],[Voucher Collector -name, organization]])</f>
        <v>Gardner, M., Varone, E.:In Field:09 JUL 2020</v>
      </c>
      <c r="I6" s="7" t="str">
        <f>IF(Master[[#This Row],[Note (Voucher)]]="","",Master[[#This Row],[Note (Voucher)]])</f>
        <v/>
      </c>
    </row>
    <row r="7" spans="1:15" x14ac:dyDescent="0.25">
      <c r="B7" s="7" t="str">
        <f>Master[[#This Row],[Accession Prefix (NPGS)]]&amp;" "&amp;Master[[#This Row],[Accession Number -Assigned]]</f>
        <v>W6 59593</v>
      </c>
      <c r="C7" s="7" t="str">
        <f>Master[[#This Row],[Accession Prefix (NPGS)]]&amp;" "&amp;Master[[#This Row],[Accession Number -Assigned]]&amp;" "&amp;Master[[#This Row],[Inventory Suffix]]&amp;" "&amp;Master[[#This Row],[Inventory Type - Lookup Picker]]</f>
        <v>W6 59593  SD</v>
      </c>
      <c r="D7" s="7" t="str">
        <f>IF(Master[[#This Row],[Collector Voucher Number]]="","",Master[[#This Row],[Collector Voucher Number]])</f>
        <v>CO932-401</v>
      </c>
      <c r="E7" s="17" t="str">
        <f>IF(Master[[#This Row],[Voucher Location (2)]]="","",Master[[#This Row],[Voucher Location (2)]])</f>
        <v>Denver Botanic Gardens (KHD)</v>
      </c>
      <c r="F7" s="7" t="str">
        <f t="shared" si="0"/>
        <v>mm/dd/yyyy</v>
      </c>
      <c r="G7" s="2">
        <f>IF(Master[[#This Row],[Voucher Date]]="","",Master[[#This Row],[Voucher Date]])</f>
        <v>43992</v>
      </c>
      <c r="H7" s="17" t="str">
        <f>IF(Master[[#This Row],[Voucher Collector -name, organization]]="","",Master[[#This Row],[Voucher Collector -name, organization]])</f>
        <v>Gardner, M., Varone, E.:In Field:10 JUN 2020</v>
      </c>
      <c r="I7" s="7" t="str">
        <f>IF(Master[[#This Row],[Note (Voucher)]]="","",Master[[#This Row],[Note (Voucher)]])</f>
        <v/>
      </c>
    </row>
    <row r="8" spans="1:15" x14ac:dyDescent="0.25">
      <c r="B8" s="7" t="str">
        <f>Master[[#This Row],[Accession Prefix (NPGS)]]&amp;" "&amp;Master[[#This Row],[Accession Number -Assigned]]</f>
        <v>W6 59594</v>
      </c>
      <c r="C8" s="7" t="str">
        <f>Master[[#This Row],[Accession Prefix (NPGS)]]&amp;" "&amp;Master[[#This Row],[Accession Number -Assigned]]&amp;" "&amp;Master[[#This Row],[Inventory Suffix]]&amp;" "&amp;Master[[#This Row],[Inventory Type - Lookup Picker]]</f>
        <v>W6 59594  SD</v>
      </c>
      <c r="D8" s="7" t="str">
        <f>IF(Master[[#This Row],[Collector Voucher Number]]="","",Master[[#This Row],[Collector Voucher Number]])</f>
        <v>CO932-402</v>
      </c>
      <c r="E8" s="17" t="str">
        <f>IF(Master[[#This Row],[Voucher Location (2)]]="","",Master[[#This Row],[Voucher Location (2)]])</f>
        <v>Denver Botanic Gardens (KHD)</v>
      </c>
      <c r="F8" s="7" t="str">
        <f t="shared" si="0"/>
        <v>mm/dd/yyyy</v>
      </c>
      <c r="G8" s="2">
        <f>IF(Master[[#This Row],[Voucher Date]]="","",Master[[#This Row],[Voucher Date]])</f>
        <v>44034</v>
      </c>
      <c r="H8" s="17" t="str">
        <f>IF(Master[[#This Row],[Voucher Collector -name, organization]]="","",Master[[#This Row],[Voucher Collector -name, organization]])</f>
        <v>M. Gardner, E. Varone DBG:In Field:22 JUL 2020</v>
      </c>
      <c r="I8" s="7" t="str">
        <f>IF(Master[[#This Row],[Note (Voucher)]]="","",Master[[#This Row],[Note (Voucher)]])</f>
        <v/>
      </c>
    </row>
    <row r="9" spans="1:15" x14ac:dyDescent="0.25">
      <c r="B9" s="7" t="str">
        <f>Master[[#This Row],[Accession Prefix (NPGS)]]&amp;" "&amp;Master[[#This Row],[Accession Number -Assigned]]</f>
        <v>W6 59595</v>
      </c>
      <c r="C9" s="7" t="str">
        <f>Master[[#This Row],[Accession Prefix (NPGS)]]&amp;" "&amp;Master[[#This Row],[Accession Number -Assigned]]&amp;" "&amp;Master[[#This Row],[Inventory Suffix]]&amp;" "&amp;Master[[#This Row],[Inventory Type - Lookup Picker]]</f>
        <v>W6 59595  SD</v>
      </c>
      <c r="D9" s="7" t="str">
        <f>IF(Master[[#This Row],[Collector Voucher Number]]="","",Master[[#This Row],[Collector Voucher Number]])</f>
        <v>CO932-403</v>
      </c>
      <c r="E9" s="17" t="str">
        <f>IF(Master[[#This Row],[Voucher Location (2)]]="","",Master[[#This Row],[Voucher Location (2)]])</f>
        <v>Denver Botanic Gardens (KHD)</v>
      </c>
      <c r="F9" s="7" t="str">
        <f t="shared" si="0"/>
        <v>mm/dd/yyyy</v>
      </c>
      <c r="G9" s="2">
        <f>IF(Master[[#This Row],[Voucher Date]]="","",Master[[#This Row],[Voucher Date]])</f>
        <v>44028</v>
      </c>
      <c r="H9" s="17" t="str">
        <f>IF(Master[[#This Row],[Voucher Collector -name, organization]]="","",Master[[#This Row],[Voucher Collector -name, organization]])</f>
        <v>M. Gardner, E. Varone DBG:In Field:16 JUL 2020</v>
      </c>
      <c r="I9" s="7" t="str">
        <f>IF(Master[[#This Row],[Note (Voucher)]]="","",Master[[#This Row],[Note (Voucher)]])</f>
        <v/>
      </c>
    </row>
    <row r="10" spans="1:15" x14ac:dyDescent="0.25">
      <c r="B10" s="7" t="str">
        <f>Master[[#This Row],[Accession Prefix (NPGS)]]&amp;" "&amp;Master[[#This Row],[Accession Number -Assigned]]</f>
        <v>W6 59596</v>
      </c>
      <c r="C10" s="7" t="str">
        <f>Master[[#This Row],[Accession Prefix (NPGS)]]&amp;" "&amp;Master[[#This Row],[Accession Number -Assigned]]&amp;" "&amp;Master[[#This Row],[Inventory Suffix]]&amp;" "&amp;Master[[#This Row],[Inventory Type - Lookup Picker]]</f>
        <v>W6 59596  SD</v>
      </c>
      <c r="D10" s="7" t="str">
        <f>IF(Master[[#This Row],[Collector Voucher Number]]="","",Master[[#This Row],[Collector Voucher Number]])</f>
        <v>CO932-404</v>
      </c>
      <c r="E10" s="17" t="str">
        <f>IF(Master[[#This Row],[Voucher Location (2)]]="","",Master[[#This Row],[Voucher Location (2)]])</f>
        <v>Denver Botanic Gardens (KHD)</v>
      </c>
      <c r="F10" s="7" t="str">
        <f t="shared" si="0"/>
        <v>mm/dd/yyyy</v>
      </c>
      <c r="G10" s="2">
        <f>IF(Master[[#This Row],[Voucher Date]]="","",Master[[#This Row],[Voucher Date]])</f>
        <v>44021</v>
      </c>
      <c r="H10" s="17" t="str">
        <f>IF(Master[[#This Row],[Voucher Collector -name, organization]]="","",Master[[#This Row],[Voucher Collector -name, organization]])</f>
        <v>M. Gardner, E. Varone DBG:In Field:09 JUL 2020</v>
      </c>
      <c r="I10" s="7" t="str">
        <f>IF(Master[[#This Row],[Note (Voucher)]]="","",Master[[#This Row],[Note (Voucher)]])</f>
        <v/>
      </c>
    </row>
    <row r="11" spans="1:15" x14ac:dyDescent="0.25">
      <c r="B11" s="7" t="str">
        <f>Master[[#This Row],[Accession Prefix (NPGS)]]&amp;" "&amp;Master[[#This Row],[Accession Number -Assigned]]</f>
        <v>W6 59597</v>
      </c>
      <c r="C11" s="7" t="str">
        <f>Master[[#This Row],[Accession Prefix (NPGS)]]&amp;" "&amp;Master[[#This Row],[Accession Number -Assigned]]&amp;" "&amp;Master[[#This Row],[Inventory Suffix]]&amp;" "&amp;Master[[#This Row],[Inventory Type - Lookup Picker]]</f>
        <v>W6 59597  SD</v>
      </c>
      <c r="D11" s="7" t="str">
        <f>IF(Master[[#This Row],[Collector Voucher Number]]="","",Master[[#This Row],[Collector Voucher Number]])</f>
        <v>CO932-405</v>
      </c>
      <c r="E11" s="17" t="str">
        <f>IF(Master[[#This Row],[Voucher Location (2)]]="","",Master[[#This Row],[Voucher Location (2)]])</f>
        <v>Denver Botanic Gardens (KHD)</v>
      </c>
      <c r="F11" s="7" t="str">
        <f t="shared" si="0"/>
        <v>mm/dd/yyyy</v>
      </c>
      <c r="G11" s="2">
        <f>IF(Master[[#This Row],[Voucher Date]]="","",Master[[#This Row],[Voucher Date]])</f>
        <v>44020</v>
      </c>
      <c r="H11" s="17" t="str">
        <f>IF(Master[[#This Row],[Voucher Collector -name, organization]]="","",Master[[#This Row],[Voucher Collector -name, organization]])</f>
        <v>M. Gardner, E. Varone DBG:In Field:08 JUL 2020</v>
      </c>
      <c r="I11" s="7" t="str">
        <f>IF(Master[[#This Row],[Note (Voucher)]]="","",Master[[#This Row],[Note (Voucher)]])</f>
        <v/>
      </c>
    </row>
    <row r="12" spans="1:15" x14ac:dyDescent="0.25">
      <c r="B12" s="7" t="str">
        <f>Master[[#This Row],[Accession Prefix (NPGS)]]&amp;" "&amp;Master[[#This Row],[Accession Number -Assigned]]</f>
        <v>W6 59598</v>
      </c>
      <c r="C12" s="7" t="str">
        <f>Master[[#This Row],[Accession Prefix (NPGS)]]&amp;" "&amp;Master[[#This Row],[Accession Number -Assigned]]&amp;" "&amp;Master[[#This Row],[Inventory Suffix]]&amp;" "&amp;Master[[#This Row],[Inventory Type - Lookup Picker]]</f>
        <v>W6 59598  SD</v>
      </c>
      <c r="D12" s="7" t="str">
        <f>IF(Master[[#This Row],[Collector Voucher Number]]="","",Master[[#This Row],[Collector Voucher Number]])</f>
        <v>CO932-406</v>
      </c>
      <c r="E12" s="17" t="str">
        <f>IF(Master[[#This Row],[Voucher Location (2)]]="","",Master[[#This Row],[Voucher Location (2)]])</f>
        <v>Denver Botanic Gardens (KHD)</v>
      </c>
      <c r="F12" s="7" t="str">
        <f t="shared" si="0"/>
        <v>mm/dd/yyyy</v>
      </c>
      <c r="G12" s="2">
        <f>IF(Master[[#This Row],[Voucher Date]]="","",Master[[#This Row],[Voucher Date]])</f>
        <v>44041</v>
      </c>
      <c r="H12" s="17" t="str">
        <f>IF(Master[[#This Row],[Voucher Collector -name, organization]]="","",Master[[#This Row],[Voucher Collector -name, organization]])</f>
        <v>Gardner, M., Varone, E.:In Field:29 JUL 2020</v>
      </c>
      <c r="I12" s="7" t="str">
        <f>IF(Master[[#This Row],[Note (Voucher)]]="","",Master[[#This Row],[Note (Voucher)]])</f>
        <v/>
      </c>
    </row>
    <row r="13" spans="1:15" x14ac:dyDescent="0.25">
      <c r="B13" s="7" t="str">
        <f>Master[[#This Row],[Accession Prefix (NPGS)]]&amp;" "&amp;Master[[#This Row],[Accession Number -Assigned]]</f>
        <v>W6 59599</v>
      </c>
      <c r="C13" s="7" t="str">
        <f>Master[[#This Row],[Accession Prefix (NPGS)]]&amp;" "&amp;Master[[#This Row],[Accession Number -Assigned]]&amp;" "&amp;Master[[#This Row],[Inventory Suffix]]&amp;" "&amp;Master[[#This Row],[Inventory Type - Lookup Picker]]</f>
        <v>W6 59599  SD</v>
      </c>
      <c r="D13" s="7" t="str">
        <f>IF(Master[[#This Row],[Collector Voucher Number]]="","",Master[[#This Row],[Collector Voucher Number]])</f>
        <v>CO932-407</v>
      </c>
      <c r="E13" s="17" t="str">
        <f>IF(Master[[#This Row],[Voucher Location (2)]]="","",Master[[#This Row],[Voucher Location (2)]])</f>
        <v>Denver Botanic Gardens (KHD)</v>
      </c>
      <c r="F13" s="7" t="str">
        <f t="shared" si="0"/>
        <v>mm/dd/yyyy</v>
      </c>
      <c r="G13" s="2">
        <f>IF(Master[[#This Row],[Voucher Date]]="","",Master[[#This Row],[Voucher Date]])</f>
        <v>44040</v>
      </c>
      <c r="H13" s="17" t="str">
        <f>IF(Master[[#This Row],[Voucher Collector -name, organization]]="","",Master[[#This Row],[Voucher Collector -name, organization]])</f>
        <v>Gardner, M., Varone, E.:In Field:28 JUL 2020</v>
      </c>
      <c r="I13" s="7" t="str">
        <f>IF(Master[[#This Row],[Note (Voucher)]]="","",Master[[#This Row],[Note (Voucher)]])</f>
        <v/>
      </c>
    </row>
    <row r="14" spans="1:15" x14ac:dyDescent="0.25">
      <c r="B14" s="7" t="str">
        <f>Master[[#This Row],[Accession Prefix (NPGS)]]&amp;" "&amp;Master[[#This Row],[Accession Number -Assigned]]</f>
        <v>W6 59600</v>
      </c>
      <c r="C14" s="7" t="str">
        <f>Master[[#This Row],[Accession Prefix (NPGS)]]&amp;" "&amp;Master[[#This Row],[Accession Number -Assigned]]&amp;" "&amp;Master[[#This Row],[Inventory Suffix]]&amp;" "&amp;Master[[#This Row],[Inventory Type - Lookup Picker]]</f>
        <v>W6 59600  SD</v>
      </c>
      <c r="D14" s="7" t="str">
        <f>IF(Master[[#This Row],[Collector Voucher Number]]="","",Master[[#This Row],[Collector Voucher Number]])</f>
        <v>CO932-408</v>
      </c>
      <c r="E14" s="17" t="str">
        <f>IF(Master[[#This Row],[Voucher Location (2)]]="","",Master[[#This Row],[Voucher Location (2)]])</f>
        <v>Denver Botanic Gardens (KHD)</v>
      </c>
      <c r="F14" s="7" t="str">
        <f t="shared" si="0"/>
        <v>mm/dd/yyyy</v>
      </c>
      <c r="G14" s="2">
        <f>IF(Master[[#This Row],[Voucher Date]]="","",Master[[#This Row],[Voucher Date]])</f>
        <v>44028</v>
      </c>
      <c r="H14" s="17" t="str">
        <f>IF(Master[[#This Row],[Voucher Collector -name, organization]]="","",Master[[#This Row],[Voucher Collector -name, organization]])</f>
        <v>Gardner, M., Varone, E.:In Field:16 JUL 2020</v>
      </c>
      <c r="I14" s="7" t="str">
        <f>IF(Master[[#This Row],[Note (Voucher)]]="","",Master[[#This Row],[Note (Voucher)]])</f>
        <v/>
      </c>
    </row>
    <row r="15" spans="1:15" x14ac:dyDescent="0.25">
      <c r="B15" s="7" t="str">
        <f>Master[[#This Row],[Accession Prefix (NPGS)]]&amp;" "&amp;Master[[#This Row],[Accession Number -Assigned]]</f>
        <v>W6 59601</v>
      </c>
      <c r="C15" s="7" t="str">
        <f>Master[[#This Row],[Accession Prefix (NPGS)]]&amp;" "&amp;Master[[#This Row],[Accession Number -Assigned]]&amp;" "&amp;Master[[#This Row],[Inventory Suffix]]&amp;" "&amp;Master[[#This Row],[Inventory Type - Lookup Picker]]</f>
        <v>W6 59601  SD</v>
      </c>
      <c r="D15" s="7" t="str">
        <f>IF(Master[[#This Row],[Collector Voucher Number]]="","",Master[[#This Row],[Collector Voucher Number]])</f>
        <v>CO932-409</v>
      </c>
      <c r="E15" s="17" t="str">
        <f>IF(Master[[#This Row],[Voucher Location (2)]]="","",Master[[#This Row],[Voucher Location (2)]])</f>
        <v>Denver Botanic Gardens (KHD)</v>
      </c>
      <c r="F15" s="7" t="str">
        <f t="shared" si="0"/>
        <v>mm/dd/yyyy</v>
      </c>
      <c r="G15" s="2">
        <f>IF(Master[[#This Row],[Voucher Date]]="","",Master[[#This Row],[Voucher Date]])</f>
        <v>44046</v>
      </c>
      <c r="H15" s="17" t="str">
        <f>IF(Master[[#This Row],[Voucher Collector -name, organization]]="","",Master[[#This Row],[Voucher Collector -name, organization]])</f>
        <v>M. Gardner, E. Varone DBG:In Field:03 AUG 2020</v>
      </c>
      <c r="I15" s="7" t="str">
        <f>IF(Master[[#This Row],[Note (Voucher)]]="","",Master[[#This Row],[Note (Voucher)]])</f>
        <v/>
      </c>
    </row>
    <row r="16" spans="1:15" x14ac:dyDescent="0.25">
      <c r="B16" s="7" t="str">
        <f>Master[[#This Row],[Accession Prefix (NPGS)]]&amp;" "&amp;Master[[#This Row],[Accession Number -Assigned]]</f>
        <v>W6 59602</v>
      </c>
      <c r="C16" s="7" t="str">
        <f>Master[[#This Row],[Accession Prefix (NPGS)]]&amp;" "&amp;Master[[#This Row],[Accession Number -Assigned]]&amp;" "&amp;Master[[#This Row],[Inventory Suffix]]&amp;" "&amp;Master[[#This Row],[Inventory Type - Lookup Picker]]</f>
        <v>W6 59602  SD</v>
      </c>
      <c r="D16" s="7" t="str">
        <f>IF(Master[[#This Row],[Collector Voucher Number]]="","",Master[[#This Row],[Collector Voucher Number]])</f>
        <v>CO932-410</v>
      </c>
      <c r="E16" s="17" t="str">
        <f>IF(Master[[#This Row],[Voucher Location (2)]]="","",Master[[#This Row],[Voucher Location (2)]])</f>
        <v>Denver Botanic Gardens (KHD)</v>
      </c>
      <c r="F16" s="7" t="str">
        <f t="shared" si="0"/>
        <v>mm/dd/yyyy</v>
      </c>
      <c r="G16" s="2">
        <f>IF(Master[[#This Row],[Voucher Date]]="","",Master[[#This Row],[Voucher Date]])</f>
        <v>44077</v>
      </c>
      <c r="H16" s="17" t="str">
        <f>IF(Master[[#This Row],[Voucher Collector -name, organization]]="","",Master[[#This Row],[Voucher Collector -name, organization]])</f>
        <v>M. Gardner, E. Varone DBG:In Field:03 SEP 2020</v>
      </c>
      <c r="I16" s="7" t="str">
        <f>IF(Master[[#This Row],[Note (Voucher)]]="","",Master[[#This Row],[Note (Voucher)]])</f>
        <v/>
      </c>
    </row>
    <row r="17" spans="2:9" x14ac:dyDescent="0.25">
      <c r="B17" s="7" t="str">
        <f>Master[[#This Row],[Accession Prefix (NPGS)]]&amp;" "&amp;Master[[#This Row],[Accession Number -Assigned]]</f>
        <v>W6 59603</v>
      </c>
      <c r="C17" s="7" t="str">
        <f>Master[[#This Row],[Accession Prefix (NPGS)]]&amp;" "&amp;Master[[#This Row],[Accession Number -Assigned]]&amp;" "&amp;Master[[#This Row],[Inventory Suffix]]&amp;" "&amp;Master[[#This Row],[Inventory Type - Lookup Picker]]</f>
        <v>W6 59603  SD</v>
      </c>
      <c r="D17" s="7" t="str">
        <f>IF(Master[[#This Row],[Collector Voucher Number]]="","",Master[[#This Row],[Collector Voucher Number]])</f>
        <v>CO932-411</v>
      </c>
      <c r="E17" s="17" t="str">
        <f>IF(Master[[#This Row],[Voucher Location (2)]]="","",Master[[#This Row],[Voucher Location (2)]])</f>
        <v>Denver Botanic Gardens (KHD)</v>
      </c>
      <c r="F17" s="7" t="str">
        <f t="shared" si="0"/>
        <v>mm/dd/yyyy</v>
      </c>
      <c r="G17" s="2">
        <f>IF(Master[[#This Row],[Voucher Date]]="","",Master[[#This Row],[Voucher Date]])</f>
        <v>44076</v>
      </c>
      <c r="H17" s="17" t="str">
        <f>IF(Master[[#This Row],[Voucher Collector -name, organization]]="","",Master[[#This Row],[Voucher Collector -name, organization]])</f>
        <v>Gardner, M., Varone, E.:In Field:02 SEP 2020</v>
      </c>
      <c r="I17" s="7" t="str">
        <f>IF(Master[[#This Row],[Note (Voucher)]]="","",Master[[#This Row],[Note (Voucher)]])</f>
        <v/>
      </c>
    </row>
    <row r="18" spans="2:9" x14ac:dyDescent="0.25">
      <c r="B18" s="7" t="str">
        <f>Master[[#This Row],[Accession Prefix (NPGS)]]&amp;" "&amp;Master[[#This Row],[Accession Number -Assigned]]</f>
        <v>W6 59604</v>
      </c>
      <c r="C18" s="7" t="str">
        <f>Master[[#This Row],[Accession Prefix (NPGS)]]&amp;" "&amp;Master[[#This Row],[Accession Number -Assigned]]&amp;" "&amp;Master[[#This Row],[Inventory Suffix]]&amp;" "&amp;Master[[#This Row],[Inventory Type - Lookup Picker]]</f>
        <v>W6 59604  SD</v>
      </c>
      <c r="D18" s="7" t="str">
        <f>IF(Master[[#This Row],[Collector Voucher Number]]="","",Master[[#This Row],[Collector Voucher Number]])</f>
        <v>CO932-412</v>
      </c>
      <c r="E18" s="17" t="str">
        <f>IF(Master[[#This Row],[Voucher Location (2)]]="","",Master[[#This Row],[Voucher Location (2)]])</f>
        <v>Denver Botanic Gardens (KHD)</v>
      </c>
      <c r="F18" s="7" t="str">
        <f t="shared" si="0"/>
        <v>mm/dd/yyyy</v>
      </c>
      <c r="G18" s="2">
        <f>IF(Master[[#This Row],[Voucher Date]]="","",Master[[#This Row],[Voucher Date]])</f>
        <v>44077</v>
      </c>
      <c r="H18" s="17" t="str">
        <f>IF(Master[[#This Row],[Voucher Collector -name, organization]]="","",Master[[#This Row],[Voucher Collector -name, organization]])</f>
        <v>Gardner, M., Varone, E.:In Field:27 AUG 2020</v>
      </c>
      <c r="I18" s="7" t="str">
        <f>IF(Master[[#This Row],[Note (Voucher)]]="","",Master[[#This Row],[Note (Voucher)]])</f>
        <v/>
      </c>
    </row>
    <row r="19" spans="2:9" x14ac:dyDescent="0.25">
      <c r="B19" s="7" t="str">
        <f>Master[[#This Row],[Accession Prefix (NPGS)]]&amp;" "&amp;Master[[#This Row],[Accession Number -Assigned]]</f>
        <v>W6 59605</v>
      </c>
      <c r="C19" s="7" t="str">
        <f>Master[[#This Row],[Accession Prefix (NPGS)]]&amp;" "&amp;Master[[#This Row],[Accession Number -Assigned]]&amp;" "&amp;Master[[#This Row],[Inventory Suffix]]&amp;" "&amp;Master[[#This Row],[Inventory Type - Lookup Picker]]</f>
        <v>W6 59605  SD</v>
      </c>
      <c r="D19" s="7" t="str">
        <f>IF(Master[[#This Row],[Collector Voucher Number]]="","",Master[[#This Row],[Collector Voucher Number]])</f>
        <v>CO932-413</v>
      </c>
      <c r="E19" s="17" t="str">
        <f>IF(Master[[#This Row],[Voucher Location (2)]]="","",Master[[#This Row],[Voucher Location (2)]])</f>
        <v>Denver Botanic Gardens (KHD)</v>
      </c>
      <c r="F19" s="7" t="str">
        <f t="shared" si="0"/>
        <v>mm/dd/yyyy</v>
      </c>
      <c r="G19" s="2">
        <f>IF(Master[[#This Row],[Voucher Date]]="","",Master[[#This Row],[Voucher Date]])</f>
        <v>44084</v>
      </c>
      <c r="H19" s="17" t="str">
        <f>IF(Master[[#This Row],[Voucher Collector -name, organization]]="","",Master[[#This Row],[Voucher Collector -name, organization]])</f>
        <v>Gardner, M., Varone, E.:In Field:02 SEP 2020</v>
      </c>
      <c r="I19" s="7" t="str">
        <f>IF(Master[[#This Row],[Note (Voucher)]]="","",Master[[#This Row],[Note (Voucher)]])</f>
        <v/>
      </c>
    </row>
    <row r="20" spans="2:9" x14ac:dyDescent="0.25">
      <c r="B20" s="7" t="str">
        <f>Master[[#This Row],[Accession Prefix (NPGS)]]&amp;" "&amp;Master[[#This Row],[Accession Number -Assigned]]</f>
        <v>W6 59606</v>
      </c>
      <c r="C20" s="7" t="str">
        <f>Master[[#This Row],[Accession Prefix (NPGS)]]&amp;" "&amp;Master[[#This Row],[Accession Number -Assigned]]&amp;" "&amp;Master[[#This Row],[Inventory Suffix]]&amp;" "&amp;Master[[#This Row],[Inventory Type - Lookup Picker]]</f>
        <v>W6 59606  SD</v>
      </c>
      <c r="D20" s="7" t="str">
        <f>IF(Master[[#This Row],[Collector Voucher Number]]="","",Master[[#This Row],[Collector Voucher Number]])</f>
        <v>CO932-414</v>
      </c>
      <c r="E20" s="17" t="str">
        <f>IF(Master[[#This Row],[Voucher Location (2)]]="","",Master[[#This Row],[Voucher Location (2)]])</f>
        <v>Denver Botanic Gardens (KHD)</v>
      </c>
      <c r="F20" s="7" t="str">
        <f t="shared" si="0"/>
        <v>mm/dd/yyyy</v>
      </c>
      <c r="G20" s="2">
        <f>IF(Master[[#This Row],[Voucher Date]]="","",Master[[#This Row],[Voucher Date]])</f>
        <v>44056</v>
      </c>
      <c r="H20" s="17" t="str">
        <f>IF(Master[[#This Row],[Voucher Collector -name, organization]]="","",Master[[#This Row],[Voucher Collector -name, organization]])</f>
        <v>Gardner, M., Varone, E.:In Field:29 JUL 2020</v>
      </c>
      <c r="I20" s="7" t="str">
        <f>IF(Master[[#This Row],[Note (Voucher)]]="","",Master[[#This Row],[Note (Voucher)]])</f>
        <v/>
      </c>
    </row>
    <row r="21" spans="2:9" x14ac:dyDescent="0.25">
      <c r="B21" s="7" t="str">
        <f>Master[[#This Row],[Accession Prefix (NPGS)]]&amp;" "&amp;Master[[#This Row],[Accession Number -Assigned]]</f>
        <v>W6 59607</v>
      </c>
      <c r="C21" s="7" t="str">
        <f>Master[[#This Row],[Accession Prefix (NPGS)]]&amp;" "&amp;Master[[#This Row],[Accession Number -Assigned]]&amp;" "&amp;Master[[#This Row],[Inventory Suffix]]&amp;" "&amp;Master[[#This Row],[Inventory Type - Lookup Picker]]</f>
        <v>W6 59607  SD</v>
      </c>
      <c r="D21" s="7" t="str">
        <f>IF(Master[[#This Row],[Collector Voucher Number]]="","",Master[[#This Row],[Collector Voucher Number]])</f>
        <v>CO932-415</v>
      </c>
      <c r="E21" s="17" t="str">
        <f>IF(Master[[#This Row],[Voucher Location (2)]]="","",Master[[#This Row],[Voucher Location (2)]])</f>
        <v>Denver Botanic Gardens (KHD)</v>
      </c>
      <c r="F21" s="7" t="str">
        <f t="shared" si="0"/>
        <v>mm/dd/yyyy</v>
      </c>
      <c r="G21" s="2">
        <f>IF(Master[[#This Row],[Voucher Date]]="","",Master[[#This Row],[Voucher Date]])</f>
        <v>44069</v>
      </c>
      <c r="H21" s="17" t="str">
        <f>IF(Master[[#This Row],[Voucher Collector -name, organization]]="","",Master[[#This Row],[Voucher Collector -name, organization]])</f>
        <v>M. Gardner, E. Varone DBG:In Field:26 AUG 2020</v>
      </c>
      <c r="I21" s="7" t="str">
        <f>IF(Master[[#This Row],[Note (Voucher)]]="","",Master[[#This Row],[Note (Voucher)]])</f>
        <v/>
      </c>
    </row>
    <row r="22" spans="2:9" x14ac:dyDescent="0.25">
      <c r="B22" s="7" t="str">
        <f>Master[[#This Row],[Accession Prefix (NPGS)]]&amp;" "&amp;Master[[#This Row],[Accession Number -Assigned]]</f>
        <v>W6 59608</v>
      </c>
      <c r="C22" s="7" t="str">
        <f>Master[[#This Row],[Accession Prefix (NPGS)]]&amp;" "&amp;Master[[#This Row],[Accession Number -Assigned]]&amp;" "&amp;Master[[#This Row],[Inventory Suffix]]&amp;" "&amp;Master[[#This Row],[Inventory Type - Lookup Picker]]</f>
        <v>W6 59608  SD</v>
      </c>
      <c r="D22" s="7" t="str">
        <f>IF(Master[[#This Row],[Collector Voucher Number]]="","",Master[[#This Row],[Collector Voucher Number]])</f>
        <v>CO932-416</v>
      </c>
      <c r="E22" s="76" t="str">
        <f>IF(Master[[#This Row],[Voucher Location (2)]]="","",Master[[#This Row],[Voucher Location (2)]])</f>
        <v>Denver Botanic Gardens (KHD)</v>
      </c>
      <c r="F22" s="7" t="str">
        <f t="shared" ref="F22:F53" si="1">"mm/dd/yyyy"</f>
        <v>mm/dd/yyyy</v>
      </c>
      <c r="G22" s="2">
        <f>IF(Master[[#This Row],[Voucher Date]]="","",Master[[#This Row],[Voucher Date]])</f>
        <v>44033</v>
      </c>
      <c r="H22" s="17" t="str">
        <f>IF(Master[[#This Row],[Voucher Collector -name, organization]]="","",Master[[#This Row],[Voucher Collector -name, organization]])</f>
        <v>M. Gardner, E. Varone DBG:In Field:21 JUL 2020</v>
      </c>
      <c r="I22" s="7" t="str">
        <f>IF(Master[[#This Row],[Note (Voucher)]]="","",Master[[#This Row],[Note (Voucher)]])</f>
        <v/>
      </c>
    </row>
    <row r="23" spans="2:9" x14ac:dyDescent="0.25">
      <c r="B23" s="7" t="str">
        <f>Master[[#This Row],[Accession Prefix (NPGS)]]&amp;" "&amp;Master[[#This Row],[Accession Number -Assigned]]</f>
        <v>W6 59609</v>
      </c>
      <c r="C23" s="7" t="str">
        <f>Master[[#This Row],[Accession Prefix (NPGS)]]&amp;" "&amp;Master[[#This Row],[Accession Number -Assigned]]&amp;" "&amp;Master[[#This Row],[Inventory Suffix]]&amp;" "&amp;Master[[#This Row],[Inventory Type - Lookup Picker]]</f>
        <v>W6 59609  SD</v>
      </c>
      <c r="D23" s="7" t="str">
        <f>IF(Master[[#This Row],[Collector Voucher Number]]="","",Master[[#This Row],[Collector Voucher Number]])</f>
        <v>CO932-417</v>
      </c>
      <c r="E23" s="76" t="str">
        <f>IF(Master[[#This Row],[Voucher Location (2)]]="","",Master[[#This Row],[Voucher Location (2)]])</f>
        <v>Denver Botanic Gardens (KHD)</v>
      </c>
      <c r="F23" s="7" t="str">
        <f t="shared" si="1"/>
        <v>mm/dd/yyyy</v>
      </c>
      <c r="G23" s="2">
        <f>IF(Master[[#This Row],[Voucher Date]]="","",Master[[#This Row],[Voucher Date]])</f>
        <v>44055</v>
      </c>
      <c r="H23" s="17" t="str">
        <f>IF(Master[[#This Row],[Voucher Collector -name, organization]]="","",Master[[#This Row],[Voucher Collector -name, organization]])</f>
        <v>M. Gardner, E. Varone DBG:In Field:12 AUG 2020</v>
      </c>
      <c r="I23" s="7" t="str">
        <f>IF(Master[[#This Row],[Note (Voucher)]]="","",Master[[#This Row],[Note (Voucher)]])</f>
        <v/>
      </c>
    </row>
    <row r="24" spans="2:9" x14ac:dyDescent="0.25">
      <c r="B24" s="7" t="str">
        <f>Master[[#This Row],[Accession Prefix (NPGS)]]&amp;" "&amp;Master[[#This Row],[Accession Number -Assigned]]</f>
        <v>W6 59610</v>
      </c>
      <c r="C24" s="7" t="str">
        <f>Master[[#This Row],[Accession Prefix (NPGS)]]&amp;" "&amp;Master[[#This Row],[Accession Number -Assigned]]&amp;" "&amp;Master[[#This Row],[Inventory Suffix]]&amp;" "&amp;Master[[#This Row],[Inventory Type - Lookup Picker]]</f>
        <v>W6 59610  SD</v>
      </c>
      <c r="D24" s="7" t="str">
        <f>IF(Master[[#This Row],[Collector Voucher Number]]="","",Master[[#This Row],[Collector Voucher Number]])</f>
        <v>CO932-419</v>
      </c>
      <c r="E24" s="76" t="str">
        <f>IF(Master[[#This Row],[Voucher Location (2)]]="","",Master[[#This Row],[Voucher Location (2)]])</f>
        <v>Denver Botanic Gardens (KHD)</v>
      </c>
      <c r="F24" s="7" t="str">
        <f t="shared" si="1"/>
        <v>mm/dd/yyyy</v>
      </c>
      <c r="G24" s="2">
        <f>IF(Master[[#This Row],[Voucher Date]]="","",Master[[#This Row],[Voucher Date]])</f>
        <v>44091</v>
      </c>
      <c r="H24" s="17" t="str">
        <f>IF(Master[[#This Row],[Voucher Collector -name, organization]]="","",Master[[#This Row],[Voucher Collector -name, organization]])</f>
        <v>Gardner, M., Varone, E.:In Field:17 SEP 2020</v>
      </c>
      <c r="I24" s="7" t="str">
        <f>IF(Master[[#This Row],[Note (Voucher)]]="","",Master[[#This Row],[Note (Voucher)]])</f>
        <v/>
      </c>
    </row>
    <row r="25" spans="2:9" x14ac:dyDescent="0.25">
      <c r="B25" s="7" t="str">
        <f>Master[[#This Row],[Accession Prefix (NPGS)]]&amp;" "&amp;Master[[#This Row],[Accession Number -Assigned]]</f>
        <v>W6 59611</v>
      </c>
      <c r="C25" s="7" t="str">
        <f>Master[[#This Row],[Accession Prefix (NPGS)]]&amp;" "&amp;Master[[#This Row],[Accession Number -Assigned]]&amp;" "&amp;Master[[#This Row],[Inventory Suffix]]&amp;" "&amp;Master[[#This Row],[Inventory Type - Lookup Picker]]</f>
        <v>W6 59611  SD</v>
      </c>
      <c r="D25" s="7" t="str">
        <f>IF(Master[[#This Row],[Collector Voucher Number]]="","",Master[[#This Row],[Collector Voucher Number]])</f>
        <v>CO932-423</v>
      </c>
      <c r="E25" s="76" t="str">
        <f>IF(Master[[#This Row],[Voucher Location (2)]]="","",Master[[#This Row],[Voucher Location (2)]])</f>
        <v>Denver Botanic Gardens (KHD)</v>
      </c>
      <c r="F25" s="7" t="str">
        <f t="shared" si="1"/>
        <v>mm/dd/yyyy</v>
      </c>
      <c r="G25" s="2">
        <f>IF(Master[[#This Row],[Voucher Date]]="","",Master[[#This Row],[Voucher Date]])</f>
        <v>44055</v>
      </c>
      <c r="H25" s="17" t="str">
        <f>IF(Master[[#This Row],[Voucher Collector -name, organization]]="","",Master[[#This Row],[Voucher Collector -name, organization]])</f>
        <v>M. Gardner, E. Varone DBG:In Field:12 AUG 2020</v>
      </c>
      <c r="I25" s="7" t="str">
        <f>IF(Master[[#This Row],[Note (Voucher)]]="","",Master[[#This Row],[Note (Voucher)]])</f>
        <v/>
      </c>
    </row>
    <row r="26" spans="2:9" x14ac:dyDescent="0.25">
      <c r="B26" s="7" t="str">
        <f>Master[[#This Row],[Accession Prefix (NPGS)]]&amp;" "&amp;Master[[#This Row],[Accession Number -Assigned]]</f>
        <v>W6 59612</v>
      </c>
      <c r="C26" s="7" t="str">
        <f>Master[[#This Row],[Accession Prefix (NPGS)]]&amp;" "&amp;Master[[#This Row],[Accession Number -Assigned]]&amp;" "&amp;Master[[#This Row],[Inventory Suffix]]&amp;" "&amp;Master[[#This Row],[Inventory Type - Lookup Picker]]</f>
        <v>W6 59612  SD</v>
      </c>
      <c r="D26" s="7" t="str">
        <f>IF(Master[[#This Row],[Collector Voucher Number]]="","",Master[[#This Row],[Collector Voucher Number]])</f>
        <v>CO932-424</v>
      </c>
      <c r="E26" s="76" t="str">
        <f>IF(Master[[#This Row],[Voucher Location (2)]]="","",Master[[#This Row],[Voucher Location (2)]])</f>
        <v>Denver Botanic Gardens (KHD)</v>
      </c>
      <c r="F26" s="7" t="str">
        <f t="shared" si="1"/>
        <v>mm/dd/yyyy</v>
      </c>
      <c r="G26" s="2">
        <f>IF(Master[[#This Row],[Voucher Date]]="","",Master[[#This Row],[Voucher Date]])</f>
        <v>44060</v>
      </c>
      <c r="H26" s="17" t="str">
        <f>IF(Master[[#This Row],[Voucher Collector -name, organization]]="","",Master[[#This Row],[Voucher Collector -name, organization]])</f>
        <v>M. Gardner, E. Varone DBG:In Field:17 AUG 2020</v>
      </c>
      <c r="I26" s="7" t="str">
        <f>IF(Master[[#This Row],[Note (Voucher)]]="","",Master[[#This Row],[Note (Voucher)]])</f>
        <v/>
      </c>
    </row>
    <row r="27" spans="2:9" x14ac:dyDescent="0.25">
      <c r="B27" s="7" t="str">
        <f>Master[[#This Row],[Accession Prefix (NPGS)]]&amp;" "&amp;Master[[#This Row],[Accession Number -Assigned]]</f>
        <v>W6 59613</v>
      </c>
      <c r="C27" s="7" t="str">
        <f>Master[[#This Row],[Accession Prefix (NPGS)]]&amp;" "&amp;Master[[#This Row],[Accession Number -Assigned]]&amp;" "&amp;Master[[#This Row],[Inventory Suffix]]&amp;" "&amp;Master[[#This Row],[Inventory Type - Lookup Picker]]</f>
        <v>W6 59613  SD</v>
      </c>
      <c r="D27" s="7" t="str">
        <f>IF(Master[[#This Row],[Collector Voucher Number]]="","",Master[[#This Row],[Collector Voucher Number]])</f>
        <v>CO932-425</v>
      </c>
      <c r="E27" s="76" t="str">
        <f>IF(Master[[#This Row],[Voucher Location (2)]]="","",Master[[#This Row],[Voucher Location (2)]])</f>
        <v>Denver Botanic Gardens (KHD)</v>
      </c>
      <c r="F27" s="7" t="str">
        <f t="shared" si="1"/>
        <v>mm/dd/yyyy</v>
      </c>
      <c r="G27" s="2">
        <f>IF(Master[[#This Row],[Voucher Date]]="","",Master[[#This Row],[Voucher Date]])</f>
        <v>44068</v>
      </c>
      <c r="H27" s="17" t="str">
        <f>IF(Master[[#This Row],[Voucher Collector -name, organization]]="","",Master[[#This Row],[Voucher Collector -name, organization]])</f>
        <v>Gardner, M., Varone, E.:In Field:25 AUG 2020</v>
      </c>
      <c r="I27" s="7" t="str">
        <f>IF(Master[[#This Row],[Note (Voucher)]]="","",Master[[#This Row],[Note (Voucher)]])</f>
        <v/>
      </c>
    </row>
    <row r="28" spans="2:9" x14ac:dyDescent="0.25">
      <c r="B28" s="7" t="str">
        <f>Master[[#This Row],[Accession Prefix (NPGS)]]&amp;" "&amp;Master[[#This Row],[Accession Number -Assigned]]</f>
        <v>W6 59614</v>
      </c>
      <c r="C28" s="7" t="str">
        <f>Master[[#This Row],[Accession Prefix (NPGS)]]&amp;" "&amp;Master[[#This Row],[Accession Number -Assigned]]&amp;" "&amp;Master[[#This Row],[Inventory Suffix]]&amp;" "&amp;Master[[#This Row],[Inventory Type - Lookup Picker]]</f>
        <v>W6 59614  SD</v>
      </c>
      <c r="D28" s="7" t="str">
        <f>IF(Master[[#This Row],[Collector Voucher Number]]="","",Master[[#This Row],[Collector Voucher Number]])</f>
        <v>CO932-426</v>
      </c>
      <c r="E28" s="76" t="str">
        <f>IF(Master[[#This Row],[Voucher Location (2)]]="","",Master[[#This Row],[Voucher Location (2)]])</f>
        <v>Denver Botanic Gardens (KHD)</v>
      </c>
      <c r="F28" s="7" t="str">
        <f t="shared" si="1"/>
        <v>mm/dd/yyyy</v>
      </c>
      <c r="G28" s="2">
        <f>IF(Master[[#This Row],[Voucher Date]]="","",Master[[#This Row],[Voucher Date]])</f>
        <v>44068</v>
      </c>
      <c r="H28" s="17" t="str">
        <f>IF(Master[[#This Row],[Voucher Collector -name, organization]]="","",Master[[#This Row],[Voucher Collector -name, organization]])</f>
        <v>M. Gardner, E. Varone DBG:In Field:25 AUG 2020</v>
      </c>
      <c r="I28" s="7" t="str">
        <f>IF(Master[[#This Row],[Note (Voucher)]]="","",Master[[#This Row],[Note (Voucher)]])</f>
        <v/>
      </c>
    </row>
    <row r="29" spans="2:9" x14ac:dyDescent="0.25">
      <c r="B29" s="7" t="str">
        <f>Master[[#This Row],[Accession Prefix (NPGS)]]&amp;" "&amp;Master[[#This Row],[Accession Number -Assigned]]</f>
        <v>W6 59615</v>
      </c>
      <c r="C29" s="7" t="str">
        <f>Master[[#This Row],[Accession Prefix (NPGS)]]&amp;" "&amp;Master[[#This Row],[Accession Number -Assigned]]&amp;" "&amp;Master[[#This Row],[Inventory Suffix]]&amp;" "&amp;Master[[#This Row],[Inventory Type - Lookup Picker]]</f>
        <v>W6 59615  SD</v>
      </c>
      <c r="D29" s="7" t="str">
        <f>IF(Master[[#This Row],[Collector Voucher Number]]="","",Master[[#This Row],[Collector Voucher Number]])</f>
        <v>CO932-427</v>
      </c>
      <c r="E29" s="76" t="str">
        <f>IF(Master[[#This Row],[Voucher Location (2)]]="","",Master[[#This Row],[Voucher Location (2)]])</f>
        <v>Denver Botanic Gardens (KHD)</v>
      </c>
      <c r="F29" s="7" t="str">
        <f t="shared" si="1"/>
        <v>mm/dd/yyyy</v>
      </c>
      <c r="G29" s="2">
        <f>IF(Master[[#This Row],[Voucher Date]]="","",Master[[#This Row],[Voucher Date]])</f>
        <v>44112</v>
      </c>
      <c r="H29" s="17" t="str">
        <f>IF(Master[[#This Row],[Voucher Collector -name, organization]]="","",Master[[#This Row],[Voucher Collector -name, organization]])</f>
        <v>M. Gardner, E. Varone DBG:In Field:08 OCT 2020</v>
      </c>
      <c r="I29" s="7" t="str">
        <f>IF(Master[[#This Row],[Note (Voucher)]]="","",Master[[#This Row],[Note (Voucher)]])</f>
        <v/>
      </c>
    </row>
    <row r="30" spans="2:9" x14ac:dyDescent="0.25">
      <c r="B30" s="7" t="str">
        <f>Master[[#This Row],[Accession Prefix (NPGS)]]&amp;" "&amp;Master[[#This Row],[Accession Number -Assigned]]</f>
        <v>W6 59616</v>
      </c>
      <c r="C30" s="7" t="str">
        <f>Master[[#This Row],[Accession Prefix (NPGS)]]&amp;" "&amp;Master[[#This Row],[Accession Number -Assigned]]&amp;" "&amp;Master[[#This Row],[Inventory Suffix]]&amp;" "&amp;Master[[#This Row],[Inventory Type - Lookup Picker]]</f>
        <v>W6 59616  SD</v>
      </c>
      <c r="D30" s="7" t="str">
        <f>IF(Master[[#This Row],[Collector Voucher Number]]="","",Master[[#This Row],[Collector Voucher Number]])</f>
        <v>CO932-428</v>
      </c>
      <c r="E30" s="76" t="str">
        <f>IF(Master[[#This Row],[Voucher Location (2)]]="","",Master[[#This Row],[Voucher Location (2)]])</f>
        <v>Denver Botanic Gardens (KHD)</v>
      </c>
      <c r="F30" s="7" t="str">
        <f t="shared" si="1"/>
        <v>mm/dd/yyyy</v>
      </c>
      <c r="G30" s="2">
        <f>IF(Master[[#This Row],[Voucher Date]]="","",Master[[#This Row],[Voucher Date]])</f>
        <v>44083</v>
      </c>
      <c r="H30" s="17" t="str">
        <f>IF(Master[[#This Row],[Voucher Collector -name, organization]]="","",Master[[#This Row],[Voucher Collector -name, organization]])</f>
        <v>M. Gardner, E. Varone DBG:In Field:09 SEP 2020</v>
      </c>
      <c r="I30" s="7" t="str">
        <f>IF(Master[[#This Row],[Note (Voucher)]]="","",Master[[#This Row],[Note (Voucher)]])</f>
        <v/>
      </c>
    </row>
    <row r="31" spans="2:9" x14ac:dyDescent="0.25">
      <c r="B31" s="7" t="str">
        <f>Master[[#This Row],[Accession Prefix (NPGS)]]&amp;" "&amp;Master[[#This Row],[Accession Number -Assigned]]</f>
        <v>W6 59617</v>
      </c>
      <c r="C31" s="7" t="str">
        <f>Master[[#This Row],[Accession Prefix (NPGS)]]&amp;" "&amp;Master[[#This Row],[Accession Number -Assigned]]&amp;" "&amp;Master[[#This Row],[Inventory Suffix]]&amp;" "&amp;Master[[#This Row],[Inventory Type - Lookup Picker]]</f>
        <v>W6 59617  SD</v>
      </c>
      <c r="D31" s="7" t="str">
        <f>IF(Master[[#This Row],[Collector Voucher Number]]="","",Master[[#This Row],[Collector Voucher Number]])</f>
        <v>NV030-1506</v>
      </c>
      <c r="E31" s="76" t="str">
        <f>IF(Master[[#This Row],[Voucher Location (2)]]="","",Master[[#This Row],[Voucher Location (2)]])</f>
        <v/>
      </c>
      <c r="F31" s="7" t="str">
        <f t="shared" si="1"/>
        <v>mm/dd/yyyy</v>
      </c>
      <c r="G31" s="2" t="str">
        <f>IF(Master[[#This Row],[Voucher Date]]="","",Master[[#This Row],[Voucher Date]])</f>
        <v/>
      </c>
      <c r="H31" s="17" t="str">
        <f>IF(Master[[#This Row],[Voucher Collector -name, organization]]="","",Master[[#This Row],[Voucher Collector -name, organization]])</f>
        <v>D. Tonenna - BLM:From pressed specimen on day of collection:25 AUG 2020</v>
      </c>
      <c r="I31" s="7" t="str">
        <f>IF(Master[[#This Row],[Note (Voucher)]]="","",Master[[#This Row],[Note (Voucher)]])</f>
        <v/>
      </c>
    </row>
    <row r="32" spans="2:9" x14ac:dyDescent="0.25">
      <c r="B32" s="7" t="str">
        <f>Master[[#This Row],[Accession Prefix (NPGS)]]&amp;" "&amp;Master[[#This Row],[Accession Number -Assigned]]</f>
        <v>W6 59618</v>
      </c>
      <c r="C32" s="7" t="str">
        <f>Master[[#This Row],[Accession Prefix (NPGS)]]&amp;" "&amp;Master[[#This Row],[Accession Number -Assigned]]&amp;" "&amp;Master[[#This Row],[Inventory Suffix]]&amp;" "&amp;Master[[#This Row],[Inventory Type - Lookup Picker]]</f>
        <v>W6 59618  SD</v>
      </c>
      <c r="D32" s="7" t="str">
        <f>IF(Master[[#This Row],[Collector Voucher Number]]="","",Master[[#This Row],[Collector Voucher Number]])</f>
        <v>NV030-1507</v>
      </c>
      <c r="E32" s="76" t="str">
        <f>IF(Master[[#This Row],[Voucher Location (2)]]="","",Master[[#This Row],[Voucher Location (2)]])</f>
        <v/>
      </c>
      <c r="F32" s="7" t="str">
        <f t="shared" si="1"/>
        <v>mm/dd/yyyy</v>
      </c>
      <c r="G32" s="2" t="str">
        <f>IF(Master[[#This Row],[Voucher Date]]="","",Master[[#This Row],[Voucher Date]])</f>
        <v/>
      </c>
      <c r="H32" s="17" t="str">
        <f>IF(Master[[#This Row],[Voucher Collector -name, organization]]="","",Master[[#This Row],[Voucher Collector -name, organization]])</f>
        <v>D. Tonenna -- BLM:From pressed specimen on day of collection:02 SEP 2020</v>
      </c>
      <c r="I32" s="7" t="str">
        <f>IF(Master[[#This Row],[Note (Voucher)]]="","",Master[[#This Row],[Note (Voucher)]])</f>
        <v/>
      </c>
    </row>
    <row r="33" spans="2:9" x14ac:dyDescent="0.25">
      <c r="B33" s="7" t="str">
        <f>Master[[#This Row],[Accession Prefix (NPGS)]]&amp;" "&amp;Master[[#This Row],[Accession Number -Assigned]]</f>
        <v>W6 59619</v>
      </c>
      <c r="C33" s="7" t="str">
        <f>Master[[#This Row],[Accession Prefix (NPGS)]]&amp;" "&amp;Master[[#This Row],[Accession Number -Assigned]]&amp;" "&amp;Master[[#This Row],[Inventory Suffix]]&amp;" "&amp;Master[[#This Row],[Inventory Type - Lookup Picker]]</f>
        <v>W6 59619  SD</v>
      </c>
      <c r="D33" s="7" t="str">
        <f>IF(Master[[#This Row],[Collector Voucher Number]]="","",Master[[#This Row],[Collector Voucher Number]])</f>
        <v>NV030-1508</v>
      </c>
      <c r="E33" s="76" t="str">
        <f>IF(Master[[#This Row],[Voucher Location (2)]]="","",Master[[#This Row],[Voucher Location (2)]])</f>
        <v/>
      </c>
      <c r="F33" s="7" t="str">
        <f t="shared" si="1"/>
        <v>mm/dd/yyyy</v>
      </c>
      <c r="G33" s="2" t="str">
        <f>IF(Master[[#This Row],[Voucher Date]]="","",Master[[#This Row],[Voucher Date]])</f>
        <v/>
      </c>
      <c r="H33" s="17" t="str">
        <f>IF(Master[[#This Row],[Voucher Collector -name, organization]]="","",Master[[#This Row],[Voucher Collector -name, organization]])</f>
        <v>D. Tonenna - BLM:In Field:10 AUG 2020</v>
      </c>
      <c r="I33" s="7" t="str">
        <f>IF(Master[[#This Row],[Note (Voucher)]]="","",Master[[#This Row],[Note (Voucher)]])</f>
        <v/>
      </c>
    </row>
    <row r="34" spans="2:9" x14ac:dyDescent="0.25">
      <c r="B34" s="7" t="str">
        <f>Master[[#This Row],[Accession Prefix (NPGS)]]&amp;" "&amp;Master[[#This Row],[Accession Number -Assigned]]</f>
        <v>W6 59620</v>
      </c>
      <c r="C34" s="7" t="str">
        <f>Master[[#This Row],[Accession Prefix (NPGS)]]&amp;" "&amp;Master[[#This Row],[Accession Number -Assigned]]&amp;" "&amp;Master[[#This Row],[Inventory Suffix]]&amp;" "&amp;Master[[#This Row],[Inventory Type - Lookup Picker]]</f>
        <v>W6 59620  SD</v>
      </c>
      <c r="D34" s="7" t="str">
        <f>IF(Master[[#This Row],[Collector Voucher Number]]="","",Master[[#This Row],[Collector Voucher Number]])</f>
        <v>NV030-1509</v>
      </c>
      <c r="E34" s="76" t="str">
        <f>IF(Master[[#This Row],[Voucher Location (2)]]="","",Master[[#This Row],[Voucher Location (2)]])</f>
        <v/>
      </c>
      <c r="F34" s="7" t="str">
        <f t="shared" si="1"/>
        <v>mm/dd/yyyy</v>
      </c>
      <c r="G34" s="2" t="str">
        <f>IF(Master[[#This Row],[Voucher Date]]="","",Master[[#This Row],[Voucher Date]])</f>
        <v/>
      </c>
      <c r="H34" s="17" t="str">
        <f>IF(Master[[#This Row],[Voucher Collector -name, organization]]="","",Master[[#This Row],[Voucher Collector -name, organization]])</f>
        <v>D. Tonenna - BLM:In Field:10 SEP 2020</v>
      </c>
      <c r="I34" s="7" t="str">
        <f>IF(Master[[#This Row],[Note (Voucher)]]="","",Master[[#This Row],[Note (Voucher)]])</f>
        <v/>
      </c>
    </row>
    <row r="35" spans="2:9" x14ac:dyDescent="0.25">
      <c r="B35" s="7" t="str">
        <f>Master[[#This Row],[Accession Prefix (NPGS)]]&amp;" "&amp;Master[[#This Row],[Accession Number -Assigned]]</f>
        <v>W6 59621</v>
      </c>
      <c r="C35" s="7" t="str">
        <f>Master[[#This Row],[Accession Prefix (NPGS)]]&amp;" "&amp;Master[[#This Row],[Accession Number -Assigned]]&amp;" "&amp;Master[[#This Row],[Inventory Suffix]]&amp;" "&amp;Master[[#This Row],[Inventory Type - Lookup Picker]]</f>
        <v>W6 59621  SD</v>
      </c>
      <c r="D35" s="7" t="str">
        <f>IF(Master[[#This Row],[Collector Voucher Number]]="","",Master[[#This Row],[Collector Voucher Number]])</f>
        <v>NV030-1510</v>
      </c>
      <c r="E35" s="76" t="str">
        <f>IF(Master[[#This Row],[Voucher Location (2)]]="","",Master[[#This Row],[Voucher Location (2)]])</f>
        <v/>
      </c>
      <c r="F35" s="7" t="str">
        <f t="shared" si="1"/>
        <v>mm/dd/yyyy</v>
      </c>
      <c r="G35" s="2" t="str">
        <f>IF(Master[[#This Row],[Voucher Date]]="","",Master[[#This Row],[Voucher Date]])</f>
        <v/>
      </c>
      <c r="H35" s="17" t="str">
        <f>IF(Master[[#This Row],[Voucher Collector -name, organization]]="","",Master[[#This Row],[Voucher Collector -name, organization]])</f>
        <v>D. Tonenna - BLM:In Field:22 SEP 2020</v>
      </c>
      <c r="I35" s="7" t="str">
        <f>IF(Master[[#This Row],[Note (Voucher)]]="","",Master[[#This Row],[Note (Voucher)]])</f>
        <v/>
      </c>
    </row>
    <row r="36" spans="2:9" x14ac:dyDescent="0.25">
      <c r="B36" s="7" t="str">
        <f>Master[[#This Row],[Accession Prefix (NPGS)]]&amp;" "&amp;Master[[#This Row],[Accession Number -Assigned]]</f>
        <v>W6 59622</v>
      </c>
      <c r="C36" s="7" t="str">
        <f>Master[[#This Row],[Accession Prefix (NPGS)]]&amp;" "&amp;Master[[#This Row],[Accession Number -Assigned]]&amp;" "&amp;Master[[#This Row],[Inventory Suffix]]&amp;" "&amp;Master[[#This Row],[Inventory Type - Lookup Picker]]</f>
        <v>W6 59622  SD</v>
      </c>
      <c r="D36" s="7" t="str">
        <f>IF(Master[[#This Row],[Collector Voucher Number]]="","",Master[[#This Row],[Collector Voucher Number]])</f>
        <v>NV030-1511</v>
      </c>
      <c r="E36" s="76" t="str">
        <f>IF(Master[[#This Row],[Voucher Location (2)]]="","",Master[[#This Row],[Voucher Location (2)]])</f>
        <v/>
      </c>
      <c r="F36" s="7" t="str">
        <f t="shared" si="1"/>
        <v>mm/dd/yyyy</v>
      </c>
      <c r="G36" s="2" t="str">
        <f>IF(Master[[#This Row],[Voucher Date]]="","",Master[[#This Row],[Voucher Date]])</f>
        <v/>
      </c>
      <c r="H36" s="17" t="str">
        <f>IF(Master[[#This Row],[Voucher Collector -name, organization]]="","",Master[[#This Row],[Voucher Collector -name, organization]])</f>
        <v>D. Tonenna - BLM:In Field:22 SEP 2020</v>
      </c>
      <c r="I36" s="7" t="str">
        <f>IF(Master[[#This Row],[Note (Voucher)]]="","",Master[[#This Row],[Note (Voucher)]])</f>
        <v/>
      </c>
    </row>
    <row r="37" spans="2:9" x14ac:dyDescent="0.25">
      <c r="B37" s="7" t="str">
        <f>Master[[#This Row],[Accession Prefix (NPGS)]]&amp;" "&amp;Master[[#This Row],[Accession Number -Assigned]]</f>
        <v>W6 59623</v>
      </c>
      <c r="C37" s="7" t="str">
        <f>Master[[#This Row],[Accession Prefix (NPGS)]]&amp;" "&amp;Master[[#This Row],[Accession Number -Assigned]]&amp;" "&amp;Master[[#This Row],[Inventory Suffix]]&amp;" "&amp;Master[[#This Row],[Inventory Type - Lookup Picker]]</f>
        <v>W6 59623  SD</v>
      </c>
      <c r="D37" s="7" t="str">
        <f>IF(Master[[#This Row],[Collector Voucher Number]]="","",Master[[#This Row],[Collector Voucher Number]])</f>
        <v>NV030-1513</v>
      </c>
      <c r="E37" s="76" t="str">
        <f>IF(Master[[#This Row],[Voucher Location (2)]]="","",Master[[#This Row],[Voucher Location (2)]])</f>
        <v/>
      </c>
      <c r="F37" s="7" t="str">
        <f t="shared" si="1"/>
        <v>mm/dd/yyyy</v>
      </c>
      <c r="G37" s="2" t="str">
        <f>IF(Master[[#This Row],[Voucher Date]]="","",Master[[#This Row],[Voucher Date]])</f>
        <v/>
      </c>
      <c r="H37" s="17" t="str">
        <f>IF(Master[[#This Row],[Voucher Collector -name, organization]]="","",Master[[#This Row],[Voucher Collector -name, organization]])</f>
        <v>D. Tonenna - BLM:In Field:01 SEP 2020</v>
      </c>
      <c r="I37" s="7" t="str">
        <f>IF(Master[[#This Row],[Note (Voucher)]]="","",Master[[#This Row],[Note (Voucher)]])</f>
        <v/>
      </c>
    </row>
    <row r="38" spans="2:9" x14ac:dyDescent="0.25">
      <c r="B38" s="7" t="str">
        <f>Master[[#This Row],[Accession Prefix (NPGS)]]&amp;" "&amp;Master[[#This Row],[Accession Number -Assigned]]</f>
        <v>W6 59624</v>
      </c>
      <c r="C38" s="7" t="str">
        <f>Master[[#This Row],[Accession Prefix (NPGS)]]&amp;" "&amp;Master[[#This Row],[Accession Number -Assigned]]&amp;" "&amp;Master[[#This Row],[Inventory Suffix]]&amp;" "&amp;Master[[#This Row],[Inventory Type - Lookup Picker]]</f>
        <v>W6 59624  SD</v>
      </c>
      <c r="D38" s="7" t="str">
        <f>IF(Master[[#This Row],[Collector Voucher Number]]="","",Master[[#This Row],[Collector Voucher Number]])</f>
        <v>NV030-1515</v>
      </c>
      <c r="E38" s="76" t="str">
        <f>IF(Master[[#This Row],[Voucher Location (2)]]="","",Master[[#This Row],[Voucher Location (2)]])</f>
        <v/>
      </c>
      <c r="F38" s="7" t="str">
        <f t="shared" si="1"/>
        <v>mm/dd/yyyy</v>
      </c>
      <c r="G38" s="2" t="str">
        <f>IF(Master[[#This Row],[Voucher Date]]="","",Master[[#This Row],[Voucher Date]])</f>
        <v/>
      </c>
      <c r="H38" s="17" t="str">
        <f>IF(Master[[#This Row],[Voucher Collector -name, organization]]="","",Master[[#This Row],[Voucher Collector -name, organization]])</f>
        <v>D. Tonenna - BLM:In Field:01 SEP 2020</v>
      </c>
      <c r="I38" s="7" t="str">
        <f>IF(Master[[#This Row],[Note (Voucher)]]="","",Master[[#This Row],[Note (Voucher)]])</f>
        <v/>
      </c>
    </row>
    <row r="39" spans="2:9" x14ac:dyDescent="0.25">
      <c r="B39" s="7" t="str">
        <f>Master[[#This Row],[Accession Prefix (NPGS)]]&amp;" "&amp;Master[[#This Row],[Accession Number -Assigned]]</f>
        <v>W6 59625</v>
      </c>
      <c r="C39" s="7" t="str">
        <f>Master[[#This Row],[Accession Prefix (NPGS)]]&amp;" "&amp;Master[[#This Row],[Accession Number -Assigned]]&amp;" "&amp;Master[[#This Row],[Inventory Suffix]]&amp;" "&amp;Master[[#This Row],[Inventory Type - Lookup Picker]]</f>
        <v>W6 59625  SD</v>
      </c>
      <c r="D39" s="7" t="str">
        <f>IF(Master[[#This Row],[Collector Voucher Number]]="","",Master[[#This Row],[Collector Voucher Number]])</f>
        <v>NV030-1517</v>
      </c>
      <c r="E39" s="76" t="str">
        <f>IF(Master[[#This Row],[Voucher Location (2)]]="","",Master[[#This Row],[Voucher Location (2)]])</f>
        <v/>
      </c>
      <c r="F39" s="7" t="str">
        <f t="shared" si="1"/>
        <v>mm/dd/yyyy</v>
      </c>
      <c r="G39" s="2" t="str">
        <f>IF(Master[[#This Row],[Voucher Date]]="","",Master[[#This Row],[Voucher Date]])</f>
        <v/>
      </c>
      <c r="H39" s="17" t="str">
        <f>IF(Master[[#This Row],[Voucher Collector -name, organization]]="","",Master[[#This Row],[Voucher Collector -name, organization]])</f>
        <v>D. Tonenna - BLM:In Field:01 SEP 2020</v>
      </c>
      <c r="I39" s="7" t="str">
        <f>IF(Master[[#This Row],[Note (Voucher)]]="","",Master[[#This Row],[Note (Voucher)]])</f>
        <v/>
      </c>
    </row>
    <row r="40" spans="2:9" x14ac:dyDescent="0.25">
      <c r="B40" s="7" t="str">
        <f>Master[[#This Row],[Accession Prefix (NPGS)]]&amp;" "&amp;Master[[#This Row],[Accession Number -Assigned]]</f>
        <v>W6 59626</v>
      </c>
      <c r="C40" s="7" t="str">
        <f>Master[[#This Row],[Accession Prefix (NPGS)]]&amp;" "&amp;Master[[#This Row],[Accession Number -Assigned]]&amp;" "&amp;Master[[#This Row],[Inventory Suffix]]&amp;" "&amp;Master[[#This Row],[Inventory Type - Lookup Picker]]</f>
        <v>W6 59626  SD</v>
      </c>
      <c r="D40" s="7" t="str">
        <f>IF(Master[[#This Row],[Collector Voucher Number]]="","",Master[[#This Row],[Collector Voucher Number]])</f>
        <v>NV030-1519</v>
      </c>
      <c r="E40" s="76" t="str">
        <f>IF(Master[[#This Row],[Voucher Location (2)]]="","",Master[[#This Row],[Voucher Location (2)]])</f>
        <v/>
      </c>
      <c r="F40" s="7" t="str">
        <f t="shared" si="1"/>
        <v>mm/dd/yyyy</v>
      </c>
      <c r="G40" s="2" t="str">
        <f>IF(Master[[#This Row],[Voucher Date]]="","",Master[[#This Row],[Voucher Date]])</f>
        <v/>
      </c>
      <c r="H40" s="17" t="str">
        <f>IF(Master[[#This Row],[Voucher Collector -name, organization]]="","",Master[[#This Row],[Voucher Collector -name, organization]])</f>
        <v>Dean Tonenna, BLM::10 OCT 2020</v>
      </c>
      <c r="I40" s="7" t="str">
        <f>IF(Master[[#This Row],[Note (Voucher)]]="","",Master[[#This Row],[Note (Voucher)]])</f>
        <v/>
      </c>
    </row>
    <row r="41" spans="2:9" x14ac:dyDescent="0.25">
      <c r="B41" s="7" t="str">
        <f>Master[[#This Row],[Accession Prefix (NPGS)]]&amp;" "&amp;Master[[#This Row],[Accession Number -Assigned]]</f>
        <v>W6 59627</v>
      </c>
      <c r="C41" s="7" t="str">
        <f>Master[[#This Row],[Accession Prefix (NPGS)]]&amp;" "&amp;Master[[#This Row],[Accession Number -Assigned]]&amp;" "&amp;Master[[#This Row],[Inventory Suffix]]&amp;" "&amp;Master[[#This Row],[Inventory Type - Lookup Picker]]</f>
        <v>W6 59627  SD</v>
      </c>
      <c r="D41" s="7" t="str">
        <f>IF(Master[[#This Row],[Collector Voucher Number]]="","",Master[[#This Row],[Collector Voucher Number]])</f>
        <v>NV030-1520</v>
      </c>
      <c r="E41" s="76" t="str">
        <f>IF(Master[[#This Row],[Voucher Location (2)]]="","",Master[[#This Row],[Voucher Location (2)]])</f>
        <v/>
      </c>
      <c r="F41" s="7" t="str">
        <f t="shared" si="1"/>
        <v>mm/dd/yyyy</v>
      </c>
      <c r="G41" s="2" t="str">
        <f>IF(Master[[#This Row],[Voucher Date]]="","",Master[[#This Row],[Voucher Date]])</f>
        <v/>
      </c>
      <c r="H41" s="17" t="str">
        <f>IF(Master[[#This Row],[Voucher Collector -name, organization]]="","",Master[[#This Row],[Voucher Collector -name, organization]])</f>
        <v>Dean Tonenna, BLm :In Field:10 OCT 2020</v>
      </c>
      <c r="I41" s="7" t="str">
        <f>IF(Master[[#This Row],[Note (Voucher)]]="","",Master[[#This Row],[Note (Voucher)]])</f>
        <v/>
      </c>
    </row>
    <row r="42" spans="2:9" x14ac:dyDescent="0.25">
      <c r="B42" s="7" t="str">
        <f>Master[[#This Row],[Accession Prefix (NPGS)]]&amp;" "&amp;Master[[#This Row],[Accession Number -Assigned]]</f>
        <v>W6 59628</v>
      </c>
      <c r="C42" s="7" t="str">
        <f>Master[[#This Row],[Accession Prefix (NPGS)]]&amp;" "&amp;Master[[#This Row],[Accession Number -Assigned]]&amp;" "&amp;Master[[#This Row],[Inventory Suffix]]&amp;" "&amp;Master[[#This Row],[Inventory Type - Lookup Picker]]</f>
        <v>W6 59628  SD</v>
      </c>
      <c r="D42" s="7" t="str">
        <f>IF(Master[[#This Row],[Collector Voucher Number]]="","",Master[[#This Row],[Collector Voucher Number]])</f>
        <v>NV030-1521</v>
      </c>
      <c r="E42" s="76" t="str">
        <f>IF(Master[[#This Row],[Voucher Location (2)]]="","",Master[[#This Row],[Voucher Location (2)]])</f>
        <v/>
      </c>
      <c r="F42" s="7" t="str">
        <f t="shared" si="1"/>
        <v>mm/dd/yyyy</v>
      </c>
      <c r="G42" s="2" t="str">
        <f>IF(Master[[#This Row],[Voucher Date]]="","",Master[[#This Row],[Voucher Date]])</f>
        <v/>
      </c>
      <c r="H42" s="17" t="str">
        <f>IF(Master[[#This Row],[Voucher Collector -name, organization]]="","",Master[[#This Row],[Voucher Collector -name, organization]])</f>
        <v>Dean Tonenna, BLM:In Field:</v>
      </c>
      <c r="I42" s="7" t="str">
        <f>IF(Master[[#This Row],[Note (Voucher)]]="","",Master[[#This Row],[Note (Voucher)]])</f>
        <v/>
      </c>
    </row>
    <row r="43" spans="2:9" x14ac:dyDescent="0.25">
      <c r="B43" s="7" t="str">
        <f>Master[[#This Row],[Accession Prefix (NPGS)]]&amp;" "&amp;Master[[#This Row],[Accession Number -Assigned]]</f>
        <v>W6 59629</v>
      </c>
      <c r="C43" s="7" t="str">
        <f>Master[[#This Row],[Accession Prefix (NPGS)]]&amp;" "&amp;Master[[#This Row],[Accession Number -Assigned]]&amp;" "&amp;Master[[#This Row],[Inventory Suffix]]&amp;" "&amp;Master[[#This Row],[Inventory Type - Lookup Picker]]</f>
        <v>W6 59629  SD</v>
      </c>
      <c r="D43" s="7" t="str">
        <f>IF(Master[[#This Row],[Collector Voucher Number]]="","",Master[[#This Row],[Collector Voucher Number]])</f>
        <v>NV030-1522</v>
      </c>
      <c r="E43" s="76" t="str">
        <f>IF(Master[[#This Row],[Voucher Location (2)]]="","",Master[[#This Row],[Voucher Location (2)]])</f>
        <v/>
      </c>
      <c r="F43" s="7" t="str">
        <f t="shared" si="1"/>
        <v>mm/dd/yyyy</v>
      </c>
      <c r="G43" s="2" t="str">
        <f>IF(Master[[#This Row],[Voucher Date]]="","",Master[[#This Row],[Voucher Date]])</f>
        <v/>
      </c>
      <c r="H43" s="17" t="str">
        <f>IF(Master[[#This Row],[Voucher Collector -name, organization]]="","",Master[[#This Row],[Voucher Collector -name, organization]])</f>
        <v>Dean Tonenna, BLM:In Field:15 OCT 2020</v>
      </c>
      <c r="I43" s="7" t="str">
        <f>IF(Master[[#This Row],[Note (Voucher)]]="","",Master[[#This Row],[Note (Voucher)]])</f>
        <v/>
      </c>
    </row>
    <row r="44" spans="2:9" x14ac:dyDescent="0.25">
      <c r="B44" s="7" t="str">
        <f>Master[[#This Row],[Accession Prefix (NPGS)]]&amp;" "&amp;Master[[#This Row],[Accession Number -Assigned]]</f>
        <v>W6 59630</v>
      </c>
      <c r="C44" s="7" t="str">
        <f>Master[[#This Row],[Accession Prefix (NPGS)]]&amp;" "&amp;Master[[#This Row],[Accession Number -Assigned]]&amp;" "&amp;Master[[#This Row],[Inventory Suffix]]&amp;" "&amp;Master[[#This Row],[Inventory Type - Lookup Picker]]</f>
        <v>W6 59630  SD</v>
      </c>
      <c r="D44" s="7" t="str">
        <f>IF(Master[[#This Row],[Collector Voucher Number]]="","",Master[[#This Row],[Collector Voucher Number]])</f>
        <v>NV030-1523</v>
      </c>
      <c r="E44" s="76" t="str">
        <f>IF(Master[[#This Row],[Voucher Location (2)]]="","",Master[[#This Row],[Voucher Location (2)]])</f>
        <v/>
      </c>
      <c r="F44" s="7" t="str">
        <f t="shared" si="1"/>
        <v>mm/dd/yyyy</v>
      </c>
      <c r="G44" s="2" t="str">
        <f>IF(Master[[#This Row],[Voucher Date]]="","",Master[[#This Row],[Voucher Date]])</f>
        <v/>
      </c>
      <c r="H44" s="17" t="str">
        <f>IF(Master[[#This Row],[Voucher Collector -name, organization]]="","",Master[[#This Row],[Voucher Collector -name, organization]])</f>
        <v>Dean Tonenna, BLM:In Field:10 OCT 2020</v>
      </c>
      <c r="I44" s="7" t="str">
        <f>IF(Master[[#This Row],[Note (Voucher)]]="","",Master[[#This Row],[Note (Voucher)]])</f>
        <v/>
      </c>
    </row>
    <row r="45" spans="2:9" x14ac:dyDescent="0.25">
      <c r="B45" s="7" t="str">
        <f>Master[[#This Row],[Accession Prefix (NPGS)]]&amp;" "&amp;Master[[#This Row],[Accession Number -Assigned]]</f>
        <v>W6 59631</v>
      </c>
      <c r="C45" s="7" t="str">
        <f>Master[[#This Row],[Accession Prefix (NPGS)]]&amp;" "&amp;Master[[#This Row],[Accession Number -Assigned]]&amp;" "&amp;Master[[#This Row],[Inventory Suffix]]&amp;" "&amp;Master[[#This Row],[Inventory Type - Lookup Picker]]</f>
        <v>W6 59631  SD</v>
      </c>
      <c r="D45" s="7" t="str">
        <f>IF(Master[[#This Row],[Collector Voucher Number]]="","",Master[[#This Row],[Collector Voucher Number]])</f>
        <v>NV030-1524</v>
      </c>
      <c r="E45" s="76" t="str">
        <f>IF(Master[[#This Row],[Voucher Location (2)]]="","",Master[[#This Row],[Voucher Location (2)]])</f>
        <v/>
      </c>
      <c r="F45" s="7" t="str">
        <f t="shared" si="1"/>
        <v>mm/dd/yyyy</v>
      </c>
      <c r="G45" s="2" t="str">
        <f>IF(Master[[#This Row],[Voucher Date]]="","",Master[[#This Row],[Voucher Date]])</f>
        <v/>
      </c>
      <c r="H45" s="17" t="str">
        <f>IF(Master[[#This Row],[Voucher Collector -name, organization]]="","",Master[[#This Row],[Voucher Collector -name, organization]])</f>
        <v>Dean Tonenna:From photograph:20 OCT 2020</v>
      </c>
      <c r="I45" s="7" t="str">
        <f>IF(Master[[#This Row],[Note (Voucher)]]="","",Master[[#This Row],[Note (Voucher)]])</f>
        <v/>
      </c>
    </row>
    <row r="46" spans="2:9" x14ac:dyDescent="0.25">
      <c r="B46" s="7" t="str">
        <f>Master[[#This Row],[Accession Prefix (NPGS)]]&amp;" "&amp;Master[[#This Row],[Accession Number -Assigned]]</f>
        <v>W6 59632</v>
      </c>
      <c r="C46" s="7" t="str">
        <f>Master[[#This Row],[Accession Prefix (NPGS)]]&amp;" "&amp;Master[[#This Row],[Accession Number -Assigned]]&amp;" "&amp;Master[[#This Row],[Inventory Suffix]]&amp;" "&amp;Master[[#This Row],[Inventory Type - Lookup Picker]]</f>
        <v>W6 59632  SD</v>
      </c>
      <c r="D46" s="7" t="str">
        <f>IF(Master[[#This Row],[Collector Voucher Number]]="","",Master[[#This Row],[Collector Voucher Number]])</f>
        <v>NV030-1525</v>
      </c>
      <c r="E46" s="76" t="str">
        <f>IF(Master[[#This Row],[Voucher Location (2)]]="","",Master[[#This Row],[Voucher Location (2)]])</f>
        <v xml:space="preserve"> Bend Seed Extractory</v>
      </c>
      <c r="F46" s="7" t="str">
        <f t="shared" si="1"/>
        <v>mm/dd/yyyy</v>
      </c>
      <c r="G46" s="2">
        <f>IF(Master[[#This Row],[Voucher Date]]="","",Master[[#This Row],[Voucher Date]])</f>
        <v>44131</v>
      </c>
      <c r="H46" s="17" t="str">
        <f>IF(Master[[#This Row],[Voucher Collector -name, organization]]="","",Master[[#This Row],[Voucher Collector -name, organization]])</f>
        <v>dean tonena, blm:From pressed specimen on another date:29 OCT 2020</v>
      </c>
      <c r="I46" s="7" t="str">
        <f>IF(Master[[#This Row],[Note (Voucher)]]="","",Master[[#This Row],[Note (Voucher)]])</f>
        <v/>
      </c>
    </row>
    <row r="47" spans="2:9" x14ac:dyDescent="0.25">
      <c r="B47" s="7" t="str">
        <f>Master[[#This Row],[Accession Prefix (NPGS)]]&amp;" "&amp;Master[[#This Row],[Accession Number -Assigned]]</f>
        <v>W6 59633</v>
      </c>
      <c r="C47" s="7" t="str">
        <f>Master[[#This Row],[Accession Prefix (NPGS)]]&amp;" "&amp;Master[[#This Row],[Accession Number -Assigned]]&amp;" "&amp;Master[[#This Row],[Inventory Suffix]]&amp;" "&amp;Master[[#This Row],[Inventory Type - Lookup Picker]]</f>
        <v>W6 59633  SD</v>
      </c>
      <c r="D47" s="7" t="str">
        <f>IF(Master[[#This Row],[Collector Voucher Number]]="","",Master[[#This Row],[Collector Voucher Number]])</f>
        <v>NV030-1526</v>
      </c>
      <c r="E47" s="76" t="str">
        <f>IF(Master[[#This Row],[Voucher Location (2)]]="","",Master[[#This Row],[Voucher Location (2)]])</f>
        <v/>
      </c>
      <c r="F47" s="7" t="str">
        <f t="shared" si="1"/>
        <v>mm/dd/yyyy</v>
      </c>
      <c r="G47" s="2" t="str">
        <f>IF(Master[[#This Row],[Voucher Date]]="","",Master[[#This Row],[Voucher Date]])</f>
        <v/>
      </c>
      <c r="H47" s="17" t="str">
        <f>IF(Master[[#This Row],[Voucher Collector -name, organization]]="","",Master[[#This Row],[Voucher Collector -name, organization]])</f>
        <v>Dean Tonenna BLM:In Field:10 NOV 2020</v>
      </c>
      <c r="I47" s="7" t="str">
        <f>IF(Master[[#This Row],[Note (Voucher)]]="","",Master[[#This Row],[Note (Voucher)]])</f>
        <v/>
      </c>
    </row>
    <row r="48" spans="2:9" x14ac:dyDescent="0.25">
      <c r="B48" s="7" t="str">
        <f>Master[[#This Row],[Accession Prefix (NPGS)]]&amp;" "&amp;Master[[#This Row],[Accession Number -Assigned]]</f>
        <v>W6 59634</v>
      </c>
      <c r="C48" s="7" t="str">
        <f>Master[[#This Row],[Accession Prefix (NPGS)]]&amp;" "&amp;Master[[#This Row],[Accession Number -Assigned]]&amp;" "&amp;Master[[#This Row],[Inventory Suffix]]&amp;" "&amp;Master[[#This Row],[Inventory Type - Lookup Picker]]</f>
        <v>W6 59634  SD</v>
      </c>
      <c r="D48" s="7" t="str">
        <f>IF(Master[[#This Row],[Collector Voucher Number]]="","",Master[[#This Row],[Collector Voucher Number]])</f>
        <v>NV030-1527</v>
      </c>
      <c r="E48" s="76" t="str">
        <f>IF(Master[[#This Row],[Voucher Location (2)]]="","",Master[[#This Row],[Voucher Location (2)]])</f>
        <v/>
      </c>
      <c r="F48" s="7" t="str">
        <f t="shared" si="1"/>
        <v>mm/dd/yyyy</v>
      </c>
      <c r="G48" s="2" t="str">
        <f>IF(Master[[#This Row],[Voucher Date]]="","",Master[[#This Row],[Voucher Date]])</f>
        <v/>
      </c>
      <c r="H48" s="17" t="str">
        <f>IF(Master[[#This Row],[Voucher Collector -name, organization]]="","",Master[[#This Row],[Voucher Collector -name, organization]])</f>
        <v>Dean Tonenna BLM:In Field:10 NOV 2020</v>
      </c>
      <c r="I48" s="7" t="str">
        <f>IF(Master[[#This Row],[Note (Voucher)]]="","",Master[[#This Row],[Note (Voucher)]])</f>
        <v/>
      </c>
    </row>
    <row r="49" spans="2:9" x14ac:dyDescent="0.25">
      <c r="B49" s="7" t="str">
        <f>Master[[#This Row],[Accession Prefix (NPGS)]]&amp;" "&amp;Master[[#This Row],[Accession Number -Assigned]]</f>
        <v>W6 59635</v>
      </c>
      <c r="C49" s="7" t="str">
        <f>Master[[#This Row],[Accession Prefix (NPGS)]]&amp;" "&amp;Master[[#This Row],[Accession Number -Assigned]]&amp;" "&amp;Master[[#This Row],[Inventory Suffix]]&amp;" "&amp;Master[[#This Row],[Inventory Type - Lookup Picker]]</f>
        <v>W6 59635  SD</v>
      </c>
      <c r="D49" s="7" t="str">
        <f>IF(Master[[#This Row],[Collector Voucher Number]]="","",Master[[#This Row],[Collector Voucher Number]])</f>
        <v>NV030-1528</v>
      </c>
      <c r="E49" s="76" t="str">
        <f>IF(Master[[#This Row],[Voucher Location (2)]]="","",Master[[#This Row],[Voucher Location (2)]])</f>
        <v/>
      </c>
      <c r="F49" s="7" t="str">
        <f t="shared" si="1"/>
        <v>mm/dd/yyyy</v>
      </c>
      <c r="G49" s="2" t="str">
        <f>IF(Master[[#This Row],[Voucher Date]]="","",Master[[#This Row],[Voucher Date]])</f>
        <v/>
      </c>
      <c r="H49" s="17" t="str">
        <f>IF(Master[[#This Row],[Voucher Collector -name, organization]]="","",Master[[#This Row],[Voucher Collector -name, organization]])</f>
        <v>Dean Tonenna BLM:In Field:01 NOV 2020</v>
      </c>
      <c r="I49" s="7" t="str">
        <f>IF(Master[[#This Row],[Note (Voucher)]]="","",Master[[#This Row],[Note (Voucher)]])</f>
        <v/>
      </c>
    </row>
    <row r="50" spans="2:9" x14ac:dyDescent="0.25">
      <c r="B50" s="7" t="str">
        <f>Master[[#This Row],[Accession Prefix (NPGS)]]&amp;" "&amp;Master[[#This Row],[Accession Number -Assigned]]</f>
        <v>W6 59636</v>
      </c>
      <c r="C50" s="7" t="str">
        <f>Master[[#This Row],[Accession Prefix (NPGS)]]&amp;" "&amp;Master[[#This Row],[Accession Number -Assigned]]&amp;" "&amp;Master[[#This Row],[Inventory Suffix]]&amp;" "&amp;Master[[#This Row],[Inventory Type - Lookup Picker]]</f>
        <v>W6 59636  SD</v>
      </c>
      <c r="D50" s="7" t="str">
        <f>IF(Master[[#This Row],[Collector Voucher Number]]="","",Master[[#This Row],[Collector Voucher Number]])</f>
        <v>NV030-1529</v>
      </c>
      <c r="E50" s="76" t="str">
        <f>IF(Master[[#This Row],[Voucher Location (2)]]="","",Master[[#This Row],[Voucher Location (2)]])</f>
        <v/>
      </c>
      <c r="F50" s="7" t="str">
        <f t="shared" si="1"/>
        <v>mm/dd/yyyy</v>
      </c>
      <c r="G50" s="2" t="str">
        <f>IF(Master[[#This Row],[Voucher Date]]="","",Master[[#This Row],[Voucher Date]])</f>
        <v/>
      </c>
      <c r="H50" s="17" t="str">
        <f>IF(Master[[#This Row],[Voucher Collector -name, organization]]="","",Master[[#This Row],[Voucher Collector -name, organization]])</f>
        <v>Dean Tonenna, BLM:In Field:23 NOV 2020</v>
      </c>
      <c r="I50" s="7" t="str">
        <f>IF(Master[[#This Row],[Note (Voucher)]]="","",Master[[#This Row],[Note (Voucher)]])</f>
        <v/>
      </c>
    </row>
    <row r="51" spans="2:9" x14ac:dyDescent="0.25">
      <c r="B51" s="7" t="str">
        <f>Master[[#This Row],[Accession Prefix (NPGS)]]&amp;" "&amp;Master[[#This Row],[Accession Number -Assigned]]</f>
        <v>W6 59637</v>
      </c>
      <c r="C51" s="7" t="str">
        <f>Master[[#This Row],[Accession Prefix (NPGS)]]&amp;" "&amp;Master[[#This Row],[Accession Number -Assigned]]&amp;" "&amp;Master[[#This Row],[Inventory Suffix]]&amp;" "&amp;Master[[#This Row],[Inventory Type - Lookup Picker]]</f>
        <v>W6 59637  SD</v>
      </c>
      <c r="D51" s="7" t="str">
        <f>IF(Master[[#This Row],[Collector Voucher Number]]="","",Master[[#This Row],[Collector Voucher Number]])</f>
        <v>NV030-1530</v>
      </c>
      <c r="E51" s="76" t="str">
        <f>IF(Master[[#This Row],[Voucher Location (2)]]="","",Master[[#This Row],[Voucher Location (2)]])</f>
        <v/>
      </c>
      <c r="F51" s="7" t="str">
        <f t="shared" si="1"/>
        <v>mm/dd/yyyy</v>
      </c>
      <c r="G51" s="2" t="str">
        <f>IF(Master[[#This Row],[Voucher Date]]="","",Master[[#This Row],[Voucher Date]])</f>
        <v/>
      </c>
      <c r="H51" s="17" t="str">
        <f>IF(Master[[#This Row],[Voucher Collector -name, organization]]="","",Master[[#This Row],[Voucher Collector -name, organization]])</f>
        <v>Dean Tonenna, BLM:In Field:03 DEC 2020</v>
      </c>
      <c r="I51" s="7" t="str">
        <f>IF(Master[[#This Row],[Note (Voucher)]]="","",Master[[#This Row],[Note (Voucher)]])</f>
        <v/>
      </c>
    </row>
    <row r="52" spans="2:9" x14ac:dyDescent="0.25">
      <c r="B52" s="7" t="str">
        <f>Master[[#This Row],[Accession Prefix (NPGS)]]&amp;" "&amp;Master[[#This Row],[Accession Number -Assigned]]</f>
        <v>W6 59638</v>
      </c>
      <c r="C52" s="7" t="str">
        <f>Master[[#This Row],[Accession Prefix (NPGS)]]&amp;" "&amp;Master[[#This Row],[Accession Number -Assigned]]&amp;" "&amp;Master[[#This Row],[Inventory Suffix]]&amp;" "&amp;Master[[#This Row],[Inventory Type - Lookup Picker]]</f>
        <v>W6 59638  SD</v>
      </c>
      <c r="D52" s="7" t="str">
        <f>IF(Master[[#This Row],[Collector Voucher Number]]="","",Master[[#This Row],[Collector Voucher Number]])</f>
        <v>NV030-1531</v>
      </c>
      <c r="E52" s="76" t="str">
        <f>IF(Master[[#This Row],[Voucher Location (2)]]="","",Master[[#This Row],[Voucher Location (2)]])</f>
        <v/>
      </c>
      <c r="F52" s="7" t="str">
        <f t="shared" si="1"/>
        <v>mm/dd/yyyy</v>
      </c>
      <c r="G52" s="2" t="str">
        <f>IF(Master[[#This Row],[Voucher Date]]="","",Master[[#This Row],[Voucher Date]])</f>
        <v/>
      </c>
      <c r="H52" s="17" t="str">
        <f>IF(Master[[#This Row],[Voucher Collector -name, organization]]="","",Master[[#This Row],[Voucher Collector -name, organization]])</f>
        <v>Dean Tonenna, BLM:In Field:03 DEC 2020</v>
      </c>
      <c r="I52" s="7" t="str">
        <f>IF(Master[[#This Row],[Note (Voucher)]]="","",Master[[#This Row],[Note (Voucher)]])</f>
        <v/>
      </c>
    </row>
    <row r="53" spans="2:9" x14ac:dyDescent="0.25">
      <c r="B53" s="7" t="str">
        <f>Master[[#This Row],[Accession Prefix (NPGS)]]&amp;" "&amp;Master[[#This Row],[Accession Number -Assigned]]</f>
        <v>W6 59639</v>
      </c>
      <c r="C53" s="7" t="str">
        <f>Master[[#This Row],[Accession Prefix (NPGS)]]&amp;" "&amp;Master[[#This Row],[Accession Number -Assigned]]&amp;" "&amp;Master[[#This Row],[Inventory Suffix]]&amp;" "&amp;Master[[#This Row],[Inventory Type - Lookup Picker]]</f>
        <v>W6 59639  SD</v>
      </c>
      <c r="D53" s="7" t="str">
        <f>IF(Master[[#This Row],[Collector Voucher Number]]="","",Master[[#This Row],[Collector Voucher Number]])</f>
        <v>NV030-1532</v>
      </c>
      <c r="E53" s="76" t="str">
        <f>IF(Master[[#This Row],[Voucher Location (2)]]="","",Master[[#This Row],[Voucher Location (2)]])</f>
        <v/>
      </c>
      <c r="F53" s="7" t="str">
        <f t="shared" si="1"/>
        <v>mm/dd/yyyy</v>
      </c>
      <c r="G53" s="2" t="str">
        <f>IF(Master[[#This Row],[Voucher Date]]="","",Master[[#This Row],[Voucher Date]])</f>
        <v/>
      </c>
      <c r="H53" s="17" t="str">
        <f>IF(Master[[#This Row],[Voucher Collector -name, organization]]="","",Master[[#This Row],[Voucher Collector -name, organization]])</f>
        <v>Dean Tonenna:In Field:03 DEC 2020</v>
      </c>
      <c r="I53" s="7" t="str">
        <f>IF(Master[[#This Row],[Note (Voucher)]]="","",Master[[#This Row],[Note (Voucher)]])</f>
        <v/>
      </c>
    </row>
    <row r="54" spans="2:9" x14ac:dyDescent="0.25">
      <c r="B54" s="7" t="str">
        <f>Master[[#This Row],[Accession Prefix (NPGS)]]&amp;" "&amp;Master[[#This Row],[Accession Number -Assigned]]</f>
        <v>W6 59640</v>
      </c>
      <c r="C54" s="7" t="str">
        <f>Master[[#This Row],[Accession Prefix (NPGS)]]&amp;" "&amp;Master[[#This Row],[Accession Number -Assigned]]&amp;" "&amp;Master[[#This Row],[Inventory Suffix]]&amp;" "&amp;Master[[#This Row],[Inventory Type - Lookup Picker]]</f>
        <v>W6 59640  SD</v>
      </c>
      <c r="D54" s="7" t="str">
        <f>IF(Master[[#This Row],[Collector Voucher Number]]="","",Master[[#This Row],[Collector Voucher Number]])</f>
        <v>NV030-1534</v>
      </c>
      <c r="E54" s="76" t="str">
        <f>IF(Master[[#This Row],[Voucher Location (2)]]="","",Master[[#This Row],[Voucher Location (2)]])</f>
        <v/>
      </c>
      <c r="F54" s="7" t="str">
        <f t="shared" ref="F54:F85" si="2">"mm/dd/yyyy"</f>
        <v>mm/dd/yyyy</v>
      </c>
      <c r="G54" s="2" t="str">
        <f>IF(Master[[#This Row],[Voucher Date]]="","",Master[[#This Row],[Voucher Date]])</f>
        <v/>
      </c>
      <c r="H54" s="17" t="str">
        <f>IF(Master[[#This Row],[Voucher Collector -name, organization]]="","",Master[[#This Row],[Voucher Collector -name, organization]])</f>
        <v>Dean Tonenna:In Field:15 DEC 2020</v>
      </c>
      <c r="I54" s="7" t="str">
        <f>IF(Master[[#This Row],[Note (Voucher)]]="","",Master[[#This Row],[Note (Voucher)]])</f>
        <v/>
      </c>
    </row>
    <row r="55" spans="2:9" x14ac:dyDescent="0.25">
      <c r="B55" s="7" t="str">
        <f>Master[[#This Row],[Accession Prefix (NPGS)]]&amp;" "&amp;Master[[#This Row],[Accession Number -Assigned]]</f>
        <v>W6 59641</v>
      </c>
      <c r="C55" s="7" t="str">
        <f>Master[[#This Row],[Accession Prefix (NPGS)]]&amp;" "&amp;Master[[#This Row],[Accession Number -Assigned]]&amp;" "&amp;Master[[#This Row],[Inventory Suffix]]&amp;" "&amp;Master[[#This Row],[Inventory Type - Lookup Picker]]</f>
        <v>W6 59641  SD</v>
      </c>
      <c r="D55" s="7" t="str">
        <f>IF(Master[[#This Row],[Collector Voucher Number]]="","",Master[[#This Row],[Collector Voucher Number]])</f>
        <v>NV030-1535</v>
      </c>
      <c r="E55" s="76" t="str">
        <f>IF(Master[[#This Row],[Voucher Location (2)]]="","",Master[[#This Row],[Voucher Location (2)]])</f>
        <v/>
      </c>
      <c r="F55" s="7" t="str">
        <f t="shared" si="2"/>
        <v>mm/dd/yyyy</v>
      </c>
      <c r="G55" s="2" t="str">
        <f>IF(Master[[#This Row],[Voucher Date]]="","",Master[[#This Row],[Voucher Date]])</f>
        <v/>
      </c>
      <c r="H55" s="17" t="str">
        <f>IF(Master[[#This Row],[Voucher Collector -name, organization]]="","",Master[[#This Row],[Voucher Collector -name, organization]])</f>
        <v>Dean Tonenna, BLM:From pressed specimen on day of collection:17 AUG 2020</v>
      </c>
      <c r="I55" s="7" t="str">
        <f>IF(Master[[#This Row],[Note (Voucher)]]="","",Master[[#This Row],[Note (Voucher)]])</f>
        <v/>
      </c>
    </row>
    <row r="56" spans="2:9" x14ac:dyDescent="0.25">
      <c r="B56" s="7" t="str">
        <f>Master[[#This Row],[Accession Prefix (NPGS)]]&amp;" "&amp;Master[[#This Row],[Accession Number -Assigned]]</f>
        <v>W6 59642</v>
      </c>
      <c r="C56" s="7" t="str">
        <f>Master[[#This Row],[Accession Prefix (NPGS)]]&amp;" "&amp;Master[[#This Row],[Accession Number -Assigned]]&amp;" "&amp;Master[[#This Row],[Inventory Suffix]]&amp;" "&amp;Master[[#This Row],[Inventory Type - Lookup Picker]]</f>
        <v>W6 59642  SD</v>
      </c>
      <c r="D56" s="7" t="str">
        <f>IF(Master[[#This Row],[Collector Voucher Number]]="","",Master[[#This Row],[Collector Voucher Number]])</f>
        <v>NV030-1536</v>
      </c>
      <c r="E56" s="76" t="str">
        <f>IF(Master[[#This Row],[Voucher Location (2)]]="","",Master[[#This Row],[Voucher Location (2)]])</f>
        <v/>
      </c>
      <c r="F56" s="7" t="str">
        <f t="shared" si="2"/>
        <v>mm/dd/yyyy</v>
      </c>
      <c r="G56" s="2" t="str">
        <f>IF(Master[[#This Row],[Voucher Date]]="","",Master[[#This Row],[Voucher Date]])</f>
        <v/>
      </c>
      <c r="H56" s="17" t="str">
        <f>IF(Master[[#This Row],[Voucher Collector -name, organization]]="","",Master[[#This Row],[Voucher Collector -name, organization]])</f>
        <v>D. Tonenna - BLM:From pressed specimen on day of collection:25 AUG 2020</v>
      </c>
      <c r="I56" s="7" t="str">
        <f>IF(Master[[#This Row],[Note (Voucher)]]="","",Master[[#This Row],[Note (Voucher)]])</f>
        <v/>
      </c>
    </row>
    <row r="57" spans="2:9" x14ac:dyDescent="0.25">
      <c r="B57" s="7" t="str">
        <f>Master[[#This Row],[Accession Prefix (NPGS)]]&amp;" "&amp;Master[[#This Row],[Accession Number -Assigned]]</f>
        <v>W6 59643</v>
      </c>
      <c r="C57" s="7" t="str">
        <f>Master[[#This Row],[Accession Prefix (NPGS)]]&amp;" "&amp;Master[[#This Row],[Accession Number -Assigned]]&amp;" "&amp;Master[[#This Row],[Inventory Suffix]]&amp;" "&amp;Master[[#This Row],[Inventory Type - Lookup Picker]]</f>
        <v>W6 59643  SD</v>
      </c>
      <c r="D57" s="7" t="str">
        <f>IF(Master[[#This Row],[Collector Voucher Number]]="","",Master[[#This Row],[Collector Voucher Number]])</f>
        <v>UT020-85</v>
      </c>
      <c r="E57" s="76" t="str">
        <f>IF(Master[[#This Row],[Voucher Location (2)]]="","",Master[[#This Row],[Voucher Location (2)]])</f>
        <v>University of Nevada-Reno</v>
      </c>
      <c r="F57" s="7" t="str">
        <f t="shared" si="2"/>
        <v>mm/dd/yyyy</v>
      </c>
      <c r="G57" s="2">
        <f>IF(Master[[#This Row],[Voucher Date]]="","",Master[[#This Row],[Voucher Date]])</f>
        <v>43976</v>
      </c>
      <c r="H57" s="17" t="str">
        <f>IF(Master[[#This Row],[Voucher Collector -name, organization]]="","",Master[[#This Row],[Voucher Collector -name, organization]])</f>
        <v/>
      </c>
      <c r="I57" s="7" t="str">
        <f>IF(Master[[#This Row],[Note (Voucher)]]="","",Master[[#This Row],[Note (Voucher)]])</f>
        <v/>
      </c>
    </row>
    <row r="58" spans="2:9" x14ac:dyDescent="0.25">
      <c r="B58" s="7" t="str">
        <f>Master[[#This Row],[Accession Prefix (NPGS)]]&amp;" "&amp;Master[[#This Row],[Accession Number -Assigned]]</f>
        <v>W6 59644</v>
      </c>
      <c r="C58" s="7" t="str">
        <f>Master[[#This Row],[Accession Prefix (NPGS)]]&amp;" "&amp;Master[[#This Row],[Accession Number -Assigned]]&amp;" "&amp;Master[[#This Row],[Inventory Suffix]]&amp;" "&amp;Master[[#This Row],[Inventory Type - Lookup Picker]]</f>
        <v>W6 59644  SD</v>
      </c>
      <c r="D58" s="7" t="str">
        <f>IF(Master[[#This Row],[Collector Voucher Number]]="","",Master[[#This Row],[Collector Voucher Number]])</f>
        <v>UT020-86</v>
      </c>
      <c r="E58" s="76" t="str">
        <f>IF(Master[[#This Row],[Voucher Location (2)]]="","",Master[[#This Row],[Voucher Location (2)]])</f>
        <v>University of Nevada-Reno</v>
      </c>
      <c r="F58" s="7" t="str">
        <f t="shared" si="2"/>
        <v>mm/dd/yyyy</v>
      </c>
      <c r="G58" s="2">
        <f>IF(Master[[#This Row],[Voucher Date]]="","",Master[[#This Row],[Voucher Date]])</f>
        <v>43978</v>
      </c>
      <c r="H58" s="17" t="str">
        <f>IF(Master[[#This Row],[Voucher Collector -name, organization]]="","",Master[[#This Row],[Voucher Collector -name, organization]])</f>
        <v/>
      </c>
      <c r="I58" s="7" t="str">
        <f>IF(Master[[#This Row],[Note (Voucher)]]="","",Master[[#This Row],[Note (Voucher)]])</f>
        <v/>
      </c>
    </row>
    <row r="59" spans="2:9" x14ac:dyDescent="0.25">
      <c r="B59" s="7" t="str">
        <f>Master[[#This Row],[Accession Prefix (NPGS)]]&amp;" "&amp;Master[[#This Row],[Accession Number -Assigned]]</f>
        <v>W6 59645</v>
      </c>
      <c r="C59" s="7" t="str">
        <f>Master[[#This Row],[Accession Prefix (NPGS)]]&amp;" "&amp;Master[[#This Row],[Accession Number -Assigned]]&amp;" "&amp;Master[[#This Row],[Inventory Suffix]]&amp;" "&amp;Master[[#This Row],[Inventory Type - Lookup Picker]]</f>
        <v>W6 59645  SD</v>
      </c>
      <c r="D59" s="7" t="str">
        <f>IF(Master[[#This Row],[Collector Voucher Number]]="","",Master[[#This Row],[Collector Voucher Number]])</f>
        <v>UT020-87</v>
      </c>
      <c r="E59" s="76" t="str">
        <f>IF(Master[[#This Row],[Voucher Location (2)]]="","",Master[[#This Row],[Voucher Location (2)]])</f>
        <v>University of Nevada-Reno</v>
      </c>
      <c r="F59" s="7" t="str">
        <f t="shared" si="2"/>
        <v>mm/dd/yyyy</v>
      </c>
      <c r="G59" s="2">
        <f>IF(Master[[#This Row],[Voucher Date]]="","",Master[[#This Row],[Voucher Date]])</f>
        <v>43986</v>
      </c>
      <c r="H59" s="17" t="str">
        <f>IF(Master[[#This Row],[Voucher Collector -name, organization]]="","",Master[[#This Row],[Voucher Collector -name, organization]])</f>
        <v/>
      </c>
      <c r="I59" s="7" t="str">
        <f>IF(Master[[#This Row],[Note (Voucher)]]="","",Master[[#This Row],[Note (Voucher)]])</f>
        <v/>
      </c>
    </row>
    <row r="60" spans="2:9" x14ac:dyDescent="0.25">
      <c r="B60" s="7" t="str">
        <f>Master[[#This Row],[Accession Prefix (NPGS)]]&amp;" "&amp;Master[[#This Row],[Accession Number -Assigned]]</f>
        <v>W6 59646</v>
      </c>
      <c r="C60" s="7" t="str">
        <f>Master[[#This Row],[Accession Prefix (NPGS)]]&amp;" "&amp;Master[[#This Row],[Accession Number -Assigned]]&amp;" "&amp;Master[[#This Row],[Inventory Suffix]]&amp;" "&amp;Master[[#This Row],[Inventory Type - Lookup Picker]]</f>
        <v>W6 59646  SD</v>
      </c>
      <c r="D60" s="7" t="str">
        <f>IF(Master[[#This Row],[Collector Voucher Number]]="","",Master[[#This Row],[Collector Voucher Number]])</f>
        <v>UT020-88</v>
      </c>
      <c r="E60" s="76" t="str">
        <f>IF(Master[[#This Row],[Voucher Location (2)]]="","",Master[[#This Row],[Voucher Location (2)]])</f>
        <v>University of Nevada-Reno</v>
      </c>
      <c r="F60" s="7" t="str">
        <f t="shared" si="2"/>
        <v>mm/dd/yyyy</v>
      </c>
      <c r="G60" s="2">
        <f>IF(Master[[#This Row],[Voucher Date]]="","",Master[[#This Row],[Voucher Date]])</f>
        <v>43976</v>
      </c>
      <c r="H60" s="17" t="str">
        <f>IF(Master[[#This Row],[Voucher Collector -name, organization]]="","",Master[[#This Row],[Voucher Collector -name, organization]])</f>
        <v/>
      </c>
      <c r="I60" s="7" t="str">
        <f>IF(Master[[#This Row],[Note (Voucher)]]="","",Master[[#This Row],[Note (Voucher)]])</f>
        <v/>
      </c>
    </row>
    <row r="61" spans="2:9" x14ac:dyDescent="0.25">
      <c r="B61" s="7" t="str">
        <f>Master[[#This Row],[Accession Prefix (NPGS)]]&amp;" "&amp;Master[[#This Row],[Accession Number -Assigned]]</f>
        <v>W6 59647</v>
      </c>
      <c r="C61" s="7" t="str">
        <f>Master[[#This Row],[Accession Prefix (NPGS)]]&amp;" "&amp;Master[[#This Row],[Accession Number -Assigned]]&amp;" "&amp;Master[[#This Row],[Inventory Suffix]]&amp;" "&amp;Master[[#This Row],[Inventory Type - Lookup Picker]]</f>
        <v>W6 59647  SD</v>
      </c>
      <c r="D61" s="7" t="str">
        <f>IF(Master[[#This Row],[Collector Voucher Number]]="","",Master[[#This Row],[Collector Voucher Number]])</f>
        <v>UT020-89</v>
      </c>
      <c r="E61" s="76" t="str">
        <f>IF(Master[[#This Row],[Voucher Location (2)]]="","",Master[[#This Row],[Voucher Location (2)]])</f>
        <v>University of Nevada-Reno</v>
      </c>
      <c r="F61" s="7" t="str">
        <f t="shared" si="2"/>
        <v>mm/dd/yyyy</v>
      </c>
      <c r="G61" s="2">
        <f>IF(Master[[#This Row],[Voucher Date]]="","",Master[[#This Row],[Voucher Date]])</f>
        <v>44019</v>
      </c>
      <c r="H61" s="17" t="str">
        <f>IF(Master[[#This Row],[Voucher Collector -name, organization]]="","",Master[[#This Row],[Voucher Collector -name, organization]])</f>
        <v/>
      </c>
      <c r="I61" s="7" t="str">
        <f>IF(Master[[#This Row],[Note (Voucher)]]="","",Master[[#This Row],[Note (Voucher)]])</f>
        <v/>
      </c>
    </row>
    <row r="62" spans="2:9" x14ac:dyDescent="0.25">
      <c r="B62" s="7" t="str">
        <f>Master[[#This Row],[Accession Prefix (NPGS)]]&amp;" "&amp;Master[[#This Row],[Accession Number -Assigned]]</f>
        <v>W6 59648</v>
      </c>
      <c r="C62" s="7" t="str">
        <f>Master[[#This Row],[Accession Prefix (NPGS)]]&amp;" "&amp;Master[[#This Row],[Accession Number -Assigned]]&amp;" "&amp;Master[[#This Row],[Inventory Suffix]]&amp;" "&amp;Master[[#This Row],[Inventory Type - Lookup Picker]]</f>
        <v>W6 59648  SD</v>
      </c>
      <c r="D62" s="7" t="str">
        <f>IF(Master[[#This Row],[Collector Voucher Number]]="","",Master[[#This Row],[Collector Voucher Number]])</f>
        <v>UT020-90</v>
      </c>
      <c r="E62" s="76" t="str">
        <f>IF(Master[[#This Row],[Voucher Location (2)]]="","",Master[[#This Row],[Voucher Location (2)]])</f>
        <v>University of Nevada-Reno</v>
      </c>
      <c r="F62" s="7" t="str">
        <f t="shared" si="2"/>
        <v>mm/dd/yyyy</v>
      </c>
      <c r="G62" s="2">
        <f>IF(Master[[#This Row],[Voucher Date]]="","",Master[[#This Row],[Voucher Date]])</f>
        <v>44015</v>
      </c>
      <c r="H62" s="17" t="str">
        <f>IF(Master[[#This Row],[Voucher Collector -name, organization]]="","",Master[[#This Row],[Voucher Collector -name, organization]])</f>
        <v/>
      </c>
      <c r="I62" s="7" t="str">
        <f>IF(Master[[#This Row],[Note (Voucher)]]="","",Master[[#This Row],[Note (Voucher)]])</f>
        <v/>
      </c>
    </row>
    <row r="63" spans="2:9" x14ac:dyDescent="0.25">
      <c r="B63" s="7" t="str">
        <f>Master[[#This Row],[Accession Prefix (NPGS)]]&amp;" "&amp;Master[[#This Row],[Accession Number -Assigned]]</f>
        <v>W6 59649</v>
      </c>
      <c r="C63" s="7" t="str">
        <f>Master[[#This Row],[Accession Prefix (NPGS)]]&amp;" "&amp;Master[[#This Row],[Accession Number -Assigned]]&amp;" "&amp;Master[[#This Row],[Inventory Suffix]]&amp;" "&amp;Master[[#This Row],[Inventory Type - Lookup Picker]]</f>
        <v>W6 59649  SD</v>
      </c>
      <c r="D63" s="7" t="str">
        <f>IF(Master[[#This Row],[Collector Voucher Number]]="","",Master[[#This Row],[Collector Voucher Number]])</f>
        <v>UT020-91</v>
      </c>
      <c r="E63" s="76" t="str">
        <f>IF(Master[[#This Row],[Voucher Location (2)]]="","",Master[[#This Row],[Voucher Location (2)]])</f>
        <v>University of Nevada-Reno</v>
      </c>
      <c r="F63" s="7" t="str">
        <f t="shared" si="2"/>
        <v>mm/dd/yyyy</v>
      </c>
      <c r="G63" s="2">
        <f>IF(Master[[#This Row],[Voucher Date]]="","",Master[[#This Row],[Voucher Date]])</f>
        <v>44025</v>
      </c>
      <c r="H63" s="17" t="str">
        <f>IF(Master[[#This Row],[Voucher Collector -name, organization]]="","",Master[[#This Row],[Voucher Collector -name, organization]])</f>
        <v/>
      </c>
      <c r="I63" s="7" t="str">
        <f>IF(Master[[#This Row],[Note (Voucher)]]="","",Master[[#This Row],[Note (Voucher)]])</f>
        <v/>
      </c>
    </row>
    <row r="64" spans="2:9" x14ac:dyDescent="0.25">
      <c r="B64" s="7" t="str">
        <f>Master[[#This Row],[Accession Prefix (NPGS)]]&amp;" "&amp;Master[[#This Row],[Accession Number -Assigned]]</f>
        <v>W6 59650</v>
      </c>
      <c r="C64" s="7" t="str">
        <f>Master[[#This Row],[Accession Prefix (NPGS)]]&amp;" "&amp;Master[[#This Row],[Accession Number -Assigned]]&amp;" "&amp;Master[[#This Row],[Inventory Suffix]]&amp;" "&amp;Master[[#This Row],[Inventory Type - Lookup Picker]]</f>
        <v>W6 59650  SD</v>
      </c>
      <c r="D64" s="7" t="str">
        <f>IF(Master[[#This Row],[Collector Voucher Number]]="","",Master[[#This Row],[Collector Voucher Number]])</f>
        <v>UT020-92</v>
      </c>
      <c r="E64" s="76" t="str">
        <f>IF(Master[[#This Row],[Voucher Location (2)]]="","",Master[[#This Row],[Voucher Location (2)]])</f>
        <v>University of Nevada-Reno</v>
      </c>
      <c r="F64" s="7" t="str">
        <f t="shared" si="2"/>
        <v>mm/dd/yyyy</v>
      </c>
      <c r="G64" s="2">
        <f>IF(Master[[#This Row],[Voucher Date]]="","",Master[[#This Row],[Voucher Date]])</f>
        <v>44020</v>
      </c>
      <c r="H64" s="17" t="str">
        <f>IF(Master[[#This Row],[Voucher Collector -name, organization]]="","",Master[[#This Row],[Voucher Collector -name, organization]])</f>
        <v/>
      </c>
      <c r="I64" s="7" t="str">
        <f>IF(Master[[#This Row],[Note (Voucher)]]="","",Master[[#This Row],[Note (Voucher)]])</f>
        <v/>
      </c>
    </row>
    <row r="65" spans="2:9" x14ac:dyDescent="0.25">
      <c r="B65" s="7" t="str">
        <f>Master[[#This Row],[Accession Prefix (NPGS)]]&amp;" "&amp;Master[[#This Row],[Accession Number -Assigned]]</f>
        <v>W6 59651</v>
      </c>
      <c r="C65" s="7" t="str">
        <f>Master[[#This Row],[Accession Prefix (NPGS)]]&amp;" "&amp;Master[[#This Row],[Accession Number -Assigned]]&amp;" "&amp;Master[[#This Row],[Inventory Suffix]]&amp;" "&amp;Master[[#This Row],[Inventory Type - Lookup Picker]]</f>
        <v>W6 59651  SD</v>
      </c>
      <c r="D65" s="7" t="str">
        <f>IF(Master[[#This Row],[Collector Voucher Number]]="","",Master[[#This Row],[Collector Voucher Number]])</f>
        <v>UT020-93</v>
      </c>
      <c r="E65" s="76" t="str">
        <f>IF(Master[[#This Row],[Voucher Location (2)]]="","",Master[[#This Row],[Voucher Location (2)]])</f>
        <v>University of Nevada-Reno</v>
      </c>
      <c r="F65" s="7" t="str">
        <f t="shared" si="2"/>
        <v>mm/dd/yyyy</v>
      </c>
      <c r="G65" s="2">
        <f>IF(Master[[#This Row],[Voucher Date]]="","",Master[[#This Row],[Voucher Date]])</f>
        <v>44040</v>
      </c>
      <c r="H65" s="17" t="str">
        <f>IF(Master[[#This Row],[Voucher Collector -name, organization]]="","",Master[[#This Row],[Voucher Collector -name, organization]])</f>
        <v/>
      </c>
      <c r="I65" s="7" t="str">
        <f>IF(Master[[#This Row],[Note (Voucher)]]="","",Master[[#This Row],[Note (Voucher)]])</f>
        <v/>
      </c>
    </row>
    <row r="66" spans="2:9" x14ac:dyDescent="0.25">
      <c r="B66" s="7" t="str">
        <f>Master[[#This Row],[Accession Prefix (NPGS)]]&amp;" "&amp;Master[[#This Row],[Accession Number -Assigned]]</f>
        <v>W6 59652</v>
      </c>
      <c r="C66" s="7" t="str">
        <f>Master[[#This Row],[Accession Prefix (NPGS)]]&amp;" "&amp;Master[[#This Row],[Accession Number -Assigned]]&amp;" "&amp;Master[[#This Row],[Inventory Suffix]]&amp;" "&amp;Master[[#This Row],[Inventory Type - Lookup Picker]]</f>
        <v>W6 59652  SD</v>
      </c>
      <c r="D66" s="7" t="str">
        <f>IF(Master[[#This Row],[Collector Voucher Number]]="","",Master[[#This Row],[Collector Voucher Number]])</f>
        <v>UT020-94</v>
      </c>
      <c r="E66" s="76" t="str">
        <f>IF(Master[[#This Row],[Voucher Location (2)]]="","",Master[[#This Row],[Voucher Location (2)]])</f>
        <v>University of Nevada-Reno</v>
      </c>
      <c r="F66" s="7" t="str">
        <f t="shared" si="2"/>
        <v>mm/dd/yyyy</v>
      </c>
      <c r="G66" s="2">
        <f>IF(Master[[#This Row],[Voucher Date]]="","",Master[[#This Row],[Voucher Date]])</f>
        <v>44020</v>
      </c>
      <c r="H66" s="17" t="str">
        <f>IF(Master[[#This Row],[Voucher Collector -name, organization]]="","",Master[[#This Row],[Voucher Collector -name, organization]])</f>
        <v/>
      </c>
      <c r="I66" s="7" t="str">
        <f>IF(Master[[#This Row],[Note (Voucher)]]="","",Master[[#This Row],[Note (Voucher)]])</f>
        <v/>
      </c>
    </row>
    <row r="67" spans="2:9" x14ac:dyDescent="0.25">
      <c r="B67" s="7" t="str">
        <f>Master[[#This Row],[Accession Prefix (NPGS)]]&amp;" "&amp;Master[[#This Row],[Accession Number -Assigned]]</f>
        <v>W6 59653</v>
      </c>
      <c r="C67" s="7" t="str">
        <f>Master[[#This Row],[Accession Prefix (NPGS)]]&amp;" "&amp;Master[[#This Row],[Accession Number -Assigned]]&amp;" "&amp;Master[[#This Row],[Inventory Suffix]]&amp;" "&amp;Master[[#This Row],[Inventory Type - Lookup Picker]]</f>
        <v>W6 59653  SD</v>
      </c>
      <c r="D67" s="7" t="str">
        <f>IF(Master[[#This Row],[Collector Voucher Number]]="","",Master[[#This Row],[Collector Voucher Number]])</f>
        <v>UT020-95</v>
      </c>
      <c r="E67" s="76" t="str">
        <f>IF(Master[[#This Row],[Voucher Location (2)]]="","",Master[[#This Row],[Voucher Location (2)]])</f>
        <v>University of Nevada-Reno</v>
      </c>
      <c r="F67" s="7" t="str">
        <f t="shared" si="2"/>
        <v>mm/dd/yyyy</v>
      </c>
      <c r="G67" s="2">
        <f>IF(Master[[#This Row],[Voucher Date]]="","",Master[[#This Row],[Voucher Date]])</f>
        <v>44020</v>
      </c>
      <c r="H67" s="17" t="str">
        <f>IF(Master[[#This Row],[Voucher Collector -name, organization]]="","",Master[[#This Row],[Voucher Collector -name, organization]])</f>
        <v/>
      </c>
      <c r="I67" s="7" t="str">
        <f>IF(Master[[#This Row],[Note (Voucher)]]="","",Master[[#This Row],[Note (Voucher)]])</f>
        <v/>
      </c>
    </row>
    <row r="68" spans="2:9" x14ac:dyDescent="0.25">
      <c r="B68" s="7" t="str">
        <f>Master[[#This Row],[Accession Prefix (NPGS)]]&amp;" "&amp;Master[[#This Row],[Accession Number -Assigned]]</f>
        <v>W6 59654</v>
      </c>
      <c r="C68" s="7" t="str">
        <f>Master[[#This Row],[Accession Prefix (NPGS)]]&amp;" "&amp;Master[[#This Row],[Accession Number -Assigned]]&amp;" "&amp;Master[[#This Row],[Inventory Suffix]]&amp;" "&amp;Master[[#This Row],[Inventory Type - Lookup Picker]]</f>
        <v>W6 59654  SD</v>
      </c>
      <c r="D68" s="7" t="str">
        <f>IF(Master[[#This Row],[Collector Voucher Number]]="","",Master[[#This Row],[Collector Voucher Number]])</f>
        <v>UT020-96</v>
      </c>
      <c r="E68" s="76" t="str">
        <f>IF(Master[[#This Row],[Voucher Location (2)]]="","",Master[[#This Row],[Voucher Location (2)]])</f>
        <v>University of Nevada-Reno</v>
      </c>
      <c r="F68" s="7" t="str">
        <f t="shared" si="2"/>
        <v>mm/dd/yyyy</v>
      </c>
      <c r="G68" s="2">
        <f>IF(Master[[#This Row],[Voucher Date]]="","",Master[[#This Row],[Voucher Date]])</f>
        <v>44032</v>
      </c>
      <c r="H68" s="17" t="str">
        <f>IF(Master[[#This Row],[Voucher Collector -name, organization]]="","",Master[[#This Row],[Voucher Collector -name, organization]])</f>
        <v/>
      </c>
      <c r="I68" s="7" t="str">
        <f>IF(Master[[#This Row],[Note (Voucher)]]="","",Master[[#This Row],[Note (Voucher)]])</f>
        <v/>
      </c>
    </row>
    <row r="69" spans="2:9" x14ac:dyDescent="0.25">
      <c r="B69" s="7" t="str">
        <f>Master[[#This Row],[Accession Prefix (NPGS)]]&amp;" "&amp;Master[[#This Row],[Accession Number -Assigned]]</f>
        <v>W6 59655</v>
      </c>
      <c r="C69" s="7" t="str">
        <f>Master[[#This Row],[Accession Prefix (NPGS)]]&amp;" "&amp;Master[[#This Row],[Accession Number -Assigned]]&amp;" "&amp;Master[[#This Row],[Inventory Suffix]]&amp;" "&amp;Master[[#This Row],[Inventory Type - Lookup Picker]]</f>
        <v>W6 59655  SD</v>
      </c>
      <c r="D69" s="7" t="str">
        <f>IF(Master[[#This Row],[Collector Voucher Number]]="","",Master[[#This Row],[Collector Voucher Number]])</f>
        <v>UT080-309</v>
      </c>
      <c r="E69" s="76" t="str">
        <f>IF(Master[[#This Row],[Voucher Location (2)]]="","",Master[[#This Row],[Voucher Location (2)]])</f>
        <v/>
      </c>
      <c r="F69" s="7" t="str">
        <f t="shared" si="2"/>
        <v>mm/dd/yyyy</v>
      </c>
      <c r="G69" s="2">
        <f>IF(Master[[#This Row],[Voucher Date]]="","",Master[[#This Row],[Voucher Date]])</f>
        <v>43993</v>
      </c>
      <c r="H69" s="17" t="str">
        <f>IF(Master[[#This Row],[Voucher Collector -name, organization]]="","",Master[[#This Row],[Voucher Collector -name, organization]])</f>
        <v/>
      </c>
      <c r="I69" s="7" t="str">
        <f>IF(Master[[#This Row],[Note (Voucher)]]="","",Master[[#This Row],[Note (Voucher)]])</f>
        <v/>
      </c>
    </row>
    <row r="70" spans="2:9" x14ac:dyDescent="0.25">
      <c r="B70" s="7" t="str">
        <f>Master[[#This Row],[Accession Prefix (NPGS)]]&amp;" "&amp;Master[[#This Row],[Accession Number -Assigned]]</f>
        <v>W6 59656</v>
      </c>
      <c r="C70" s="7" t="str">
        <f>Master[[#This Row],[Accession Prefix (NPGS)]]&amp;" "&amp;Master[[#This Row],[Accession Number -Assigned]]&amp;" "&amp;Master[[#This Row],[Inventory Suffix]]&amp;" "&amp;Master[[#This Row],[Inventory Type - Lookup Picker]]</f>
        <v>W6 59656  SD</v>
      </c>
      <c r="D70" s="7" t="str">
        <f>IF(Master[[#This Row],[Collector Voucher Number]]="","",Master[[#This Row],[Collector Voucher Number]])</f>
        <v>UT080-310</v>
      </c>
      <c r="E70" s="76" t="str">
        <f>IF(Master[[#This Row],[Voucher Location (2)]]="","",Master[[#This Row],[Voucher Location (2)]])</f>
        <v/>
      </c>
      <c r="F70" s="7" t="str">
        <f t="shared" si="2"/>
        <v>mm/dd/yyyy</v>
      </c>
      <c r="G70" s="2">
        <f>IF(Master[[#This Row],[Voucher Date]]="","",Master[[#This Row],[Voucher Date]])</f>
        <v>43997</v>
      </c>
      <c r="H70" s="17" t="str">
        <f>IF(Master[[#This Row],[Voucher Collector -name, organization]]="","",Master[[#This Row],[Voucher Collector -name, organization]])</f>
        <v/>
      </c>
      <c r="I70" s="7" t="str">
        <f>IF(Master[[#This Row],[Note (Voucher)]]="","",Master[[#This Row],[Note (Voucher)]])</f>
        <v/>
      </c>
    </row>
    <row r="71" spans="2:9" x14ac:dyDescent="0.25">
      <c r="B71" s="7" t="str">
        <f>Master[[#This Row],[Accession Prefix (NPGS)]]&amp;" "&amp;Master[[#This Row],[Accession Number -Assigned]]</f>
        <v>W6 59657</v>
      </c>
      <c r="C71" s="7" t="str">
        <f>Master[[#This Row],[Accession Prefix (NPGS)]]&amp;" "&amp;Master[[#This Row],[Accession Number -Assigned]]&amp;" "&amp;Master[[#This Row],[Inventory Suffix]]&amp;" "&amp;Master[[#This Row],[Inventory Type - Lookup Picker]]</f>
        <v>W6 59657  SD</v>
      </c>
      <c r="D71" s="7" t="str">
        <f>IF(Master[[#This Row],[Collector Voucher Number]]="","",Master[[#This Row],[Collector Voucher Number]])</f>
        <v>UT080-311</v>
      </c>
      <c r="E71" s="76" t="str">
        <f>IF(Master[[#This Row],[Voucher Location (2)]]="","",Master[[#This Row],[Voucher Location (2)]])</f>
        <v/>
      </c>
      <c r="F71" s="7" t="str">
        <f t="shared" si="2"/>
        <v>mm/dd/yyyy</v>
      </c>
      <c r="G71" s="2">
        <f>IF(Master[[#This Row],[Voucher Date]]="","",Master[[#This Row],[Voucher Date]])</f>
        <v>43998</v>
      </c>
      <c r="H71" s="17" t="str">
        <f>IF(Master[[#This Row],[Voucher Collector -name, organization]]="","",Master[[#This Row],[Voucher Collector -name, organization]])</f>
        <v/>
      </c>
      <c r="I71" s="7" t="str">
        <f>IF(Master[[#This Row],[Note (Voucher)]]="","",Master[[#This Row],[Note (Voucher)]])</f>
        <v/>
      </c>
    </row>
    <row r="72" spans="2:9" x14ac:dyDescent="0.25">
      <c r="B72" s="7" t="str">
        <f>Master[[#This Row],[Accession Prefix (NPGS)]]&amp;" "&amp;Master[[#This Row],[Accession Number -Assigned]]</f>
        <v>W6 59658</v>
      </c>
      <c r="C72" s="7" t="str">
        <f>Master[[#This Row],[Accession Prefix (NPGS)]]&amp;" "&amp;Master[[#This Row],[Accession Number -Assigned]]&amp;" "&amp;Master[[#This Row],[Inventory Suffix]]&amp;" "&amp;Master[[#This Row],[Inventory Type - Lookup Picker]]</f>
        <v>W6 59658  SD</v>
      </c>
      <c r="D72" s="7" t="str">
        <f>IF(Master[[#This Row],[Collector Voucher Number]]="","",Master[[#This Row],[Collector Voucher Number]])</f>
        <v>UT080-313</v>
      </c>
      <c r="E72" s="76" t="str">
        <f>IF(Master[[#This Row],[Voucher Location (2)]]="","",Master[[#This Row],[Voucher Location (2)]])</f>
        <v/>
      </c>
      <c r="F72" s="7" t="str">
        <f t="shared" si="2"/>
        <v>mm/dd/yyyy</v>
      </c>
      <c r="G72" s="2">
        <f>IF(Master[[#This Row],[Voucher Date]]="","",Master[[#This Row],[Voucher Date]])</f>
        <v>43998</v>
      </c>
      <c r="H72" s="17" t="str">
        <f>IF(Master[[#This Row],[Voucher Collector -name, organization]]="","",Master[[#This Row],[Voucher Collector -name, organization]])</f>
        <v/>
      </c>
      <c r="I72" s="7" t="str">
        <f>IF(Master[[#This Row],[Note (Voucher)]]="","",Master[[#This Row],[Note (Voucher)]])</f>
        <v/>
      </c>
    </row>
    <row r="73" spans="2:9" x14ac:dyDescent="0.25">
      <c r="B73" s="7" t="str">
        <f>Master[[#This Row],[Accession Prefix (NPGS)]]&amp;" "&amp;Master[[#This Row],[Accession Number -Assigned]]</f>
        <v>W6 59659</v>
      </c>
      <c r="C73" s="7" t="str">
        <f>Master[[#This Row],[Accession Prefix (NPGS)]]&amp;" "&amp;Master[[#This Row],[Accession Number -Assigned]]&amp;" "&amp;Master[[#This Row],[Inventory Suffix]]&amp;" "&amp;Master[[#This Row],[Inventory Type - Lookup Picker]]</f>
        <v>W6 59659  SD</v>
      </c>
      <c r="D73" s="7" t="str">
        <f>IF(Master[[#This Row],[Collector Voucher Number]]="","",Master[[#This Row],[Collector Voucher Number]])</f>
        <v>UT080-314</v>
      </c>
      <c r="E73" s="76" t="str">
        <f>IF(Master[[#This Row],[Voucher Location (2)]]="","",Master[[#This Row],[Voucher Location (2)]])</f>
        <v/>
      </c>
      <c r="F73" s="7" t="str">
        <f t="shared" si="2"/>
        <v>mm/dd/yyyy</v>
      </c>
      <c r="G73" s="2">
        <f>IF(Master[[#This Row],[Voucher Date]]="","",Master[[#This Row],[Voucher Date]])</f>
        <v>43999</v>
      </c>
      <c r="H73" s="17" t="str">
        <f>IF(Master[[#This Row],[Voucher Collector -name, organization]]="","",Master[[#This Row],[Voucher Collector -name, organization]])</f>
        <v/>
      </c>
      <c r="I73" s="7" t="str">
        <f>IF(Master[[#This Row],[Note (Voucher)]]="","",Master[[#This Row],[Note (Voucher)]])</f>
        <v/>
      </c>
    </row>
    <row r="74" spans="2:9" x14ac:dyDescent="0.25">
      <c r="B74" s="7" t="str">
        <f>Master[[#This Row],[Accession Prefix (NPGS)]]&amp;" "&amp;Master[[#This Row],[Accession Number -Assigned]]</f>
        <v>W6 59660</v>
      </c>
      <c r="C74" s="7" t="str">
        <f>Master[[#This Row],[Accession Prefix (NPGS)]]&amp;" "&amp;Master[[#This Row],[Accession Number -Assigned]]&amp;" "&amp;Master[[#This Row],[Inventory Suffix]]&amp;" "&amp;Master[[#This Row],[Inventory Type - Lookup Picker]]</f>
        <v>W6 59660  SD</v>
      </c>
      <c r="D74" s="7" t="str">
        <f>IF(Master[[#This Row],[Collector Voucher Number]]="","",Master[[#This Row],[Collector Voucher Number]])</f>
        <v>UT080-317</v>
      </c>
      <c r="E74" s="76" t="str">
        <f>IF(Master[[#This Row],[Voucher Location (2)]]="","",Master[[#This Row],[Voucher Location (2)]])</f>
        <v/>
      </c>
      <c r="F74" s="7" t="str">
        <f t="shared" si="2"/>
        <v>mm/dd/yyyy</v>
      </c>
      <c r="G74" s="2">
        <f>IF(Master[[#This Row],[Voucher Date]]="","",Master[[#This Row],[Voucher Date]])</f>
        <v>44006</v>
      </c>
      <c r="H74" s="17" t="str">
        <f>IF(Master[[#This Row],[Voucher Collector -name, organization]]="","",Master[[#This Row],[Voucher Collector -name, organization]])</f>
        <v/>
      </c>
      <c r="I74" s="7" t="str">
        <f>IF(Master[[#This Row],[Note (Voucher)]]="","",Master[[#This Row],[Note (Voucher)]])</f>
        <v/>
      </c>
    </row>
    <row r="75" spans="2:9" x14ac:dyDescent="0.25">
      <c r="B75" s="7" t="str">
        <f>Master[[#This Row],[Accession Prefix (NPGS)]]&amp;" "&amp;Master[[#This Row],[Accession Number -Assigned]]</f>
        <v>W6 59661</v>
      </c>
      <c r="C75" s="7" t="str">
        <f>Master[[#This Row],[Accession Prefix (NPGS)]]&amp;" "&amp;Master[[#This Row],[Accession Number -Assigned]]&amp;" "&amp;Master[[#This Row],[Inventory Suffix]]&amp;" "&amp;Master[[#This Row],[Inventory Type - Lookup Picker]]</f>
        <v>W6 59661  SD</v>
      </c>
      <c r="D75" s="7" t="str">
        <f>IF(Master[[#This Row],[Collector Voucher Number]]="","",Master[[#This Row],[Collector Voucher Number]])</f>
        <v>UT080-319</v>
      </c>
      <c r="E75" s="76" t="str">
        <f>IF(Master[[#This Row],[Voucher Location (2)]]="","",Master[[#This Row],[Voucher Location (2)]])</f>
        <v/>
      </c>
      <c r="F75" s="7" t="str">
        <f t="shared" si="2"/>
        <v>mm/dd/yyyy</v>
      </c>
      <c r="G75" s="2">
        <f>IF(Master[[#This Row],[Voucher Date]]="","",Master[[#This Row],[Voucher Date]])</f>
        <v>44006</v>
      </c>
      <c r="H75" s="17" t="str">
        <f>IF(Master[[#This Row],[Voucher Collector -name, organization]]="","",Master[[#This Row],[Voucher Collector -name, organization]])</f>
        <v/>
      </c>
      <c r="I75" s="7" t="str">
        <f>IF(Master[[#This Row],[Note (Voucher)]]="","",Master[[#This Row],[Note (Voucher)]])</f>
        <v/>
      </c>
    </row>
    <row r="76" spans="2:9" x14ac:dyDescent="0.25">
      <c r="B76" s="7" t="str">
        <f>Master[[#This Row],[Accession Prefix (NPGS)]]&amp;" "&amp;Master[[#This Row],[Accession Number -Assigned]]</f>
        <v>W6 59662</v>
      </c>
      <c r="C76" s="7" t="str">
        <f>Master[[#This Row],[Accession Prefix (NPGS)]]&amp;" "&amp;Master[[#This Row],[Accession Number -Assigned]]&amp;" "&amp;Master[[#This Row],[Inventory Suffix]]&amp;" "&amp;Master[[#This Row],[Inventory Type - Lookup Picker]]</f>
        <v>W6 59662  SD</v>
      </c>
      <c r="D76" s="7" t="str">
        <f>IF(Master[[#This Row],[Collector Voucher Number]]="","",Master[[#This Row],[Collector Voucher Number]])</f>
        <v>UT080-320</v>
      </c>
      <c r="E76" s="76" t="str">
        <f>IF(Master[[#This Row],[Voucher Location (2)]]="","",Master[[#This Row],[Voucher Location (2)]])</f>
        <v/>
      </c>
      <c r="F76" s="7" t="str">
        <f t="shared" si="2"/>
        <v>mm/dd/yyyy</v>
      </c>
      <c r="G76" s="2">
        <f>IF(Master[[#This Row],[Voucher Date]]="","",Master[[#This Row],[Voucher Date]])</f>
        <v>44007</v>
      </c>
      <c r="H76" s="17" t="str">
        <f>IF(Master[[#This Row],[Voucher Collector -name, organization]]="","",Master[[#This Row],[Voucher Collector -name, organization]])</f>
        <v/>
      </c>
      <c r="I76" s="7" t="str">
        <f>IF(Master[[#This Row],[Note (Voucher)]]="","",Master[[#This Row],[Note (Voucher)]])</f>
        <v/>
      </c>
    </row>
    <row r="77" spans="2:9" x14ac:dyDescent="0.25">
      <c r="B77" s="7" t="str">
        <f>Master[[#This Row],[Accession Prefix (NPGS)]]&amp;" "&amp;Master[[#This Row],[Accession Number -Assigned]]</f>
        <v>W6 59663</v>
      </c>
      <c r="C77" s="7" t="str">
        <f>Master[[#This Row],[Accession Prefix (NPGS)]]&amp;" "&amp;Master[[#This Row],[Accession Number -Assigned]]&amp;" "&amp;Master[[#This Row],[Inventory Suffix]]&amp;" "&amp;Master[[#This Row],[Inventory Type - Lookup Picker]]</f>
        <v>W6 59663  SD</v>
      </c>
      <c r="D77" s="7" t="str">
        <f>IF(Master[[#This Row],[Collector Voucher Number]]="","",Master[[#This Row],[Collector Voucher Number]])</f>
        <v>UT080-321</v>
      </c>
      <c r="E77" s="76" t="str">
        <f>IF(Master[[#This Row],[Voucher Location (2)]]="","",Master[[#This Row],[Voucher Location (2)]])</f>
        <v/>
      </c>
      <c r="F77" s="7" t="str">
        <f t="shared" si="2"/>
        <v>mm/dd/yyyy</v>
      </c>
      <c r="G77" s="2">
        <f>IF(Master[[#This Row],[Voucher Date]]="","",Master[[#This Row],[Voucher Date]])</f>
        <v>44007</v>
      </c>
      <c r="H77" s="17" t="str">
        <f>IF(Master[[#This Row],[Voucher Collector -name, organization]]="","",Master[[#This Row],[Voucher Collector -name, organization]])</f>
        <v/>
      </c>
      <c r="I77" s="7" t="str">
        <f>IF(Master[[#This Row],[Note (Voucher)]]="","",Master[[#This Row],[Note (Voucher)]])</f>
        <v/>
      </c>
    </row>
    <row r="78" spans="2:9" x14ac:dyDescent="0.25">
      <c r="B78" s="7" t="str">
        <f>Master[[#This Row],[Accession Prefix (NPGS)]]&amp;" "&amp;Master[[#This Row],[Accession Number -Assigned]]</f>
        <v>W6 59664</v>
      </c>
      <c r="C78" s="7" t="str">
        <f>Master[[#This Row],[Accession Prefix (NPGS)]]&amp;" "&amp;Master[[#This Row],[Accession Number -Assigned]]&amp;" "&amp;Master[[#This Row],[Inventory Suffix]]&amp;" "&amp;Master[[#This Row],[Inventory Type - Lookup Picker]]</f>
        <v>W6 59664  SD</v>
      </c>
      <c r="D78" s="7" t="str">
        <f>IF(Master[[#This Row],[Collector Voucher Number]]="","",Master[[#This Row],[Collector Voucher Number]])</f>
        <v>UT080-322</v>
      </c>
      <c r="E78" s="76" t="str">
        <f>IF(Master[[#This Row],[Voucher Location (2)]]="","",Master[[#This Row],[Voucher Location (2)]])</f>
        <v/>
      </c>
      <c r="F78" s="7" t="str">
        <f t="shared" si="2"/>
        <v>mm/dd/yyyy</v>
      </c>
      <c r="G78" s="2">
        <f>IF(Master[[#This Row],[Voucher Date]]="","",Master[[#This Row],[Voucher Date]])</f>
        <v>44075</v>
      </c>
      <c r="H78" s="17" t="str">
        <f>IF(Master[[#This Row],[Voucher Collector -name, organization]]="","",Master[[#This Row],[Voucher Collector -name, organization]])</f>
        <v/>
      </c>
      <c r="I78" s="7" t="str">
        <f>IF(Master[[#This Row],[Note (Voucher)]]="","",Master[[#This Row],[Note (Voucher)]])</f>
        <v/>
      </c>
    </row>
    <row r="79" spans="2:9" x14ac:dyDescent="0.25">
      <c r="B79" s="7" t="str">
        <f>Master[[#This Row],[Accession Prefix (NPGS)]]&amp;" "&amp;Master[[#This Row],[Accession Number -Assigned]]</f>
        <v>W6 59665</v>
      </c>
      <c r="C79" s="7" t="str">
        <f>Master[[#This Row],[Accession Prefix (NPGS)]]&amp;" "&amp;Master[[#This Row],[Accession Number -Assigned]]&amp;" "&amp;Master[[#This Row],[Inventory Suffix]]&amp;" "&amp;Master[[#This Row],[Inventory Type - Lookup Picker]]</f>
        <v>W6 59665  SD</v>
      </c>
      <c r="D79" s="7" t="str">
        <f>IF(Master[[#This Row],[Collector Voucher Number]]="","",Master[[#This Row],[Collector Voucher Number]])</f>
        <v>UT080-323</v>
      </c>
      <c r="E79" s="76" t="str">
        <f>IF(Master[[#This Row],[Voucher Location (2)]]="","",Master[[#This Row],[Voucher Location (2)]])</f>
        <v/>
      </c>
      <c r="F79" s="7" t="str">
        <f t="shared" si="2"/>
        <v>mm/dd/yyyy</v>
      </c>
      <c r="G79" s="2">
        <f>IF(Master[[#This Row],[Voucher Date]]="","",Master[[#This Row],[Voucher Date]])</f>
        <v>44011</v>
      </c>
      <c r="H79" s="17" t="str">
        <f>IF(Master[[#This Row],[Voucher Collector -name, organization]]="","",Master[[#This Row],[Voucher Collector -name, organization]])</f>
        <v/>
      </c>
      <c r="I79" s="7" t="str">
        <f>IF(Master[[#This Row],[Note (Voucher)]]="","",Master[[#This Row],[Note (Voucher)]])</f>
        <v/>
      </c>
    </row>
    <row r="80" spans="2:9" x14ac:dyDescent="0.25">
      <c r="B80" s="7" t="str">
        <f>Master[[#This Row],[Accession Prefix (NPGS)]]&amp;" "&amp;Master[[#This Row],[Accession Number -Assigned]]</f>
        <v>W6 59666</v>
      </c>
      <c r="C80" s="7" t="str">
        <f>Master[[#This Row],[Accession Prefix (NPGS)]]&amp;" "&amp;Master[[#This Row],[Accession Number -Assigned]]&amp;" "&amp;Master[[#This Row],[Inventory Suffix]]&amp;" "&amp;Master[[#This Row],[Inventory Type - Lookup Picker]]</f>
        <v>W6 59666  SD</v>
      </c>
      <c r="D80" s="7" t="str">
        <f>IF(Master[[#This Row],[Collector Voucher Number]]="","",Master[[#This Row],[Collector Voucher Number]])</f>
        <v>UT080-324</v>
      </c>
      <c r="E80" s="76" t="str">
        <f>IF(Master[[#This Row],[Voucher Location (2)]]="","",Master[[#This Row],[Voucher Location (2)]])</f>
        <v/>
      </c>
      <c r="F80" s="7" t="str">
        <f t="shared" si="2"/>
        <v>mm/dd/yyyy</v>
      </c>
      <c r="G80" s="2">
        <f>IF(Master[[#This Row],[Voucher Date]]="","",Master[[#This Row],[Voucher Date]])</f>
        <v>44012</v>
      </c>
      <c r="H80" s="17" t="str">
        <f>IF(Master[[#This Row],[Voucher Collector -name, organization]]="","",Master[[#This Row],[Voucher Collector -name, organization]])</f>
        <v/>
      </c>
      <c r="I80" s="7" t="str">
        <f>IF(Master[[#This Row],[Note (Voucher)]]="","",Master[[#This Row],[Note (Voucher)]])</f>
        <v/>
      </c>
    </row>
    <row r="81" spans="2:9" x14ac:dyDescent="0.25">
      <c r="B81" s="7" t="str">
        <f>Master[[#This Row],[Accession Prefix (NPGS)]]&amp;" "&amp;Master[[#This Row],[Accession Number -Assigned]]</f>
        <v>W6 59667</v>
      </c>
      <c r="C81" s="7" t="str">
        <f>Master[[#This Row],[Accession Prefix (NPGS)]]&amp;" "&amp;Master[[#This Row],[Accession Number -Assigned]]&amp;" "&amp;Master[[#This Row],[Inventory Suffix]]&amp;" "&amp;Master[[#This Row],[Inventory Type - Lookup Picker]]</f>
        <v>W6 59667  SD</v>
      </c>
      <c r="D81" s="7" t="str">
        <f>IF(Master[[#This Row],[Collector Voucher Number]]="","",Master[[#This Row],[Collector Voucher Number]])</f>
        <v>UT080-325</v>
      </c>
      <c r="E81" s="76" t="str">
        <f>IF(Master[[#This Row],[Voucher Location (2)]]="","",Master[[#This Row],[Voucher Location (2)]])</f>
        <v/>
      </c>
      <c r="F81" s="7" t="str">
        <f t="shared" si="2"/>
        <v>mm/dd/yyyy</v>
      </c>
      <c r="G81" s="2">
        <f>IF(Master[[#This Row],[Voucher Date]]="","",Master[[#This Row],[Voucher Date]])</f>
        <v>44012</v>
      </c>
      <c r="H81" s="17" t="str">
        <f>IF(Master[[#This Row],[Voucher Collector -name, organization]]="","",Master[[#This Row],[Voucher Collector -name, organization]])</f>
        <v/>
      </c>
      <c r="I81" s="7" t="str">
        <f>IF(Master[[#This Row],[Note (Voucher)]]="","",Master[[#This Row],[Note (Voucher)]])</f>
        <v/>
      </c>
    </row>
    <row r="82" spans="2:9" x14ac:dyDescent="0.25">
      <c r="B82" s="7" t="str">
        <f>Master[[#This Row],[Accession Prefix (NPGS)]]&amp;" "&amp;Master[[#This Row],[Accession Number -Assigned]]</f>
        <v>W6 59668</v>
      </c>
      <c r="C82" s="7" t="str">
        <f>Master[[#This Row],[Accession Prefix (NPGS)]]&amp;" "&amp;Master[[#This Row],[Accession Number -Assigned]]&amp;" "&amp;Master[[#This Row],[Inventory Suffix]]&amp;" "&amp;Master[[#This Row],[Inventory Type - Lookup Picker]]</f>
        <v>W6 59668  SD</v>
      </c>
      <c r="D82" s="7" t="str">
        <f>IF(Master[[#This Row],[Collector Voucher Number]]="","",Master[[#This Row],[Collector Voucher Number]])</f>
        <v>UT080-326</v>
      </c>
      <c r="E82" s="76" t="str">
        <f>IF(Master[[#This Row],[Voucher Location (2)]]="","",Master[[#This Row],[Voucher Location (2)]])</f>
        <v/>
      </c>
      <c r="F82" s="7" t="str">
        <f t="shared" si="2"/>
        <v>mm/dd/yyyy</v>
      </c>
      <c r="G82" s="2">
        <f>IF(Master[[#This Row],[Voucher Date]]="","",Master[[#This Row],[Voucher Date]])</f>
        <v>44019</v>
      </c>
      <c r="H82" s="17" t="str">
        <f>IF(Master[[#This Row],[Voucher Collector -name, organization]]="","",Master[[#This Row],[Voucher Collector -name, organization]])</f>
        <v/>
      </c>
      <c r="I82" s="7" t="str">
        <f>IF(Master[[#This Row],[Note (Voucher)]]="","",Master[[#This Row],[Note (Voucher)]])</f>
        <v/>
      </c>
    </row>
    <row r="83" spans="2:9" x14ac:dyDescent="0.25">
      <c r="B83" s="7" t="str">
        <f>Master[[#This Row],[Accession Prefix (NPGS)]]&amp;" "&amp;Master[[#This Row],[Accession Number -Assigned]]</f>
        <v>W6 59669</v>
      </c>
      <c r="C83" s="7" t="str">
        <f>Master[[#This Row],[Accession Prefix (NPGS)]]&amp;" "&amp;Master[[#This Row],[Accession Number -Assigned]]&amp;" "&amp;Master[[#This Row],[Inventory Suffix]]&amp;" "&amp;Master[[#This Row],[Inventory Type - Lookup Picker]]</f>
        <v>W6 59669  SD</v>
      </c>
      <c r="D83" s="7" t="str">
        <f>IF(Master[[#This Row],[Collector Voucher Number]]="","",Master[[#This Row],[Collector Voucher Number]])</f>
        <v>UT080-327</v>
      </c>
      <c r="E83" s="76" t="str">
        <f>IF(Master[[#This Row],[Voucher Location (2)]]="","",Master[[#This Row],[Voucher Location (2)]])</f>
        <v/>
      </c>
      <c r="F83" s="7" t="str">
        <f t="shared" si="2"/>
        <v>mm/dd/yyyy</v>
      </c>
      <c r="G83" s="2">
        <f>IF(Master[[#This Row],[Voucher Date]]="","",Master[[#This Row],[Voucher Date]])</f>
        <v>44053</v>
      </c>
      <c r="H83" s="17" t="str">
        <f>IF(Master[[#This Row],[Voucher Collector -name, organization]]="","",Master[[#This Row],[Voucher Collector -name, organization]])</f>
        <v/>
      </c>
      <c r="I83" s="7" t="str">
        <f>IF(Master[[#This Row],[Note (Voucher)]]="","",Master[[#This Row],[Note (Voucher)]])</f>
        <v/>
      </c>
    </row>
    <row r="84" spans="2:9" x14ac:dyDescent="0.25">
      <c r="B84" s="7" t="str">
        <f>Master[[#This Row],[Accession Prefix (NPGS)]]&amp;" "&amp;Master[[#This Row],[Accession Number -Assigned]]</f>
        <v>W6 59670</v>
      </c>
      <c r="C84" s="7" t="str">
        <f>Master[[#This Row],[Accession Prefix (NPGS)]]&amp;" "&amp;Master[[#This Row],[Accession Number -Assigned]]&amp;" "&amp;Master[[#This Row],[Inventory Suffix]]&amp;" "&amp;Master[[#This Row],[Inventory Type - Lookup Picker]]</f>
        <v>W6 59670  SD</v>
      </c>
      <c r="D84" s="7" t="str">
        <f>IF(Master[[#This Row],[Collector Voucher Number]]="","",Master[[#This Row],[Collector Voucher Number]])</f>
        <v>UT080-329</v>
      </c>
      <c r="E84" s="76" t="str">
        <f>IF(Master[[#This Row],[Voucher Location (2)]]="","",Master[[#This Row],[Voucher Location (2)]])</f>
        <v/>
      </c>
      <c r="F84" s="7" t="str">
        <f t="shared" si="2"/>
        <v>mm/dd/yyyy</v>
      </c>
      <c r="G84" s="2">
        <f>IF(Master[[#This Row],[Voucher Date]]="","",Master[[#This Row],[Voucher Date]])</f>
        <v>44075</v>
      </c>
      <c r="H84" s="17" t="str">
        <f>IF(Master[[#This Row],[Voucher Collector -name, organization]]="","",Master[[#This Row],[Voucher Collector -name, organization]])</f>
        <v/>
      </c>
      <c r="I84" s="7" t="str">
        <f>IF(Master[[#This Row],[Note (Voucher)]]="","",Master[[#This Row],[Note (Voucher)]])</f>
        <v/>
      </c>
    </row>
    <row r="85" spans="2:9" x14ac:dyDescent="0.25">
      <c r="B85" s="7" t="str">
        <f>Master[[#This Row],[Accession Prefix (NPGS)]]&amp;" "&amp;Master[[#This Row],[Accession Number -Assigned]]</f>
        <v>W6 59671</v>
      </c>
      <c r="C85" s="7" t="str">
        <f>Master[[#This Row],[Accession Prefix (NPGS)]]&amp;" "&amp;Master[[#This Row],[Accession Number -Assigned]]&amp;" "&amp;Master[[#This Row],[Inventory Suffix]]&amp;" "&amp;Master[[#This Row],[Inventory Type - Lookup Picker]]</f>
        <v>W6 59671  SD</v>
      </c>
      <c r="D85" s="7" t="str">
        <f>IF(Master[[#This Row],[Collector Voucher Number]]="","",Master[[#This Row],[Collector Voucher Number]])</f>
        <v>UT080-330</v>
      </c>
      <c r="E85" s="76" t="str">
        <f>IF(Master[[#This Row],[Voucher Location (2)]]="","",Master[[#This Row],[Voucher Location (2)]])</f>
        <v/>
      </c>
      <c r="F85" s="7" t="str">
        <f t="shared" si="2"/>
        <v>mm/dd/yyyy</v>
      </c>
      <c r="G85" s="2">
        <f>IF(Master[[#This Row],[Voucher Date]]="","",Master[[#This Row],[Voucher Date]])</f>
        <v>44075</v>
      </c>
      <c r="H85" s="17" t="str">
        <f>IF(Master[[#This Row],[Voucher Collector -name, organization]]="","",Master[[#This Row],[Voucher Collector -name, organization]])</f>
        <v/>
      </c>
      <c r="I85" s="7" t="str">
        <f>IF(Master[[#This Row],[Note (Voucher)]]="","",Master[[#This Row],[Note (Voucher)]])</f>
        <v/>
      </c>
    </row>
    <row r="86" spans="2:9" x14ac:dyDescent="0.25">
      <c r="B86" s="7" t="str">
        <f>Master[[#This Row],[Accession Prefix (NPGS)]]&amp;" "&amp;Master[[#This Row],[Accession Number -Assigned]]</f>
        <v>W6 59672</v>
      </c>
      <c r="C86" s="7" t="str">
        <f>Master[[#This Row],[Accession Prefix (NPGS)]]&amp;" "&amp;Master[[#This Row],[Accession Number -Assigned]]&amp;" "&amp;Master[[#This Row],[Inventory Suffix]]&amp;" "&amp;Master[[#This Row],[Inventory Type - Lookup Picker]]</f>
        <v>W6 59672  SD</v>
      </c>
      <c r="D86" s="7" t="str">
        <f>IF(Master[[#This Row],[Collector Voucher Number]]="","",Master[[#This Row],[Collector Voucher Number]])</f>
        <v>UT080-336</v>
      </c>
      <c r="E86" s="76" t="str">
        <f>IF(Master[[#This Row],[Voucher Location (2)]]="","",Master[[#This Row],[Voucher Location (2)]])</f>
        <v/>
      </c>
      <c r="F86" s="7" t="str">
        <f t="shared" ref="F86:F117" si="3">"mm/dd/yyyy"</f>
        <v>mm/dd/yyyy</v>
      </c>
      <c r="G86" s="2">
        <f>IF(Master[[#This Row],[Voucher Date]]="","",Master[[#This Row],[Voucher Date]])</f>
        <v>44028</v>
      </c>
      <c r="H86" s="17" t="str">
        <f>IF(Master[[#This Row],[Voucher Collector -name, organization]]="","",Master[[#This Row],[Voucher Collector -name, organization]])</f>
        <v/>
      </c>
      <c r="I86" s="7" t="str">
        <f>IF(Master[[#This Row],[Note (Voucher)]]="","",Master[[#This Row],[Note (Voucher)]])</f>
        <v/>
      </c>
    </row>
    <row r="87" spans="2:9" x14ac:dyDescent="0.25">
      <c r="B87" s="7" t="str">
        <f>Master[[#This Row],[Accession Prefix (NPGS)]]&amp;" "&amp;Master[[#This Row],[Accession Number -Assigned]]</f>
        <v>W6 59673</v>
      </c>
      <c r="C87" s="7" t="str">
        <f>Master[[#This Row],[Accession Prefix (NPGS)]]&amp;" "&amp;Master[[#This Row],[Accession Number -Assigned]]&amp;" "&amp;Master[[#This Row],[Inventory Suffix]]&amp;" "&amp;Master[[#This Row],[Inventory Type - Lookup Picker]]</f>
        <v>W6 59673  SD</v>
      </c>
      <c r="D87" s="7" t="str">
        <f>IF(Master[[#This Row],[Collector Voucher Number]]="","",Master[[#This Row],[Collector Voucher Number]])</f>
        <v>UT080-337</v>
      </c>
      <c r="E87" s="76" t="str">
        <f>IF(Master[[#This Row],[Voucher Location (2)]]="","",Master[[#This Row],[Voucher Location (2)]])</f>
        <v/>
      </c>
      <c r="F87" s="7" t="str">
        <f t="shared" si="3"/>
        <v>mm/dd/yyyy</v>
      </c>
      <c r="G87" s="2">
        <f>IF(Master[[#This Row],[Voucher Date]]="","",Master[[#This Row],[Voucher Date]])</f>
        <v>44063</v>
      </c>
      <c r="H87" s="17" t="str">
        <f>IF(Master[[#This Row],[Voucher Collector -name, organization]]="","",Master[[#This Row],[Voucher Collector -name, organization]])</f>
        <v/>
      </c>
      <c r="I87" s="7" t="str">
        <f>IF(Master[[#This Row],[Note (Voucher)]]="","",Master[[#This Row],[Note (Voucher)]])</f>
        <v/>
      </c>
    </row>
    <row r="88" spans="2:9" x14ac:dyDescent="0.25">
      <c r="B88" s="7" t="str">
        <f>Master[[#This Row],[Accession Prefix (NPGS)]]&amp;" "&amp;Master[[#This Row],[Accession Number -Assigned]]</f>
        <v>W6 59674</v>
      </c>
      <c r="C88" s="7" t="str">
        <f>Master[[#This Row],[Accession Prefix (NPGS)]]&amp;" "&amp;Master[[#This Row],[Accession Number -Assigned]]&amp;" "&amp;Master[[#This Row],[Inventory Suffix]]&amp;" "&amp;Master[[#This Row],[Inventory Type - Lookup Picker]]</f>
        <v>W6 59674  SD</v>
      </c>
      <c r="D88" s="7" t="str">
        <f>IF(Master[[#This Row],[Collector Voucher Number]]="","",Master[[#This Row],[Collector Voucher Number]])</f>
        <v>UT080-338</v>
      </c>
      <c r="E88" s="76" t="str">
        <f>IF(Master[[#This Row],[Voucher Location (2)]]="","",Master[[#This Row],[Voucher Location (2)]])</f>
        <v/>
      </c>
      <c r="F88" s="7" t="str">
        <f t="shared" si="3"/>
        <v>mm/dd/yyyy</v>
      </c>
      <c r="G88" s="2">
        <f>IF(Master[[#This Row],[Voucher Date]]="","",Master[[#This Row],[Voucher Date]])</f>
        <v>44040</v>
      </c>
      <c r="H88" s="17" t="str">
        <f>IF(Master[[#This Row],[Voucher Collector -name, organization]]="","",Master[[#This Row],[Voucher Collector -name, organization]])</f>
        <v/>
      </c>
      <c r="I88" s="7" t="str">
        <f>IF(Master[[#This Row],[Note (Voucher)]]="","",Master[[#This Row],[Note (Voucher)]])</f>
        <v/>
      </c>
    </row>
    <row r="89" spans="2:9" x14ac:dyDescent="0.25">
      <c r="B89" s="7" t="str">
        <f>Master[[#This Row],[Accession Prefix (NPGS)]]&amp;" "&amp;Master[[#This Row],[Accession Number -Assigned]]</f>
        <v>W6 59675</v>
      </c>
      <c r="C89" s="7" t="str">
        <f>Master[[#This Row],[Accession Prefix (NPGS)]]&amp;" "&amp;Master[[#This Row],[Accession Number -Assigned]]&amp;" "&amp;Master[[#This Row],[Inventory Suffix]]&amp;" "&amp;Master[[#This Row],[Inventory Type - Lookup Picker]]</f>
        <v>W6 59675  SD</v>
      </c>
      <c r="D89" s="7" t="str">
        <f>IF(Master[[#This Row],[Collector Voucher Number]]="","",Master[[#This Row],[Collector Voucher Number]])</f>
        <v>UT080-340</v>
      </c>
      <c r="E89" s="76" t="str">
        <f>IF(Master[[#This Row],[Voucher Location (2)]]="","",Master[[#This Row],[Voucher Location (2)]])</f>
        <v/>
      </c>
      <c r="F89" s="7" t="str">
        <f t="shared" si="3"/>
        <v>mm/dd/yyyy</v>
      </c>
      <c r="G89" s="2">
        <f>IF(Master[[#This Row],[Voucher Date]]="","",Master[[#This Row],[Voucher Date]])</f>
        <v>44063</v>
      </c>
      <c r="H89" s="17" t="str">
        <f>IF(Master[[#This Row],[Voucher Collector -name, organization]]="","",Master[[#This Row],[Voucher Collector -name, organization]])</f>
        <v/>
      </c>
      <c r="I89" s="7" t="str">
        <f>IF(Master[[#This Row],[Note (Voucher)]]="","",Master[[#This Row],[Note (Voucher)]])</f>
        <v/>
      </c>
    </row>
    <row r="90" spans="2:9" x14ac:dyDescent="0.25">
      <c r="B90" s="7" t="str">
        <f>Master[[#This Row],[Accession Prefix (NPGS)]]&amp;" "&amp;Master[[#This Row],[Accession Number -Assigned]]</f>
        <v>W6 59676</v>
      </c>
      <c r="C90" s="7" t="str">
        <f>Master[[#This Row],[Accession Prefix (NPGS)]]&amp;" "&amp;Master[[#This Row],[Accession Number -Assigned]]&amp;" "&amp;Master[[#This Row],[Inventory Suffix]]&amp;" "&amp;Master[[#This Row],[Inventory Type - Lookup Picker]]</f>
        <v>W6 59676  SD</v>
      </c>
      <c r="D90" s="7" t="str">
        <f>IF(Master[[#This Row],[Collector Voucher Number]]="","",Master[[#This Row],[Collector Voucher Number]])</f>
        <v>UT080-342</v>
      </c>
      <c r="E90" s="76" t="str">
        <f>IF(Master[[#This Row],[Voucher Location (2)]]="","",Master[[#This Row],[Voucher Location (2)]])</f>
        <v/>
      </c>
      <c r="F90" s="7" t="str">
        <f t="shared" si="3"/>
        <v>mm/dd/yyyy</v>
      </c>
      <c r="G90" s="2">
        <f>IF(Master[[#This Row],[Voucher Date]]="","",Master[[#This Row],[Voucher Date]])</f>
        <v>44063</v>
      </c>
      <c r="H90" s="17" t="str">
        <f>IF(Master[[#This Row],[Voucher Collector -name, organization]]="","",Master[[#This Row],[Voucher Collector -name, organization]])</f>
        <v/>
      </c>
      <c r="I90" s="7" t="str">
        <f>IF(Master[[#This Row],[Note (Voucher)]]="","",Master[[#This Row],[Note (Voucher)]])</f>
        <v/>
      </c>
    </row>
    <row r="91" spans="2:9" x14ac:dyDescent="0.25">
      <c r="B91" s="7" t="str">
        <f>Master[[#This Row],[Accession Prefix (NPGS)]]&amp;" "&amp;Master[[#This Row],[Accession Number -Assigned]]</f>
        <v>W6 59677</v>
      </c>
      <c r="C91" s="7" t="str">
        <f>Master[[#This Row],[Accession Prefix (NPGS)]]&amp;" "&amp;Master[[#This Row],[Accession Number -Assigned]]&amp;" "&amp;Master[[#This Row],[Inventory Suffix]]&amp;" "&amp;Master[[#This Row],[Inventory Type - Lookup Picker]]</f>
        <v>W6 59677  SD</v>
      </c>
      <c r="D91" s="7" t="str">
        <f>IF(Master[[#This Row],[Collector Voucher Number]]="","",Master[[#This Row],[Collector Voucher Number]])</f>
        <v>UT080-343</v>
      </c>
      <c r="E91" s="76" t="str">
        <f>IF(Master[[#This Row],[Voucher Location (2)]]="","",Master[[#This Row],[Voucher Location (2)]])</f>
        <v/>
      </c>
      <c r="F91" s="7" t="str">
        <f t="shared" si="3"/>
        <v>mm/dd/yyyy</v>
      </c>
      <c r="G91" s="2">
        <f>IF(Master[[#This Row],[Voucher Date]]="","",Master[[#This Row],[Voucher Date]])</f>
        <v>44063</v>
      </c>
      <c r="H91" s="17" t="str">
        <f>IF(Master[[#This Row],[Voucher Collector -name, organization]]="","",Master[[#This Row],[Voucher Collector -name, organization]])</f>
        <v/>
      </c>
      <c r="I91" s="7" t="str">
        <f>IF(Master[[#This Row],[Note (Voucher)]]="","",Master[[#This Row],[Note (Voucher)]])</f>
        <v/>
      </c>
    </row>
    <row r="92" spans="2:9" x14ac:dyDescent="0.25">
      <c r="B92" s="7" t="str">
        <f>Master[[#This Row],[Accession Prefix (NPGS)]]&amp;" "&amp;Master[[#This Row],[Accession Number -Assigned]]</f>
        <v>W6 59678</v>
      </c>
      <c r="C92" s="7" t="str">
        <f>Master[[#This Row],[Accession Prefix (NPGS)]]&amp;" "&amp;Master[[#This Row],[Accession Number -Assigned]]&amp;" "&amp;Master[[#This Row],[Inventory Suffix]]&amp;" "&amp;Master[[#This Row],[Inventory Type - Lookup Picker]]</f>
        <v>W6 59678  SD</v>
      </c>
      <c r="D92" s="7" t="str">
        <f>IF(Master[[#This Row],[Collector Voucher Number]]="","",Master[[#This Row],[Collector Voucher Number]])</f>
        <v>UT080-344</v>
      </c>
      <c r="E92" s="76" t="str">
        <f>IF(Master[[#This Row],[Voucher Location (2)]]="","",Master[[#This Row],[Voucher Location (2)]])</f>
        <v/>
      </c>
      <c r="F92" s="7" t="str">
        <f t="shared" si="3"/>
        <v>mm/dd/yyyy</v>
      </c>
      <c r="G92" s="2">
        <f>IF(Master[[#This Row],[Voucher Date]]="","",Master[[#This Row],[Voucher Date]])</f>
        <v>44109</v>
      </c>
      <c r="H92" s="17" t="str">
        <f>IF(Master[[#This Row],[Voucher Collector -name, organization]]="","",Master[[#This Row],[Voucher Collector -name, organization]])</f>
        <v/>
      </c>
      <c r="I92" s="7" t="str">
        <f>IF(Master[[#This Row],[Note (Voucher)]]="","",Master[[#This Row],[Note (Voucher)]])</f>
        <v/>
      </c>
    </row>
    <row r="93" spans="2:9" x14ac:dyDescent="0.25">
      <c r="B93" s="7" t="str">
        <f>Master[[#This Row],[Accession Prefix (NPGS)]]&amp;" "&amp;Master[[#This Row],[Accession Number -Assigned]]</f>
        <v>W6 59679</v>
      </c>
      <c r="C93" s="7" t="str">
        <f>Master[[#This Row],[Accession Prefix (NPGS)]]&amp;" "&amp;Master[[#This Row],[Accession Number -Assigned]]&amp;" "&amp;Master[[#This Row],[Inventory Suffix]]&amp;" "&amp;Master[[#This Row],[Inventory Type - Lookup Picker]]</f>
        <v>W6 59679  SD</v>
      </c>
      <c r="D93" s="7" t="str">
        <f>IF(Master[[#This Row],[Collector Voucher Number]]="","",Master[[#This Row],[Collector Voucher Number]])</f>
        <v>UT080-345</v>
      </c>
      <c r="E93" s="76" t="str">
        <f>IF(Master[[#This Row],[Voucher Location (2)]]="","",Master[[#This Row],[Voucher Location (2)]])</f>
        <v/>
      </c>
      <c r="F93" s="7" t="str">
        <f t="shared" si="3"/>
        <v>mm/dd/yyyy</v>
      </c>
      <c r="G93" s="2">
        <f>IF(Master[[#This Row],[Voucher Date]]="","",Master[[#This Row],[Voucher Date]])</f>
        <v>44085</v>
      </c>
      <c r="H93" s="17" t="str">
        <f>IF(Master[[#This Row],[Voucher Collector -name, organization]]="","",Master[[#This Row],[Voucher Collector -name, organization]])</f>
        <v/>
      </c>
      <c r="I93" s="7" t="str">
        <f>IF(Master[[#This Row],[Note (Voucher)]]="","",Master[[#This Row],[Note (Voucher)]])</f>
        <v/>
      </c>
    </row>
    <row r="94" spans="2:9" x14ac:dyDescent="0.25">
      <c r="B94" s="7" t="str">
        <f>Master[[#This Row],[Accession Prefix (NPGS)]]&amp;" "&amp;Master[[#This Row],[Accession Number -Assigned]]</f>
        <v>W6 59680</v>
      </c>
      <c r="C94" s="7" t="str">
        <f>Master[[#This Row],[Accession Prefix (NPGS)]]&amp;" "&amp;Master[[#This Row],[Accession Number -Assigned]]&amp;" "&amp;Master[[#This Row],[Inventory Suffix]]&amp;" "&amp;Master[[#This Row],[Inventory Type - Lookup Picker]]</f>
        <v>W6 59680  SD</v>
      </c>
      <c r="D94" s="7" t="str">
        <f>IF(Master[[#This Row],[Collector Voucher Number]]="","",Master[[#This Row],[Collector Voucher Number]])</f>
        <v>UT080-348</v>
      </c>
      <c r="E94" s="76" t="str">
        <f>IF(Master[[#This Row],[Voucher Location (2)]]="","",Master[[#This Row],[Voucher Location (2)]])</f>
        <v/>
      </c>
      <c r="F94" s="7" t="str">
        <f t="shared" si="3"/>
        <v>mm/dd/yyyy</v>
      </c>
      <c r="G94" s="2">
        <f>IF(Master[[#This Row],[Voucher Date]]="","",Master[[#This Row],[Voucher Date]])</f>
        <v>44089</v>
      </c>
      <c r="H94" s="17" t="str">
        <f>IF(Master[[#This Row],[Voucher Collector -name, organization]]="","",Master[[#This Row],[Voucher Collector -name, organization]])</f>
        <v/>
      </c>
      <c r="I94" s="7" t="str">
        <f>IF(Master[[#This Row],[Note (Voucher)]]="","",Master[[#This Row],[Note (Voucher)]])</f>
        <v/>
      </c>
    </row>
    <row r="95" spans="2:9" x14ac:dyDescent="0.25">
      <c r="B95" s="7" t="str">
        <f>Master[[#This Row],[Accession Prefix (NPGS)]]&amp;" "&amp;Master[[#This Row],[Accession Number -Assigned]]</f>
        <v>W6 59681</v>
      </c>
      <c r="C95" s="7" t="str">
        <f>Master[[#This Row],[Accession Prefix (NPGS)]]&amp;" "&amp;Master[[#This Row],[Accession Number -Assigned]]&amp;" "&amp;Master[[#This Row],[Inventory Suffix]]&amp;" "&amp;Master[[#This Row],[Inventory Type - Lookup Picker]]</f>
        <v>W6 59681  SD</v>
      </c>
      <c r="D95" s="7" t="str">
        <f>IF(Master[[#This Row],[Collector Voucher Number]]="","",Master[[#This Row],[Collector Voucher Number]])</f>
        <v>UT080-351</v>
      </c>
      <c r="E95" s="76" t="str">
        <f>IF(Master[[#This Row],[Voucher Location (2)]]="","",Master[[#This Row],[Voucher Location (2)]])</f>
        <v/>
      </c>
      <c r="F95" s="7" t="str">
        <f t="shared" si="3"/>
        <v>mm/dd/yyyy</v>
      </c>
      <c r="G95" s="2">
        <f>IF(Master[[#This Row],[Voucher Date]]="","",Master[[#This Row],[Voucher Date]])</f>
        <v>44063</v>
      </c>
      <c r="H95" s="17" t="str">
        <f>IF(Master[[#This Row],[Voucher Collector -name, organization]]="","",Master[[#This Row],[Voucher Collector -name, organization]])</f>
        <v/>
      </c>
      <c r="I95" s="7" t="str">
        <f>IF(Master[[#This Row],[Note (Voucher)]]="","",Master[[#This Row],[Note (Voucher)]])</f>
        <v/>
      </c>
    </row>
    <row r="96" spans="2:9" x14ac:dyDescent="0.25">
      <c r="B96" s="7" t="str">
        <f>Master[[#This Row],[Accession Prefix (NPGS)]]&amp;" "&amp;Master[[#This Row],[Accession Number -Assigned]]</f>
        <v>W6 59682</v>
      </c>
      <c r="C96" s="7" t="str">
        <f>Master[[#This Row],[Accession Prefix (NPGS)]]&amp;" "&amp;Master[[#This Row],[Accession Number -Assigned]]&amp;" "&amp;Master[[#This Row],[Inventory Suffix]]&amp;" "&amp;Master[[#This Row],[Inventory Type - Lookup Picker]]</f>
        <v>W6 59682  SD</v>
      </c>
      <c r="D96" s="7" t="str">
        <f>IF(Master[[#This Row],[Collector Voucher Number]]="","",Master[[#This Row],[Collector Voucher Number]])</f>
        <v>UT080-352</v>
      </c>
      <c r="E96" s="76" t="str">
        <f>IF(Master[[#This Row],[Voucher Location (2)]]="","",Master[[#This Row],[Voucher Location (2)]])</f>
        <v/>
      </c>
      <c r="F96" s="7" t="str">
        <f t="shared" si="3"/>
        <v>mm/dd/yyyy</v>
      </c>
      <c r="G96" s="2">
        <f>IF(Master[[#This Row],[Voucher Date]]="","",Master[[#This Row],[Voucher Date]])</f>
        <v>44104</v>
      </c>
      <c r="H96" s="17" t="str">
        <f>IF(Master[[#This Row],[Voucher Collector -name, organization]]="","",Master[[#This Row],[Voucher Collector -name, organization]])</f>
        <v/>
      </c>
      <c r="I96" s="7" t="str">
        <f>IF(Master[[#This Row],[Note (Voucher)]]="","",Master[[#This Row],[Note (Voucher)]])</f>
        <v/>
      </c>
    </row>
    <row r="97" spans="2:9" x14ac:dyDescent="0.25">
      <c r="B97" s="7" t="str">
        <f>Master[[#This Row],[Accession Prefix (NPGS)]]&amp;" "&amp;Master[[#This Row],[Accession Number -Assigned]]</f>
        <v>W6 59683</v>
      </c>
      <c r="C97" s="7" t="str">
        <f>Master[[#This Row],[Accession Prefix (NPGS)]]&amp;" "&amp;Master[[#This Row],[Accession Number -Assigned]]&amp;" "&amp;Master[[#This Row],[Inventory Suffix]]&amp;" "&amp;Master[[#This Row],[Inventory Type - Lookup Picker]]</f>
        <v>W6 59683  SD</v>
      </c>
      <c r="D97" s="7" t="str">
        <f>IF(Master[[#This Row],[Collector Voucher Number]]="","",Master[[#This Row],[Collector Voucher Number]])</f>
        <v>WY050-229</v>
      </c>
      <c r="E97" s="76" t="str">
        <f>IF(Master[[#This Row],[Voucher Location (2)]]="","",Master[[#This Row],[Voucher Location (2)]])</f>
        <v/>
      </c>
      <c r="F97" s="7" t="str">
        <f t="shared" si="3"/>
        <v>mm/dd/yyyy</v>
      </c>
      <c r="G97" s="2" t="str">
        <f>IF(Master[[#This Row],[Voucher Date]]="","",Master[[#This Row],[Voucher Date]])</f>
        <v/>
      </c>
      <c r="H97" s="17" t="str">
        <f>IF(Master[[#This Row],[Voucher Collector -name, organization]]="","",Master[[#This Row],[Voucher Collector -name, organization]])</f>
        <v>Emma Freeland, BLM Natural Resources Specialist:In Field:08 JUL 2020</v>
      </c>
      <c r="I97" s="7" t="str">
        <f>IF(Master[[#This Row],[Note (Voucher)]]="","",Master[[#This Row],[Note (Voucher)]])</f>
        <v/>
      </c>
    </row>
    <row r="98" spans="2:9" x14ac:dyDescent="0.25">
      <c r="B98" s="7" t="str">
        <f>Master[[#This Row],[Accession Prefix (NPGS)]]&amp;" "&amp;Master[[#This Row],[Accession Number -Assigned]]</f>
        <v>W6 59684</v>
      </c>
      <c r="C98" s="7" t="str">
        <f>Master[[#This Row],[Accession Prefix (NPGS)]]&amp;" "&amp;Master[[#This Row],[Accession Number -Assigned]]&amp;" "&amp;Master[[#This Row],[Inventory Suffix]]&amp;" "&amp;Master[[#This Row],[Inventory Type - Lookup Picker]]</f>
        <v>W6 59684  SD</v>
      </c>
      <c r="D98" s="7" t="str">
        <f>IF(Master[[#This Row],[Collector Voucher Number]]="","",Master[[#This Row],[Collector Voucher Number]])</f>
        <v>WY070-76</v>
      </c>
      <c r="E98" s="76" t="str">
        <f>IF(Master[[#This Row],[Voucher Location (2)]]="","",Master[[#This Row],[Voucher Location (2)]])</f>
        <v>Rocky Mountain Herbarium</v>
      </c>
      <c r="F98" s="7" t="str">
        <f t="shared" si="3"/>
        <v>mm/dd/yyyy</v>
      </c>
      <c r="G98" s="2">
        <f>IF(Master[[#This Row],[Voucher Date]]="","",Master[[#This Row],[Voucher Date]])</f>
        <v>43997</v>
      </c>
      <c r="H98" s="17" t="str">
        <f>IF(Master[[#This Row],[Voucher Collector -name, organization]]="","",Master[[#This Row],[Voucher Collector -name, organization]])</f>
        <v>SOS Field Crew - Buffalo, WY:In Field:15 JUN 2020</v>
      </c>
      <c r="I98" s="7" t="str">
        <f>IF(Master[[#This Row],[Note (Voucher)]]="","",Master[[#This Row],[Note (Voucher)]])</f>
        <v/>
      </c>
    </row>
    <row r="99" spans="2:9" x14ac:dyDescent="0.25">
      <c r="B99" s="7" t="str">
        <f>Master[[#This Row],[Accession Prefix (NPGS)]]&amp;" "&amp;Master[[#This Row],[Accession Number -Assigned]]</f>
        <v>W6 59685</v>
      </c>
      <c r="C99" s="7" t="str">
        <f>Master[[#This Row],[Accession Prefix (NPGS)]]&amp;" "&amp;Master[[#This Row],[Accession Number -Assigned]]&amp;" "&amp;Master[[#This Row],[Inventory Suffix]]&amp;" "&amp;Master[[#This Row],[Inventory Type - Lookup Picker]]</f>
        <v>W6 59685  SD</v>
      </c>
      <c r="D99" s="7" t="str">
        <f>IF(Master[[#This Row],[Collector Voucher Number]]="","",Master[[#This Row],[Collector Voucher Number]])</f>
        <v>WY070-77</v>
      </c>
      <c r="E99" s="76" t="str">
        <f>IF(Master[[#This Row],[Voucher Location (2)]]="","",Master[[#This Row],[Voucher Location (2)]])</f>
        <v>Rocky Mountain Herbarium</v>
      </c>
      <c r="F99" s="7" t="str">
        <f t="shared" si="3"/>
        <v>mm/dd/yyyy</v>
      </c>
      <c r="G99" s="2">
        <f>IF(Master[[#This Row],[Voucher Date]]="","",Master[[#This Row],[Voucher Date]])</f>
        <v>43998</v>
      </c>
      <c r="H99" s="17" t="str">
        <f>IF(Master[[#This Row],[Voucher Collector -name, organization]]="","",Master[[#This Row],[Voucher Collector -name, organization]])</f>
        <v>SOS Field Crew-Buffalo, WY:In Field:16 JUN 2020</v>
      </c>
      <c r="I99" s="7" t="str">
        <f>IF(Master[[#This Row],[Note (Voucher)]]="","",Master[[#This Row],[Note (Voucher)]])</f>
        <v/>
      </c>
    </row>
    <row r="100" spans="2:9" x14ac:dyDescent="0.25">
      <c r="B100" s="7" t="str">
        <f>Master[[#This Row],[Accession Prefix (NPGS)]]&amp;" "&amp;Master[[#This Row],[Accession Number -Assigned]]</f>
        <v>W6 59686</v>
      </c>
      <c r="C100" s="7" t="str">
        <f>Master[[#This Row],[Accession Prefix (NPGS)]]&amp;" "&amp;Master[[#This Row],[Accession Number -Assigned]]&amp;" "&amp;Master[[#This Row],[Inventory Suffix]]&amp;" "&amp;Master[[#This Row],[Inventory Type - Lookup Picker]]</f>
        <v>W6 59686  SD</v>
      </c>
      <c r="D100" s="7" t="str">
        <f>IF(Master[[#This Row],[Collector Voucher Number]]="","",Master[[#This Row],[Collector Voucher Number]])</f>
        <v>WY070-78</v>
      </c>
      <c r="E100" s="76" t="str">
        <f>IF(Master[[#This Row],[Voucher Location (2)]]="","",Master[[#This Row],[Voucher Location (2)]])</f>
        <v>Rocky Mountain Herbarium</v>
      </c>
      <c r="F100" s="7" t="str">
        <f t="shared" si="3"/>
        <v>mm/dd/yyyy</v>
      </c>
      <c r="G100" s="2">
        <f>IF(Master[[#This Row],[Voucher Date]]="","",Master[[#This Row],[Voucher Date]])</f>
        <v>43991</v>
      </c>
      <c r="H100" s="17" t="str">
        <f>IF(Master[[#This Row],[Voucher Collector -name, organization]]="","",Master[[#This Row],[Voucher Collector -name, organization]])</f>
        <v>SOS Field Crew-Buffalo, WY:In Field:09 JUN 2020</v>
      </c>
      <c r="I100" s="7" t="str">
        <f>IF(Master[[#This Row],[Note (Voucher)]]="","",Master[[#This Row],[Note (Voucher)]])</f>
        <v/>
      </c>
    </row>
    <row r="101" spans="2:9" x14ac:dyDescent="0.25">
      <c r="B101" s="7" t="str">
        <f>Master[[#This Row],[Accession Prefix (NPGS)]]&amp;" "&amp;Master[[#This Row],[Accession Number -Assigned]]</f>
        <v>W6 59687</v>
      </c>
      <c r="C101" s="7" t="str">
        <f>Master[[#This Row],[Accession Prefix (NPGS)]]&amp;" "&amp;Master[[#This Row],[Accession Number -Assigned]]&amp;" "&amp;Master[[#This Row],[Inventory Suffix]]&amp;" "&amp;Master[[#This Row],[Inventory Type - Lookup Picker]]</f>
        <v>W6 59687  SD</v>
      </c>
      <c r="D101" s="7" t="str">
        <f>IF(Master[[#This Row],[Collector Voucher Number]]="","",Master[[#This Row],[Collector Voucher Number]])</f>
        <v>WY070-79</v>
      </c>
      <c r="E101" s="76" t="str">
        <f>IF(Master[[#This Row],[Voucher Location (2)]]="","",Master[[#This Row],[Voucher Location (2)]])</f>
        <v>Rocky Mountain Herbarium</v>
      </c>
      <c r="F101" s="7" t="str">
        <f t="shared" si="3"/>
        <v>mm/dd/yyyy</v>
      </c>
      <c r="G101" s="2">
        <f>IF(Master[[#This Row],[Voucher Date]]="","",Master[[#This Row],[Voucher Date]])</f>
        <v>44005</v>
      </c>
      <c r="H101" s="17" t="str">
        <f>IF(Master[[#This Row],[Voucher Collector -name, organization]]="","",Master[[#This Row],[Voucher Collector -name, organization]])</f>
        <v>SOS Field Crew-Buffalo, WY:In Field:23 JUN 2020</v>
      </c>
      <c r="I101" s="7" t="str">
        <f>IF(Master[[#This Row],[Note (Voucher)]]="","",Master[[#This Row],[Note (Voucher)]])</f>
        <v/>
      </c>
    </row>
    <row r="102" spans="2:9" x14ac:dyDescent="0.25">
      <c r="B102" s="7" t="str">
        <f>Master[[#This Row],[Accession Prefix (NPGS)]]&amp;" "&amp;Master[[#This Row],[Accession Number -Assigned]]</f>
        <v>W6 59688</v>
      </c>
      <c r="C102" s="7" t="str">
        <f>Master[[#This Row],[Accession Prefix (NPGS)]]&amp;" "&amp;Master[[#This Row],[Accession Number -Assigned]]&amp;" "&amp;Master[[#This Row],[Inventory Suffix]]&amp;" "&amp;Master[[#This Row],[Inventory Type - Lookup Picker]]</f>
        <v>W6 59688  SD</v>
      </c>
      <c r="D102" s="7" t="str">
        <f>IF(Master[[#This Row],[Collector Voucher Number]]="","",Master[[#This Row],[Collector Voucher Number]])</f>
        <v>WY070-80</v>
      </c>
      <c r="E102" s="76" t="str">
        <f>IF(Master[[#This Row],[Voucher Location (2)]]="","",Master[[#This Row],[Voucher Location (2)]])</f>
        <v>Rocky Mountain Herbarium</v>
      </c>
      <c r="F102" s="7" t="str">
        <f t="shared" si="3"/>
        <v>mm/dd/yyyy</v>
      </c>
      <c r="G102" s="2">
        <f>IF(Master[[#This Row],[Voucher Date]]="","",Master[[#This Row],[Voucher Date]])</f>
        <v>43986</v>
      </c>
      <c r="H102" s="17" t="str">
        <f>IF(Master[[#This Row],[Voucher Collector -name, organization]]="","",Master[[#This Row],[Voucher Collector -name, organization]])</f>
        <v>SOS Field Crew-Buffalo, WY:In Field:04 JUN 2020</v>
      </c>
      <c r="I102" s="7" t="str">
        <f>IF(Master[[#This Row],[Note (Voucher)]]="","",Master[[#This Row],[Note (Voucher)]])</f>
        <v/>
      </c>
    </row>
    <row r="103" spans="2:9" x14ac:dyDescent="0.25">
      <c r="B103" s="7" t="str">
        <f>Master[[#This Row],[Accession Prefix (NPGS)]]&amp;" "&amp;Master[[#This Row],[Accession Number -Assigned]]</f>
        <v>W6 59689</v>
      </c>
      <c r="C103" s="7" t="str">
        <f>Master[[#This Row],[Accession Prefix (NPGS)]]&amp;" "&amp;Master[[#This Row],[Accession Number -Assigned]]&amp;" "&amp;Master[[#This Row],[Inventory Suffix]]&amp;" "&amp;Master[[#This Row],[Inventory Type - Lookup Picker]]</f>
        <v>W6 59689  SD</v>
      </c>
      <c r="D103" s="7" t="str">
        <f>IF(Master[[#This Row],[Collector Voucher Number]]="","",Master[[#This Row],[Collector Voucher Number]])</f>
        <v>WY070-81</v>
      </c>
      <c r="E103" s="76" t="str">
        <f>IF(Master[[#This Row],[Voucher Location (2)]]="","",Master[[#This Row],[Voucher Location (2)]])</f>
        <v>Rocky Mountain Herbarium</v>
      </c>
      <c r="F103" s="7" t="str">
        <f t="shared" si="3"/>
        <v>mm/dd/yyyy</v>
      </c>
      <c r="G103" s="2">
        <f>IF(Master[[#This Row],[Voucher Date]]="","",Master[[#This Row],[Voucher Date]])</f>
        <v>43991</v>
      </c>
      <c r="H103" s="17" t="str">
        <f>IF(Master[[#This Row],[Voucher Collector -name, organization]]="","",Master[[#This Row],[Voucher Collector -name, organization]])</f>
        <v>Buffalo SOS Field Crew:In Field:09 JUN 2020</v>
      </c>
      <c r="I103" s="7" t="str">
        <f>IF(Master[[#This Row],[Note (Voucher)]]="","",Master[[#This Row],[Note (Voucher)]])</f>
        <v/>
      </c>
    </row>
    <row r="104" spans="2:9" x14ac:dyDescent="0.25">
      <c r="B104" s="7" t="str">
        <f>Master[[#This Row],[Accession Prefix (NPGS)]]&amp;" "&amp;Master[[#This Row],[Accession Number -Assigned]]</f>
        <v>W6 59690</v>
      </c>
      <c r="C104" s="7" t="str">
        <f>Master[[#This Row],[Accession Prefix (NPGS)]]&amp;" "&amp;Master[[#This Row],[Accession Number -Assigned]]&amp;" "&amp;Master[[#This Row],[Inventory Suffix]]&amp;" "&amp;Master[[#This Row],[Inventory Type - Lookup Picker]]</f>
        <v>W6 59690  SD</v>
      </c>
      <c r="D104" s="7" t="str">
        <f>IF(Master[[#This Row],[Collector Voucher Number]]="","",Master[[#This Row],[Collector Voucher Number]])</f>
        <v>WY070-82</v>
      </c>
      <c r="E104" s="76" t="str">
        <f>IF(Master[[#This Row],[Voucher Location (2)]]="","",Master[[#This Row],[Voucher Location (2)]])</f>
        <v>Rocky Mountain Herbarium</v>
      </c>
      <c r="F104" s="7" t="str">
        <f t="shared" si="3"/>
        <v>mm/dd/yyyy</v>
      </c>
      <c r="G104" s="2">
        <f>IF(Master[[#This Row],[Voucher Date]]="","",Master[[#This Row],[Voucher Date]])</f>
        <v>43991</v>
      </c>
      <c r="H104" s="17" t="str">
        <f>IF(Master[[#This Row],[Voucher Collector -name, organization]]="","",Master[[#This Row],[Voucher Collector -name, organization]])</f>
        <v>SOS Field Crew-Buffalo:In Field:09 JUN 2020</v>
      </c>
      <c r="I104" s="7" t="str">
        <f>IF(Master[[#This Row],[Note (Voucher)]]="","",Master[[#This Row],[Note (Voucher)]])</f>
        <v/>
      </c>
    </row>
    <row r="105" spans="2:9" x14ac:dyDescent="0.25">
      <c r="B105" s="7" t="str">
        <f>Master[[#This Row],[Accession Prefix (NPGS)]]&amp;" "&amp;Master[[#This Row],[Accession Number -Assigned]]</f>
        <v>W6 59691</v>
      </c>
      <c r="C105" s="7" t="str">
        <f>Master[[#This Row],[Accession Prefix (NPGS)]]&amp;" "&amp;Master[[#This Row],[Accession Number -Assigned]]&amp;" "&amp;Master[[#This Row],[Inventory Suffix]]&amp;" "&amp;Master[[#This Row],[Inventory Type - Lookup Picker]]</f>
        <v>W6 59691  SD</v>
      </c>
      <c r="D105" s="7" t="str">
        <f>IF(Master[[#This Row],[Collector Voucher Number]]="","",Master[[#This Row],[Collector Voucher Number]])</f>
        <v>WY070-83</v>
      </c>
      <c r="E105" s="76" t="str">
        <f>IF(Master[[#This Row],[Voucher Location (2)]]="","",Master[[#This Row],[Voucher Location (2)]])</f>
        <v>Rocky Mountain Herbarium</v>
      </c>
      <c r="F105" s="7" t="str">
        <f t="shared" si="3"/>
        <v>mm/dd/yyyy</v>
      </c>
      <c r="G105" s="2">
        <f>IF(Master[[#This Row],[Voucher Date]]="","",Master[[#This Row],[Voucher Date]])</f>
        <v>43999</v>
      </c>
      <c r="H105" s="17" t="str">
        <f>IF(Master[[#This Row],[Voucher Collector -name, organization]]="","",Master[[#This Row],[Voucher Collector -name, organization]])</f>
        <v>SOS Field Crew- Buffalo, WY:In Field:17 JUN 2020</v>
      </c>
      <c r="I105" s="7" t="str">
        <f>IF(Master[[#This Row],[Note (Voucher)]]="","",Master[[#This Row],[Note (Voucher)]])</f>
        <v/>
      </c>
    </row>
    <row r="106" spans="2:9" x14ac:dyDescent="0.25">
      <c r="B106" s="7" t="str">
        <f>Master[[#This Row],[Accession Prefix (NPGS)]]&amp;" "&amp;Master[[#This Row],[Accession Number -Assigned]]</f>
        <v>W6 59692</v>
      </c>
      <c r="C106" s="7" t="str">
        <f>Master[[#This Row],[Accession Prefix (NPGS)]]&amp;" "&amp;Master[[#This Row],[Accession Number -Assigned]]&amp;" "&amp;Master[[#This Row],[Inventory Suffix]]&amp;" "&amp;Master[[#This Row],[Inventory Type - Lookup Picker]]</f>
        <v>W6 59692  SD</v>
      </c>
      <c r="D106" s="7" t="str">
        <f>IF(Master[[#This Row],[Collector Voucher Number]]="","",Master[[#This Row],[Collector Voucher Number]])</f>
        <v>WY070-84</v>
      </c>
      <c r="E106" s="76" t="str">
        <f>IF(Master[[#This Row],[Voucher Location (2)]]="","",Master[[#This Row],[Voucher Location (2)]])</f>
        <v>Rocky Mountain Herbarium</v>
      </c>
      <c r="F106" s="7" t="str">
        <f t="shared" si="3"/>
        <v>mm/dd/yyyy</v>
      </c>
      <c r="G106" s="2">
        <f>IF(Master[[#This Row],[Voucher Date]]="","",Master[[#This Row],[Voucher Date]])</f>
        <v>43992</v>
      </c>
      <c r="H106" s="17" t="str">
        <f>IF(Master[[#This Row],[Voucher Collector -name, organization]]="","",Master[[#This Row],[Voucher Collector -name, organization]])</f>
        <v>SOS Field Crew - Buffalo, WY:In Field:10 JUN 2020</v>
      </c>
      <c r="I106" s="7" t="str">
        <f>IF(Master[[#This Row],[Note (Voucher)]]="","",Master[[#This Row],[Note (Voucher)]])</f>
        <v/>
      </c>
    </row>
    <row r="107" spans="2:9" x14ac:dyDescent="0.25">
      <c r="B107" s="7" t="str">
        <f>Master[[#This Row],[Accession Prefix (NPGS)]]&amp;" "&amp;Master[[#This Row],[Accession Number -Assigned]]</f>
        <v>W6 59693</v>
      </c>
      <c r="C107" s="7" t="str">
        <f>Master[[#This Row],[Accession Prefix (NPGS)]]&amp;" "&amp;Master[[#This Row],[Accession Number -Assigned]]&amp;" "&amp;Master[[#This Row],[Inventory Suffix]]&amp;" "&amp;Master[[#This Row],[Inventory Type - Lookup Picker]]</f>
        <v>W6 59693  SD</v>
      </c>
      <c r="D107" s="7" t="str">
        <f>IF(Master[[#This Row],[Collector Voucher Number]]="","",Master[[#This Row],[Collector Voucher Number]])</f>
        <v>WY070-85</v>
      </c>
      <c r="E107" s="76" t="str">
        <f>IF(Master[[#This Row],[Voucher Location (2)]]="","",Master[[#This Row],[Voucher Location (2)]])</f>
        <v>Rocky Mountain Herbarium</v>
      </c>
      <c r="F107" s="7" t="str">
        <f t="shared" si="3"/>
        <v>mm/dd/yyyy</v>
      </c>
      <c r="G107" s="2">
        <f>IF(Master[[#This Row],[Voucher Date]]="","",Master[[#This Row],[Voucher Date]])</f>
        <v>43986</v>
      </c>
      <c r="H107" s="17" t="str">
        <f>IF(Master[[#This Row],[Voucher Collector -name, organization]]="","",Master[[#This Row],[Voucher Collector -name, organization]])</f>
        <v>SOS Field Crew-Buffalo, WY:In Field:04 JUN 2020</v>
      </c>
      <c r="I107" s="7" t="str">
        <f>IF(Master[[#This Row],[Note (Voucher)]]="","",Master[[#This Row],[Note (Voucher)]])</f>
        <v/>
      </c>
    </row>
    <row r="108" spans="2:9" x14ac:dyDescent="0.25">
      <c r="B108" s="7" t="str">
        <f>Master[[#This Row],[Accession Prefix (NPGS)]]&amp;" "&amp;Master[[#This Row],[Accession Number -Assigned]]</f>
        <v>W6 59694</v>
      </c>
      <c r="C108" s="7" t="str">
        <f>Master[[#This Row],[Accession Prefix (NPGS)]]&amp;" "&amp;Master[[#This Row],[Accession Number -Assigned]]&amp;" "&amp;Master[[#This Row],[Inventory Suffix]]&amp;" "&amp;Master[[#This Row],[Inventory Type - Lookup Picker]]</f>
        <v>W6 59694  SD</v>
      </c>
      <c r="D108" s="7" t="str">
        <f>IF(Master[[#This Row],[Collector Voucher Number]]="","",Master[[#This Row],[Collector Voucher Number]])</f>
        <v>WY070-86</v>
      </c>
      <c r="E108" s="76" t="str">
        <f>IF(Master[[#This Row],[Voucher Location (2)]]="","",Master[[#This Row],[Voucher Location (2)]])</f>
        <v>Rocky Mountain Herbarium</v>
      </c>
      <c r="F108" s="7" t="str">
        <f t="shared" si="3"/>
        <v>mm/dd/yyyy</v>
      </c>
      <c r="G108" s="2">
        <f>IF(Master[[#This Row],[Voucher Date]]="","",Master[[#This Row],[Voucher Date]])</f>
        <v>44012</v>
      </c>
      <c r="H108" s="17" t="str">
        <f>IF(Master[[#This Row],[Voucher Collector -name, organization]]="","",Master[[#This Row],[Voucher Collector -name, organization]])</f>
        <v>SOS Field Crew - Buffalo WY:In Field:30 JUN 2020</v>
      </c>
      <c r="I108" s="7" t="str">
        <f>IF(Master[[#This Row],[Note (Voucher)]]="","",Master[[#This Row],[Note (Voucher)]])</f>
        <v/>
      </c>
    </row>
    <row r="109" spans="2:9" x14ac:dyDescent="0.25">
      <c r="B109" s="7" t="str">
        <f>Master[[#This Row],[Accession Prefix (NPGS)]]&amp;" "&amp;Master[[#This Row],[Accession Number -Assigned]]</f>
        <v>W6 59695</v>
      </c>
      <c r="C109" s="7" t="str">
        <f>Master[[#This Row],[Accession Prefix (NPGS)]]&amp;" "&amp;Master[[#This Row],[Accession Number -Assigned]]&amp;" "&amp;Master[[#This Row],[Inventory Suffix]]&amp;" "&amp;Master[[#This Row],[Inventory Type - Lookup Picker]]</f>
        <v>W6 59695  SD</v>
      </c>
      <c r="D109" s="7" t="str">
        <f>IF(Master[[#This Row],[Collector Voucher Number]]="","",Master[[#This Row],[Collector Voucher Number]])</f>
        <v>WY070-87</v>
      </c>
      <c r="E109" s="76" t="str">
        <f>IF(Master[[#This Row],[Voucher Location (2)]]="","",Master[[#This Row],[Voucher Location (2)]])</f>
        <v>Rocky Mountain Herbarium</v>
      </c>
      <c r="F109" s="7" t="str">
        <f t="shared" si="3"/>
        <v>mm/dd/yyyy</v>
      </c>
      <c r="G109" s="2">
        <f>IF(Master[[#This Row],[Voucher Date]]="","",Master[[#This Row],[Voucher Date]])</f>
        <v>44005</v>
      </c>
      <c r="H109" s="17" t="str">
        <f>IF(Master[[#This Row],[Voucher Collector -name, organization]]="","",Master[[#This Row],[Voucher Collector -name, organization]])</f>
        <v>SOS Field Crew-Buffalo, WY:In Field:23 JUN 2020</v>
      </c>
      <c r="I109" s="7" t="str">
        <f>IF(Master[[#This Row],[Note (Voucher)]]="","",Master[[#This Row],[Note (Voucher)]])</f>
        <v/>
      </c>
    </row>
    <row r="110" spans="2:9" x14ac:dyDescent="0.25">
      <c r="B110" s="7" t="str">
        <f>Master[[#This Row],[Accession Prefix (NPGS)]]&amp;" "&amp;Master[[#This Row],[Accession Number -Assigned]]</f>
        <v>W6 59696</v>
      </c>
      <c r="C110" s="7" t="str">
        <f>Master[[#This Row],[Accession Prefix (NPGS)]]&amp;" "&amp;Master[[#This Row],[Accession Number -Assigned]]&amp;" "&amp;Master[[#This Row],[Inventory Suffix]]&amp;" "&amp;Master[[#This Row],[Inventory Type - Lookup Picker]]</f>
        <v>W6 59696  SD</v>
      </c>
      <c r="D110" s="7" t="str">
        <f>IF(Master[[#This Row],[Collector Voucher Number]]="","",Master[[#This Row],[Collector Voucher Number]])</f>
        <v>WY070-88</v>
      </c>
      <c r="E110" s="76" t="str">
        <f>IF(Master[[#This Row],[Voucher Location (2)]]="","",Master[[#This Row],[Voucher Location (2)]])</f>
        <v>Rocky Mountain Herbarium</v>
      </c>
      <c r="F110" s="7" t="str">
        <f t="shared" si="3"/>
        <v>mm/dd/yyyy</v>
      </c>
      <c r="G110" s="2">
        <f>IF(Master[[#This Row],[Voucher Date]]="","",Master[[#This Row],[Voucher Date]])</f>
        <v>44006</v>
      </c>
      <c r="H110" s="17" t="str">
        <f>IF(Master[[#This Row],[Voucher Collector -name, organization]]="","",Master[[#This Row],[Voucher Collector -name, organization]])</f>
        <v>Buffalo SOS Field Crew:In Field:24 JUN 2020</v>
      </c>
      <c r="I110" s="7" t="str">
        <f>IF(Master[[#This Row],[Note (Voucher)]]="","",Master[[#This Row],[Note (Voucher)]])</f>
        <v/>
      </c>
    </row>
    <row r="111" spans="2:9" x14ac:dyDescent="0.25">
      <c r="B111" s="7" t="str">
        <f>Master[[#This Row],[Accession Prefix (NPGS)]]&amp;" "&amp;Master[[#This Row],[Accession Number -Assigned]]</f>
        <v>W6 59697</v>
      </c>
      <c r="C111" s="7" t="str">
        <f>Master[[#This Row],[Accession Prefix (NPGS)]]&amp;" "&amp;Master[[#This Row],[Accession Number -Assigned]]&amp;" "&amp;Master[[#This Row],[Inventory Suffix]]&amp;" "&amp;Master[[#This Row],[Inventory Type - Lookup Picker]]</f>
        <v>W6 59697  SD</v>
      </c>
      <c r="D111" s="7" t="str">
        <f>IF(Master[[#This Row],[Collector Voucher Number]]="","",Master[[#This Row],[Collector Voucher Number]])</f>
        <v>WY070-89</v>
      </c>
      <c r="E111" s="76" t="str">
        <f>IF(Master[[#This Row],[Voucher Location (2)]]="","",Master[[#This Row],[Voucher Location (2)]])</f>
        <v>Rocky Mountain Herbarium</v>
      </c>
      <c r="F111" s="7" t="str">
        <f t="shared" si="3"/>
        <v>mm/dd/yyyy</v>
      </c>
      <c r="G111" s="2">
        <f>IF(Master[[#This Row],[Voucher Date]]="","",Master[[#This Row],[Voucher Date]])</f>
        <v>44006</v>
      </c>
      <c r="H111" s="17" t="str">
        <f>IF(Master[[#This Row],[Voucher Collector -name, organization]]="","",Master[[#This Row],[Voucher Collector -name, organization]])</f>
        <v>Buffalo SOS Field Crew:From pressed specimen on day of collection:24 JUN 2020</v>
      </c>
      <c r="I111" s="7" t="str">
        <f>IF(Master[[#This Row],[Note (Voucher)]]="","",Master[[#This Row],[Note (Voucher)]])</f>
        <v/>
      </c>
    </row>
    <row r="112" spans="2:9" x14ac:dyDescent="0.25">
      <c r="B112" s="7" t="str">
        <f>Master[[#This Row],[Accession Prefix (NPGS)]]&amp;" "&amp;Master[[#This Row],[Accession Number -Assigned]]</f>
        <v>W6 59698</v>
      </c>
      <c r="C112" s="7" t="str">
        <f>Master[[#This Row],[Accession Prefix (NPGS)]]&amp;" "&amp;Master[[#This Row],[Accession Number -Assigned]]&amp;" "&amp;Master[[#This Row],[Inventory Suffix]]&amp;" "&amp;Master[[#This Row],[Inventory Type - Lookup Picker]]</f>
        <v>W6 59698  SD</v>
      </c>
      <c r="D112" s="7" t="str">
        <f>IF(Master[[#This Row],[Collector Voucher Number]]="","",Master[[#This Row],[Collector Voucher Number]])</f>
        <v>WY070-90</v>
      </c>
      <c r="E112" s="76" t="str">
        <f>IF(Master[[#This Row],[Voucher Location (2)]]="","",Master[[#This Row],[Voucher Location (2)]])</f>
        <v>Rocky Mountain Herbarium</v>
      </c>
      <c r="F112" s="7" t="str">
        <f t="shared" si="3"/>
        <v>mm/dd/yyyy</v>
      </c>
      <c r="G112" s="2">
        <f>IF(Master[[#This Row],[Voucher Date]]="","",Master[[#This Row],[Voucher Date]])</f>
        <v>43992</v>
      </c>
      <c r="H112" s="17" t="str">
        <f>IF(Master[[#This Row],[Voucher Collector -name, organization]]="","",Master[[#This Row],[Voucher Collector -name, organization]])</f>
        <v>SOS Field Crew-Buffalo, WY:In Field:10 JUN 2020</v>
      </c>
      <c r="I112" s="7" t="str">
        <f>IF(Master[[#This Row],[Note (Voucher)]]="","",Master[[#This Row],[Note (Voucher)]])</f>
        <v/>
      </c>
    </row>
    <row r="113" spans="2:9" x14ac:dyDescent="0.25">
      <c r="B113" s="7" t="str">
        <f>Master[[#This Row],[Accession Prefix (NPGS)]]&amp;" "&amp;Master[[#This Row],[Accession Number -Assigned]]</f>
        <v>W6 59699</v>
      </c>
      <c r="C113" s="7" t="str">
        <f>Master[[#This Row],[Accession Prefix (NPGS)]]&amp;" "&amp;Master[[#This Row],[Accession Number -Assigned]]&amp;" "&amp;Master[[#This Row],[Inventory Suffix]]&amp;" "&amp;Master[[#This Row],[Inventory Type - Lookup Picker]]</f>
        <v>W6 59699  SD</v>
      </c>
      <c r="D113" s="7" t="str">
        <f>IF(Master[[#This Row],[Collector Voucher Number]]="","",Master[[#This Row],[Collector Voucher Number]])</f>
        <v>WY070-92</v>
      </c>
      <c r="E113" s="76" t="str">
        <f>IF(Master[[#This Row],[Voucher Location (2)]]="","",Master[[#This Row],[Voucher Location (2)]])</f>
        <v/>
      </c>
      <c r="F113" s="7" t="str">
        <f t="shared" si="3"/>
        <v>mm/dd/yyyy</v>
      </c>
      <c r="G113" s="2" t="str">
        <f>IF(Master[[#This Row],[Voucher Date]]="","",Master[[#This Row],[Voucher Date]])</f>
        <v/>
      </c>
      <c r="H113" s="17" t="str">
        <f>IF(Master[[#This Row],[Voucher Collector -name, organization]]="","",Master[[#This Row],[Voucher Collector -name, organization]])</f>
        <v>Buffalo SOS Field Crew:In Field:27 JUL 2020</v>
      </c>
      <c r="I113" s="7" t="str">
        <f>IF(Master[[#This Row],[Note (Voucher)]]="","",Master[[#This Row],[Note (Voucher)]])</f>
        <v/>
      </c>
    </row>
    <row r="114" spans="2:9" x14ac:dyDescent="0.25">
      <c r="B114" s="7" t="str">
        <f>Master[[#This Row],[Accession Prefix (NPGS)]]&amp;" "&amp;Master[[#This Row],[Accession Number -Assigned]]</f>
        <v>W6 59700</v>
      </c>
      <c r="C114" s="7" t="str">
        <f>Master[[#This Row],[Accession Prefix (NPGS)]]&amp;" "&amp;Master[[#This Row],[Accession Number -Assigned]]&amp;" "&amp;Master[[#This Row],[Inventory Suffix]]&amp;" "&amp;Master[[#This Row],[Inventory Type - Lookup Picker]]</f>
        <v>W6 59700  SD</v>
      </c>
      <c r="D114" s="7" t="str">
        <f>IF(Master[[#This Row],[Collector Voucher Number]]="","",Master[[#This Row],[Collector Voucher Number]])</f>
        <v>WY070-93</v>
      </c>
      <c r="E114" s="76" t="str">
        <f>IF(Master[[#This Row],[Voucher Location (2)]]="","",Master[[#This Row],[Voucher Location (2)]])</f>
        <v/>
      </c>
      <c r="F114" s="7" t="str">
        <f t="shared" si="3"/>
        <v>mm/dd/yyyy</v>
      </c>
      <c r="G114" s="2" t="str">
        <f>IF(Master[[#This Row],[Voucher Date]]="","",Master[[#This Row],[Voucher Date]])</f>
        <v/>
      </c>
      <c r="H114" s="17" t="str">
        <f>IF(Master[[#This Row],[Voucher Collector -name, organization]]="","",Master[[#This Row],[Voucher Collector -name, organization]])</f>
        <v>Buffalo SOS Field Crew:In Field:03 AUG 0202</v>
      </c>
      <c r="I114" s="7" t="str">
        <f>IF(Master[[#This Row],[Note (Voucher)]]="","",Master[[#This Row],[Note (Voucher)]])</f>
        <v/>
      </c>
    </row>
    <row r="115" spans="2:9" x14ac:dyDescent="0.25">
      <c r="B115" s="7" t="str">
        <f>Master[[#This Row],[Accession Prefix (NPGS)]]&amp;" "&amp;Master[[#This Row],[Accession Number -Assigned]]</f>
        <v>W6 59701</v>
      </c>
      <c r="C115" s="7" t="str">
        <f>Master[[#This Row],[Accession Prefix (NPGS)]]&amp;" "&amp;Master[[#This Row],[Accession Number -Assigned]]&amp;" "&amp;Master[[#This Row],[Inventory Suffix]]&amp;" "&amp;Master[[#This Row],[Inventory Type - Lookup Picker]]</f>
        <v>W6 59701  SD</v>
      </c>
      <c r="D115" s="7" t="str">
        <f>IF(Master[[#This Row],[Collector Voucher Number]]="","",Master[[#This Row],[Collector Voucher Number]])</f>
        <v>WY070-94</v>
      </c>
      <c r="E115" s="76" t="str">
        <f>IF(Master[[#This Row],[Voucher Location (2)]]="","",Master[[#This Row],[Voucher Location (2)]])</f>
        <v>Rocky Mountain Herbarium</v>
      </c>
      <c r="F115" s="7" t="str">
        <f t="shared" si="3"/>
        <v>mm/dd/yyyy</v>
      </c>
      <c r="G115" s="2">
        <f>IF(Master[[#This Row],[Voucher Date]]="","",Master[[#This Row],[Voucher Date]])</f>
        <v>44048</v>
      </c>
      <c r="H115" s="17" t="str">
        <f>IF(Master[[#This Row],[Voucher Collector -name, organization]]="","",Master[[#This Row],[Voucher Collector -name, organization]])</f>
        <v>Buffalo SOS Field Crew:In Field:05 AUG 2020</v>
      </c>
      <c r="I115" s="7" t="str">
        <f>IF(Master[[#This Row],[Note (Voucher)]]="","",Master[[#This Row],[Note (Voucher)]])</f>
        <v/>
      </c>
    </row>
    <row r="116" spans="2:9" x14ac:dyDescent="0.25">
      <c r="B116" s="7" t="str">
        <f>Master[[#This Row],[Accession Prefix (NPGS)]]&amp;" "&amp;Master[[#This Row],[Accession Number -Assigned]]</f>
        <v>W6 59702</v>
      </c>
      <c r="C116" s="7" t="str">
        <f>Master[[#This Row],[Accession Prefix (NPGS)]]&amp;" "&amp;Master[[#This Row],[Accession Number -Assigned]]&amp;" "&amp;Master[[#This Row],[Inventory Suffix]]&amp;" "&amp;Master[[#This Row],[Inventory Type - Lookup Picker]]</f>
        <v>W6 59702  SD</v>
      </c>
      <c r="D116" s="7" t="str">
        <f>IF(Master[[#This Row],[Collector Voucher Number]]="","",Master[[#This Row],[Collector Voucher Number]])</f>
        <v>WY070-95</v>
      </c>
      <c r="E116" s="76" t="str">
        <f>IF(Master[[#This Row],[Voucher Location (2)]]="","",Master[[#This Row],[Voucher Location (2)]])</f>
        <v/>
      </c>
      <c r="F116" s="7" t="str">
        <f t="shared" si="3"/>
        <v>mm/dd/yyyy</v>
      </c>
      <c r="G116" s="2" t="str">
        <f>IF(Master[[#This Row],[Voucher Date]]="","",Master[[#This Row],[Voucher Date]])</f>
        <v/>
      </c>
      <c r="H116" s="17" t="str">
        <f>IF(Master[[#This Row],[Voucher Collector -name, organization]]="","",Master[[#This Row],[Voucher Collector -name, organization]])</f>
        <v>Buffalo SOS Field Crew:In Field:05 AUG 2020</v>
      </c>
      <c r="I116" s="7" t="str">
        <f>IF(Master[[#This Row],[Note (Voucher)]]="","",Master[[#This Row],[Note (Voucher)]])</f>
        <v/>
      </c>
    </row>
    <row r="117" spans="2:9" x14ac:dyDescent="0.25">
      <c r="B117" s="7" t="str">
        <f>Master[[#This Row],[Accession Prefix (NPGS)]]&amp;" "&amp;Master[[#This Row],[Accession Number -Assigned]]</f>
        <v>W6 59703</v>
      </c>
      <c r="C117" s="7" t="str">
        <f>Master[[#This Row],[Accession Prefix (NPGS)]]&amp;" "&amp;Master[[#This Row],[Accession Number -Assigned]]&amp;" "&amp;Master[[#This Row],[Inventory Suffix]]&amp;" "&amp;Master[[#This Row],[Inventory Type - Lookup Picker]]</f>
        <v>W6 59703  SD</v>
      </c>
      <c r="D117" s="7" t="str">
        <f>IF(Master[[#This Row],[Collector Voucher Number]]="","",Master[[#This Row],[Collector Voucher Number]])</f>
        <v>WY070-96</v>
      </c>
      <c r="E117" s="76" t="str">
        <f>IF(Master[[#This Row],[Voucher Location (2)]]="","",Master[[#This Row],[Voucher Location (2)]])</f>
        <v>Rocky Mountain Herbarium</v>
      </c>
      <c r="F117" s="7" t="str">
        <f t="shared" si="3"/>
        <v>mm/dd/yyyy</v>
      </c>
      <c r="G117" s="2">
        <f>IF(Master[[#This Row],[Voucher Date]]="","",Master[[#This Row],[Voucher Date]])</f>
        <v>44049</v>
      </c>
      <c r="H117" s="17" t="str">
        <f>IF(Master[[#This Row],[Voucher Collector -name, organization]]="","",Master[[#This Row],[Voucher Collector -name, organization]])</f>
        <v>Buffalo SOS Field Crew:In Field:06 AUG 2020</v>
      </c>
      <c r="I117" s="7" t="str">
        <f>IF(Master[[#This Row],[Note (Voucher)]]="","",Master[[#This Row],[Note (Voucher)]])</f>
        <v/>
      </c>
    </row>
    <row r="118" spans="2:9" x14ac:dyDescent="0.25">
      <c r="B118" s="7" t="str">
        <f>Master[[#This Row],[Accession Prefix (NPGS)]]&amp;" "&amp;Master[[#This Row],[Accession Number -Assigned]]</f>
        <v>W6 59704</v>
      </c>
      <c r="C118" s="7" t="str">
        <f>Master[[#This Row],[Accession Prefix (NPGS)]]&amp;" "&amp;Master[[#This Row],[Accession Number -Assigned]]&amp;" "&amp;Master[[#This Row],[Inventory Suffix]]&amp;" "&amp;Master[[#This Row],[Inventory Type - Lookup Picker]]</f>
        <v>W6 59704  SD</v>
      </c>
      <c r="D118" s="7" t="str">
        <f>IF(Master[[#This Row],[Collector Voucher Number]]="","",Master[[#This Row],[Collector Voucher Number]])</f>
        <v>WY070-97</v>
      </c>
      <c r="E118" s="76" t="str">
        <f>IF(Master[[#This Row],[Voucher Location (2)]]="","",Master[[#This Row],[Voucher Location (2)]])</f>
        <v>Rocky Mountain Herbarium</v>
      </c>
      <c r="F118" s="7" t="str">
        <f t="shared" ref="F118:F149" si="4">"mm/dd/yyyy"</f>
        <v>mm/dd/yyyy</v>
      </c>
      <c r="G118" s="2">
        <f>IF(Master[[#This Row],[Voucher Date]]="","",Master[[#This Row],[Voucher Date]])</f>
        <v>44042</v>
      </c>
      <c r="H118" s="17" t="str">
        <f>IF(Master[[#This Row],[Voucher Collector -name, organization]]="","",Master[[#This Row],[Voucher Collector -name, organization]])</f>
        <v>Buffalo SOS Field Crew:In Field:30 JUL 2020</v>
      </c>
      <c r="I118" s="7" t="str">
        <f>IF(Master[[#This Row],[Note (Voucher)]]="","",Master[[#This Row],[Note (Voucher)]])</f>
        <v/>
      </c>
    </row>
    <row r="119" spans="2:9" x14ac:dyDescent="0.25">
      <c r="B119" s="7" t="str">
        <f>Master[[#This Row],[Accession Prefix (NPGS)]]&amp;" "&amp;Master[[#This Row],[Accession Number -Assigned]]</f>
        <v>W6 59705</v>
      </c>
      <c r="C119" s="7" t="str">
        <f>Master[[#This Row],[Accession Prefix (NPGS)]]&amp;" "&amp;Master[[#This Row],[Accession Number -Assigned]]&amp;" "&amp;Master[[#This Row],[Inventory Suffix]]&amp;" "&amp;Master[[#This Row],[Inventory Type - Lookup Picker]]</f>
        <v>W6 59705  SD</v>
      </c>
      <c r="D119" s="7" t="str">
        <f>IF(Master[[#This Row],[Collector Voucher Number]]="","",Master[[#This Row],[Collector Voucher Number]])</f>
        <v>WY070-98</v>
      </c>
      <c r="E119" s="76" t="str">
        <f>IF(Master[[#This Row],[Voucher Location (2)]]="","",Master[[#This Row],[Voucher Location (2)]])</f>
        <v>Rocky Mountain Herbarium</v>
      </c>
      <c r="F119" s="7" t="str">
        <f t="shared" si="4"/>
        <v>mm/dd/yyyy</v>
      </c>
      <c r="G119" s="2">
        <f>IF(Master[[#This Row],[Voucher Date]]="","",Master[[#This Row],[Voucher Date]])</f>
        <v>44056</v>
      </c>
      <c r="H119" s="17" t="str">
        <f>IF(Master[[#This Row],[Voucher Collector -name, organization]]="","",Master[[#This Row],[Voucher Collector -name, organization]])</f>
        <v>SOS Field Crew-Buffalo, WY:In Field:13 AUG 2020</v>
      </c>
      <c r="I119" s="7" t="str">
        <f>IF(Master[[#This Row],[Note (Voucher)]]="","",Master[[#This Row],[Note (Voucher)]])</f>
        <v/>
      </c>
    </row>
    <row r="120" spans="2:9" x14ac:dyDescent="0.25">
      <c r="B120" s="7" t="str">
        <f>Master[[#This Row],[Accession Prefix (NPGS)]]&amp;" "&amp;Master[[#This Row],[Accession Number -Assigned]]</f>
        <v>W6 59706</v>
      </c>
      <c r="C120" s="7" t="str">
        <f>Master[[#This Row],[Accession Prefix (NPGS)]]&amp;" "&amp;Master[[#This Row],[Accession Number -Assigned]]&amp;" "&amp;Master[[#This Row],[Inventory Suffix]]&amp;" "&amp;Master[[#This Row],[Inventory Type - Lookup Picker]]</f>
        <v>W6 59706  SD</v>
      </c>
      <c r="D120" s="7" t="str">
        <f>IF(Master[[#This Row],[Collector Voucher Number]]="","",Master[[#This Row],[Collector Voucher Number]])</f>
        <v>WY070-99</v>
      </c>
      <c r="E120" s="76" t="str">
        <f>IF(Master[[#This Row],[Voucher Location (2)]]="","",Master[[#This Row],[Voucher Location (2)]])</f>
        <v>Rocky Mountain Herbarium</v>
      </c>
      <c r="F120" s="7" t="str">
        <f t="shared" si="4"/>
        <v>mm/dd/yyyy</v>
      </c>
      <c r="G120" s="2">
        <f>IF(Master[[#This Row],[Voucher Date]]="","",Master[[#This Row],[Voucher Date]])</f>
        <v>44060</v>
      </c>
      <c r="H120" s="17" t="str">
        <f>IF(Master[[#This Row],[Voucher Collector -name, organization]]="","",Master[[#This Row],[Voucher Collector -name, organization]])</f>
        <v>SOS Field Crew-Buffalo, WY:In Field:17 AUG 2020</v>
      </c>
      <c r="I120" s="7" t="str">
        <f>IF(Master[[#This Row],[Note (Voucher)]]="","",Master[[#This Row],[Note (Voucher)]])</f>
        <v/>
      </c>
    </row>
    <row r="121" spans="2:9" x14ac:dyDescent="0.25">
      <c r="B121" s="7" t="str">
        <f>Master[[#This Row],[Accession Prefix (NPGS)]]&amp;" "&amp;Master[[#This Row],[Accession Number -Assigned]]</f>
        <v>W6 59707</v>
      </c>
      <c r="C121" s="7" t="str">
        <f>Master[[#This Row],[Accession Prefix (NPGS)]]&amp;" "&amp;Master[[#This Row],[Accession Number -Assigned]]&amp;" "&amp;Master[[#This Row],[Inventory Suffix]]&amp;" "&amp;Master[[#This Row],[Inventory Type - Lookup Picker]]</f>
        <v>W6 59707  SD</v>
      </c>
      <c r="D121" s="7" t="str">
        <f>IF(Master[[#This Row],[Collector Voucher Number]]="","",Master[[#This Row],[Collector Voucher Number]])</f>
        <v>WY070-100</v>
      </c>
      <c r="E121" s="76" t="str">
        <f>IF(Master[[#This Row],[Voucher Location (2)]]="","",Master[[#This Row],[Voucher Location (2)]])</f>
        <v>Rocky Mountain Herbarium</v>
      </c>
      <c r="F121" s="7" t="str">
        <f t="shared" si="4"/>
        <v>mm/dd/yyyy</v>
      </c>
      <c r="G121" s="2">
        <f>IF(Master[[#This Row],[Voucher Date]]="","",Master[[#This Row],[Voucher Date]])</f>
        <v>44039</v>
      </c>
      <c r="H121" s="17" t="str">
        <f>IF(Master[[#This Row],[Voucher Collector -name, organization]]="","",Master[[#This Row],[Voucher Collector -name, organization]])</f>
        <v>SOS Field Crew-Buffalo, WY:In Field:27 JUL 2020</v>
      </c>
      <c r="I121" s="7" t="str">
        <f>IF(Master[[#This Row],[Note (Voucher)]]="","",Master[[#This Row],[Note (Voucher)]])</f>
        <v/>
      </c>
    </row>
    <row r="122" spans="2:9" x14ac:dyDescent="0.25">
      <c r="B122" s="7" t="str">
        <f>Master[[#This Row],[Accession Prefix (NPGS)]]&amp;" "&amp;Master[[#This Row],[Accession Number -Assigned]]</f>
        <v>W6 59708</v>
      </c>
      <c r="C122" s="7" t="str">
        <f>Master[[#This Row],[Accession Prefix (NPGS)]]&amp;" "&amp;Master[[#This Row],[Accession Number -Assigned]]&amp;" "&amp;Master[[#This Row],[Inventory Suffix]]&amp;" "&amp;Master[[#This Row],[Inventory Type - Lookup Picker]]</f>
        <v>W6 59708  SD</v>
      </c>
      <c r="D122" s="7" t="str">
        <f>IF(Master[[#This Row],[Collector Voucher Number]]="","",Master[[#This Row],[Collector Voucher Number]])</f>
        <v>WY070-101</v>
      </c>
      <c r="E122" s="76" t="str">
        <f>IF(Master[[#This Row],[Voucher Location (2)]]="","",Master[[#This Row],[Voucher Location (2)]])</f>
        <v>Rocky Mountain Herbarium</v>
      </c>
      <c r="F122" s="7" t="str">
        <f t="shared" si="4"/>
        <v>mm/dd/yyyy</v>
      </c>
      <c r="G122" s="2">
        <f>IF(Master[[#This Row],[Voucher Date]]="","",Master[[#This Row],[Voucher Date]])</f>
        <v>44061</v>
      </c>
      <c r="H122" s="17" t="str">
        <f>IF(Master[[#This Row],[Voucher Collector -name, organization]]="","",Master[[#This Row],[Voucher Collector -name, organization]])</f>
        <v>SOS Field Crew-Buffalo, WY:In Field:18 AUG 2020</v>
      </c>
      <c r="I122" s="7" t="str">
        <f>IF(Master[[#This Row],[Note (Voucher)]]="","",Master[[#This Row],[Note (Voucher)]])</f>
        <v/>
      </c>
    </row>
    <row r="123" spans="2:9" x14ac:dyDescent="0.25">
      <c r="B123" s="7" t="str">
        <f>Master[[#This Row],[Accession Prefix (NPGS)]]&amp;" "&amp;Master[[#This Row],[Accession Number -Assigned]]</f>
        <v>W6 59709</v>
      </c>
      <c r="C123" s="7" t="str">
        <f>Master[[#This Row],[Accession Prefix (NPGS)]]&amp;" "&amp;Master[[#This Row],[Accession Number -Assigned]]&amp;" "&amp;Master[[#This Row],[Inventory Suffix]]&amp;" "&amp;Master[[#This Row],[Inventory Type - Lookup Picker]]</f>
        <v>W6 59709  SD</v>
      </c>
      <c r="D123" s="7" t="str">
        <f>IF(Master[[#This Row],[Collector Voucher Number]]="","",Master[[#This Row],[Collector Voucher Number]])</f>
        <v>WY070-102</v>
      </c>
      <c r="E123" s="76" t="str">
        <f>IF(Master[[#This Row],[Voucher Location (2)]]="","",Master[[#This Row],[Voucher Location (2)]])</f>
        <v>Rocky Mountain Herbarium</v>
      </c>
      <c r="F123" s="7" t="str">
        <f t="shared" si="4"/>
        <v>mm/dd/yyyy</v>
      </c>
      <c r="G123" s="2">
        <f>IF(Master[[#This Row],[Voucher Date]]="","",Master[[#This Row],[Voucher Date]])</f>
        <v>44054</v>
      </c>
      <c r="H123" s="17" t="str">
        <f>IF(Master[[#This Row],[Voucher Collector -name, organization]]="","",Master[[#This Row],[Voucher Collector -name, organization]])</f>
        <v>SOS Field Crew-Buffalo, WY:In Field:11 AUG 2020</v>
      </c>
      <c r="I123" s="7" t="str">
        <f>IF(Master[[#This Row],[Note (Voucher)]]="","",Master[[#This Row],[Note (Voucher)]])</f>
        <v/>
      </c>
    </row>
    <row r="124" spans="2:9" x14ac:dyDescent="0.25">
      <c r="B124" s="7" t="str">
        <f>Master[[#This Row],[Accession Prefix (NPGS)]]&amp;" "&amp;Master[[#This Row],[Accession Number -Assigned]]</f>
        <v>W6 59710</v>
      </c>
      <c r="C124" s="7" t="str">
        <f>Master[[#This Row],[Accession Prefix (NPGS)]]&amp;" "&amp;Master[[#This Row],[Accession Number -Assigned]]&amp;" "&amp;Master[[#This Row],[Inventory Suffix]]&amp;" "&amp;Master[[#This Row],[Inventory Type - Lookup Picker]]</f>
        <v>W6 59710  SD</v>
      </c>
      <c r="D124" s="7" t="str">
        <f>IF(Master[[#This Row],[Collector Voucher Number]]="","",Master[[#This Row],[Collector Voucher Number]])</f>
        <v>WY070-103</v>
      </c>
      <c r="E124" s="76" t="str">
        <f>IF(Master[[#This Row],[Voucher Location (2)]]="","",Master[[#This Row],[Voucher Location (2)]])</f>
        <v>Rocky Mountain Herbarium</v>
      </c>
      <c r="F124" s="7" t="str">
        <f t="shared" si="4"/>
        <v>mm/dd/yyyy</v>
      </c>
      <c r="G124" s="2">
        <f>IF(Master[[#This Row],[Voucher Date]]="","",Master[[#This Row],[Voucher Date]])</f>
        <v>44068</v>
      </c>
      <c r="H124" s="17" t="str">
        <f>IF(Master[[#This Row],[Voucher Collector -name, organization]]="","",Master[[#This Row],[Voucher Collector -name, organization]])</f>
        <v>Buffalo SOS Field Crew:In Field:25 AUG 2020</v>
      </c>
      <c r="I124" s="7" t="str">
        <f>IF(Master[[#This Row],[Note (Voucher)]]="","",Master[[#This Row],[Note (Voucher)]])</f>
        <v/>
      </c>
    </row>
    <row r="125" spans="2:9" x14ac:dyDescent="0.25">
      <c r="B125" s="7" t="str">
        <f>Master[[#This Row],[Accession Prefix (NPGS)]]&amp;" "&amp;Master[[#This Row],[Accession Number -Assigned]]</f>
        <v>W6 59711</v>
      </c>
      <c r="C125" s="7" t="str">
        <f>Master[[#This Row],[Accession Prefix (NPGS)]]&amp;" "&amp;Master[[#This Row],[Accession Number -Assigned]]&amp;" "&amp;Master[[#This Row],[Inventory Suffix]]&amp;" "&amp;Master[[#This Row],[Inventory Type - Lookup Picker]]</f>
        <v>W6 59711  SD</v>
      </c>
      <c r="D125" s="7" t="str">
        <f>IF(Master[[#This Row],[Collector Voucher Number]]="","",Master[[#This Row],[Collector Voucher Number]])</f>
        <v>WY070-104</v>
      </c>
      <c r="E125" s="76" t="str">
        <f>IF(Master[[#This Row],[Voucher Location (2)]]="","",Master[[#This Row],[Voucher Location (2)]])</f>
        <v>Rocky Mountain Herbarium</v>
      </c>
      <c r="F125" s="7" t="str">
        <f t="shared" si="4"/>
        <v>mm/dd/yyyy</v>
      </c>
      <c r="G125" s="2">
        <f>IF(Master[[#This Row],[Voucher Date]]="","",Master[[#This Row],[Voucher Date]])</f>
        <v>44070</v>
      </c>
      <c r="H125" s="17" t="str">
        <f>IF(Master[[#This Row],[Voucher Collector -name, organization]]="","",Master[[#This Row],[Voucher Collector -name, organization]])</f>
        <v>Buffalo SOS Field Crew:In Field:27 AUG 2020</v>
      </c>
      <c r="I125" s="7" t="str">
        <f>IF(Master[[#This Row],[Note (Voucher)]]="","",Master[[#This Row],[Note (Voucher)]])</f>
        <v/>
      </c>
    </row>
    <row r="126" spans="2:9" x14ac:dyDescent="0.25">
      <c r="B126" s="7" t="str">
        <f>Master[[#This Row],[Accession Prefix (NPGS)]]&amp;" "&amp;Master[[#This Row],[Accession Number -Assigned]]</f>
        <v>W6 59712</v>
      </c>
      <c r="C126" s="7" t="str">
        <f>Master[[#This Row],[Accession Prefix (NPGS)]]&amp;" "&amp;Master[[#This Row],[Accession Number -Assigned]]&amp;" "&amp;Master[[#This Row],[Inventory Suffix]]&amp;" "&amp;Master[[#This Row],[Inventory Type - Lookup Picker]]</f>
        <v>W6 59712  SD</v>
      </c>
      <c r="D126" s="7" t="str">
        <f>IF(Master[[#This Row],[Collector Voucher Number]]="","",Master[[#This Row],[Collector Voucher Number]])</f>
        <v>WY070-105</v>
      </c>
      <c r="E126" s="76" t="str">
        <f>IF(Master[[#This Row],[Voucher Location (2)]]="","",Master[[#This Row],[Voucher Location (2)]])</f>
        <v>Rocky Mountain Herbarium</v>
      </c>
      <c r="F126" s="7" t="str">
        <f t="shared" si="4"/>
        <v>mm/dd/yyyy</v>
      </c>
      <c r="G126" s="2">
        <f>IF(Master[[#This Row],[Voucher Date]]="","",Master[[#This Row],[Voucher Date]])</f>
        <v>44068</v>
      </c>
      <c r="H126" s="17" t="str">
        <f>IF(Master[[#This Row],[Voucher Collector -name, organization]]="","",Master[[#This Row],[Voucher Collector -name, organization]])</f>
        <v>Buffalo SOS Field Crew:In Field:25 AUG 2020</v>
      </c>
      <c r="I126" s="7" t="str">
        <f>IF(Master[[#This Row],[Note (Voucher)]]="","",Master[[#This Row],[Note (Voucher)]])</f>
        <v/>
      </c>
    </row>
    <row r="127" spans="2:9" x14ac:dyDescent="0.25">
      <c r="B127" s="7" t="str">
        <f>Master[[#This Row],[Accession Prefix (NPGS)]]&amp;" "&amp;Master[[#This Row],[Accession Number -Assigned]]</f>
        <v>W6 59713</v>
      </c>
      <c r="C127" s="7" t="str">
        <f>Master[[#This Row],[Accession Prefix (NPGS)]]&amp;" "&amp;Master[[#This Row],[Accession Number -Assigned]]&amp;" "&amp;Master[[#This Row],[Inventory Suffix]]&amp;" "&amp;Master[[#This Row],[Inventory Type - Lookup Picker]]</f>
        <v>W6 59713  SD</v>
      </c>
      <c r="D127" s="7" t="str">
        <f>IF(Master[[#This Row],[Collector Voucher Number]]="","",Master[[#This Row],[Collector Voucher Number]])</f>
        <v>WY090-173</v>
      </c>
      <c r="E127" s="76" t="str">
        <f>IF(Master[[#This Row],[Voucher Location (2)]]="","",Master[[#This Row],[Voucher Location (2)]])</f>
        <v>Denver Botanic Gardens (KHD)</v>
      </c>
      <c r="F127" s="7" t="str">
        <f t="shared" si="4"/>
        <v>mm/dd/yyyy</v>
      </c>
      <c r="G127" s="2">
        <f>IF(Master[[#This Row],[Voucher Date]]="","",Master[[#This Row],[Voucher Date]])</f>
        <v>44047</v>
      </c>
      <c r="H127" s="17" t="str">
        <f>IF(Master[[#This Row],[Voucher Collector -name, organization]]="","",Master[[#This Row],[Voucher Collector -name, organization]])</f>
        <v>Boies, A., Grelecki, A.:In Field:03 AUG 2020</v>
      </c>
      <c r="I127" s="7" t="str">
        <f>IF(Master[[#This Row],[Note (Voucher)]]="","",Master[[#This Row],[Note (Voucher)]])</f>
        <v/>
      </c>
    </row>
    <row r="128" spans="2:9" x14ac:dyDescent="0.25">
      <c r="B128" s="7" t="str">
        <f>Master[[#This Row],[Accession Prefix (NPGS)]]&amp;" "&amp;Master[[#This Row],[Accession Number -Assigned]]</f>
        <v>W6 59714</v>
      </c>
      <c r="C128" s="7" t="str">
        <f>Master[[#This Row],[Accession Prefix (NPGS)]]&amp;" "&amp;Master[[#This Row],[Accession Number -Assigned]]&amp;" "&amp;Master[[#This Row],[Inventory Suffix]]&amp;" "&amp;Master[[#This Row],[Inventory Type - Lookup Picker]]</f>
        <v>W6 59714  SD</v>
      </c>
      <c r="D128" s="7" t="str">
        <f>IF(Master[[#This Row],[Collector Voucher Number]]="","",Master[[#This Row],[Collector Voucher Number]])</f>
        <v>WY090-175</v>
      </c>
      <c r="E128" s="76" t="str">
        <f>IF(Master[[#This Row],[Voucher Location (2)]]="","",Master[[#This Row],[Voucher Location (2)]])</f>
        <v>Denver Botanic Gardens (KHD)</v>
      </c>
      <c r="F128" s="7" t="str">
        <f t="shared" si="4"/>
        <v>mm/dd/yyyy</v>
      </c>
      <c r="G128" s="2">
        <f>IF(Master[[#This Row],[Voucher Date]]="","",Master[[#This Row],[Voucher Date]])</f>
        <v>44005</v>
      </c>
      <c r="H128" s="17" t="str">
        <f>IF(Master[[#This Row],[Voucher Collector -name, organization]]="","",Master[[#This Row],[Voucher Collector -name, organization]])</f>
        <v>Boies, A., Grelecki, A.:In Field:23 JUN 2020</v>
      </c>
      <c r="I128" s="7" t="str">
        <f>IF(Master[[#This Row],[Note (Voucher)]]="","",Master[[#This Row],[Note (Voucher)]])</f>
        <v/>
      </c>
    </row>
    <row r="129" spans="2:9" x14ac:dyDescent="0.25">
      <c r="B129" s="7" t="str">
        <f>Master[[#This Row],[Accession Prefix (NPGS)]]&amp;" "&amp;Master[[#This Row],[Accession Number -Assigned]]</f>
        <v>W6 59715</v>
      </c>
      <c r="C129" s="7" t="str">
        <f>Master[[#This Row],[Accession Prefix (NPGS)]]&amp;" "&amp;Master[[#This Row],[Accession Number -Assigned]]&amp;" "&amp;Master[[#This Row],[Inventory Suffix]]&amp;" "&amp;Master[[#This Row],[Inventory Type - Lookup Picker]]</f>
        <v>W6 59715  SD</v>
      </c>
      <c r="D129" s="7" t="str">
        <f>IF(Master[[#This Row],[Collector Voucher Number]]="","",Master[[#This Row],[Collector Voucher Number]])</f>
        <v>WY090-176</v>
      </c>
      <c r="E129" s="76" t="str">
        <f>IF(Master[[#This Row],[Voucher Location (2)]]="","",Master[[#This Row],[Voucher Location (2)]])</f>
        <v>Denver Botanic Gardens (KHD)</v>
      </c>
      <c r="F129" s="7" t="str">
        <f t="shared" si="4"/>
        <v>mm/dd/yyyy</v>
      </c>
      <c r="G129" s="2">
        <f>IF(Master[[#This Row],[Voucher Date]]="","",Master[[#This Row],[Voucher Date]])</f>
        <v>44055</v>
      </c>
      <c r="H129" s="17" t="str">
        <f>IF(Master[[#This Row],[Voucher Collector -name, organization]]="","",Master[[#This Row],[Voucher Collector -name, organization]])</f>
        <v>Boies, A., Grelecki, A.:In Field:12 AUG 2020</v>
      </c>
      <c r="I129" s="7" t="str">
        <f>IF(Master[[#This Row],[Note (Voucher)]]="","",Master[[#This Row],[Note (Voucher)]])</f>
        <v/>
      </c>
    </row>
    <row r="130" spans="2:9" x14ac:dyDescent="0.25">
      <c r="B130" s="7" t="str">
        <f>Master[[#This Row],[Accession Prefix (NPGS)]]&amp;" "&amp;Master[[#This Row],[Accession Number -Assigned]]</f>
        <v>W6 59716</v>
      </c>
      <c r="C130" s="7" t="str">
        <f>Master[[#This Row],[Accession Prefix (NPGS)]]&amp;" "&amp;Master[[#This Row],[Accession Number -Assigned]]&amp;" "&amp;Master[[#This Row],[Inventory Suffix]]&amp;" "&amp;Master[[#This Row],[Inventory Type - Lookup Picker]]</f>
        <v>W6 59716  SD</v>
      </c>
      <c r="D130" s="7" t="str">
        <f>IF(Master[[#This Row],[Collector Voucher Number]]="","",Master[[#This Row],[Collector Voucher Number]])</f>
        <v>WY090-178</v>
      </c>
      <c r="E130" s="76" t="str">
        <f>IF(Master[[#This Row],[Voucher Location (2)]]="","",Master[[#This Row],[Voucher Location (2)]])</f>
        <v>Denver Botanic Gardens (KHD)</v>
      </c>
      <c r="F130" s="7" t="str">
        <f t="shared" si="4"/>
        <v>mm/dd/yyyy</v>
      </c>
      <c r="G130" s="2">
        <f>IF(Master[[#This Row],[Voucher Date]]="","",Master[[#This Row],[Voucher Date]])</f>
        <v>44000</v>
      </c>
      <c r="H130" s="17" t="str">
        <f>IF(Master[[#This Row],[Voucher Collector -name, organization]]="","",Master[[#This Row],[Voucher Collector -name, organization]])</f>
        <v>Boies, A., Grelecki, A.:In Field:18 JUN 2020</v>
      </c>
      <c r="I130" s="7" t="str">
        <f>IF(Master[[#This Row],[Note (Voucher)]]="","",Master[[#This Row],[Note (Voucher)]])</f>
        <v/>
      </c>
    </row>
    <row r="131" spans="2:9" x14ac:dyDescent="0.25">
      <c r="B131" s="7" t="str">
        <f>Master[[#This Row],[Accession Prefix (NPGS)]]&amp;" "&amp;Master[[#This Row],[Accession Number -Assigned]]</f>
        <v>W6 59717</v>
      </c>
      <c r="C131" s="7" t="str">
        <f>Master[[#This Row],[Accession Prefix (NPGS)]]&amp;" "&amp;Master[[#This Row],[Accession Number -Assigned]]&amp;" "&amp;Master[[#This Row],[Inventory Suffix]]&amp;" "&amp;Master[[#This Row],[Inventory Type - Lookup Picker]]</f>
        <v>W6 59717  SD</v>
      </c>
      <c r="D131" s="7" t="str">
        <f>IF(Master[[#This Row],[Collector Voucher Number]]="","",Master[[#This Row],[Collector Voucher Number]])</f>
        <v>WY090-179</v>
      </c>
      <c r="E131" s="76" t="str">
        <f>IF(Master[[#This Row],[Voucher Location (2)]]="","",Master[[#This Row],[Voucher Location (2)]])</f>
        <v>Denver Botanic Gardens (KHD)</v>
      </c>
      <c r="F131" s="7" t="str">
        <f t="shared" si="4"/>
        <v>mm/dd/yyyy</v>
      </c>
      <c r="G131" s="2">
        <f>IF(Master[[#This Row],[Voucher Date]]="","",Master[[#This Row],[Voucher Date]])</f>
        <v>44046</v>
      </c>
      <c r="H131" s="17" t="str">
        <f>IF(Master[[#This Row],[Voucher Collector -name, organization]]="","",Master[[#This Row],[Voucher Collector -name, organization]])</f>
        <v>Boies, A., Grelecki, A.:In Field:03 AUG 2020</v>
      </c>
      <c r="I131" s="7" t="str">
        <f>IF(Master[[#This Row],[Note (Voucher)]]="","",Master[[#This Row],[Note (Voucher)]])</f>
        <v/>
      </c>
    </row>
    <row r="132" spans="2:9" x14ac:dyDescent="0.25">
      <c r="B132" s="7" t="str">
        <f>Master[[#This Row],[Accession Prefix (NPGS)]]&amp;" "&amp;Master[[#This Row],[Accession Number -Assigned]]</f>
        <v>W6 59718</v>
      </c>
      <c r="C132" s="7" t="str">
        <f>Master[[#This Row],[Accession Prefix (NPGS)]]&amp;" "&amp;Master[[#This Row],[Accession Number -Assigned]]&amp;" "&amp;Master[[#This Row],[Inventory Suffix]]&amp;" "&amp;Master[[#This Row],[Inventory Type - Lookup Picker]]</f>
        <v>W6 59718  SD</v>
      </c>
      <c r="D132" s="7" t="str">
        <f>IF(Master[[#This Row],[Collector Voucher Number]]="","",Master[[#This Row],[Collector Voucher Number]])</f>
        <v>WY090-180</v>
      </c>
      <c r="E132" s="76" t="str">
        <f>IF(Master[[#This Row],[Voucher Location (2)]]="","",Master[[#This Row],[Voucher Location (2)]])</f>
        <v>Denver Botanic Gardens (KHD)</v>
      </c>
      <c r="F132" s="7" t="str">
        <f t="shared" si="4"/>
        <v>mm/dd/yyyy</v>
      </c>
      <c r="G132" s="2">
        <f>IF(Master[[#This Row],[Voucher Date]]="","",Master[[#This Row],[Voucher Date]])</f>
        <v>44006</v>
      </c>
      <c r="H132" s="17" t="str">
        <f>IF(Master[[#This Row],[Voucher Collector -name, organization]]="","",Master[[#This Row],[Voucher Collector -name, organization]])</f>
        <v>Boies, A., Grelecki, A.:In Field:24 JUN 2020</v>
      </c>
      <c r="I132" s="7" t="str">
        <f>IF(Master[[#This Row],[Note (Voucher)]]="","",Master[[#This Row],[Note (Voucher)]])</f>
        <v/>
      </c>
    </row>
    <row r="133" spans="2:9" x14ac:dyDescent="0.25">
      <c r="B133" s="7" t="str">
        <f>Master[[#This Row],[Accession Prefix (NPGS)]]&amp;" "&amp;Master[[#This Row],[Accession Number -Assigned]]</f>
        <v>W6 59719</v>
      </c>
      <c r="C133" s="7" t="str">
        <f>Master[[#This Row],[Accession Prefix (NPGS)]]&amp;" "&amp;Master[[#This Row],[Accession Number -Assigned]]&amp;" "&amp;Master[[#This Row],[Inventory Suffix]]&amp;" "&amp;Master[[#This Row],[Inventory Type - Lookup Picker]]</f>
        <v>W6 59719  SD</v>
      </c>
      <c r="D133" s="7" t="str">
        <f>IF(Master[[#This Row],[Collector Voucher Number]]="","",Master[[#This Row],[Collector Voucher Number]])</f>
        <v>WY090-183</v>
      </c>
      <c r="E133" s="76" t="str">
        <f>IF(Master[[#This Row],[Voucher Location (2)]]="","",Master[[#This Row],[Voucher Location (2)]])</f>
        <v>Denver Botanic Gardens (KHD)</v>
      </c>
      <c r="F133" s="7" t="str">
        <f t="shared" si="4"/>
        <v>mm/dd/yyyy</v>
      </c>
      <c r="G133" s="2">
        <f>IF(Master[[#This Row],[Voucher Date]]="","",Master[[#This Row],[Voucher Date]])</f>
        <v>44046</v>
      </c>
      <c r="H133" s="17" t="str">
        <f>IF(Master[[#This Row],[Voucher Collector -name, organization]]="","",Master[[#This Row],[Voucher Collector -name, organization]])</f>
        <v>Boies, A., Grelecki, A.:In Field:17 JUN 2020</v>
      </c>
      <c r="I133" s="7" t="str">
        <f>IF(Master[[#This Row],[Note (Voucher)]]="","",Master[[#This Row],[Note (Voucher)]])</f>
        <v/>
      </c>
    </row>
    <row r="134" spans="2:9" x14ac:dyDescent="0.25">
      <c r="B134" s="7" t="str">
        <f>Master[[#This Row],[Accession Prefix (NPGS)]]&amp;" "&amp;Master[[#This Row],[Accession Number -Assigned]]</f>
        <v>W6 59720</v>
      </c>
      <c r="C134" s="7" t="str">
        <f>Master[[#This Row],[Accession Prefix (NPGS)]]&amp;" "&amp;Master[[#This Row],[Accession Number -Assigned]]&amp;" "&amp;Master[[#This Row],[Inventory Suffix]]&amp;" "&amp;Master[[#This Row],[Inventory Type - Lookup Picker]]</f>
        <v>W6 59720  SD</v>
      </c>
      <c r="D134" s="7" t="str">
        <f>IF(Master[[#This Row],[Collector Voucher Number]]="","",Master[[#This Row],[Collector Voucher Number]])</f>
        <v>WY090-184</v>
      </c>
      <c r="E134" s="76" t="str">
        <f>IF(Master[[#This Row],[Voucher Location (2)]]="","",Master[[#This Row],[Voucher Location (2)]])</f>
        <v>Denver Botanic Gardens (KHD)</v>
      </c>
      <c r="F134" s="7" t="str">
        <f t="shared" si="4"/>
        <v>mm/dd/yyyy</v>
      </c>
      <c r="G134" s="2">
        <f>IF(Master[[#This Row],[Voucher Date]]="","",Master[[#This Row],[Voucher Date]])</f>
        <v>44033</v>
      </c>
      <c r="H134" s="17" t="str">
        <f>IF(Master[[#This Row],[Voucher Collector -name, organization]]="","",Master[[#This Row],[Voucher Collector -name, organization]])</f>
        <v>Boies, A., Grelecki, A.:In Field:21 JUL 2020</v>
      </c>
      <c r="I134" s="7" t="str">
        <f>IF(Master[[#This Row],[Note (Voucher)]]="","",Master[[#This Row],[Note (Voucher)]])</f>
        <v/>
      </c>
    </row>
    <row r="135" spans="2:9" x14ac:dyDescent="0.25">
      <c r="B135" s="7" t="str">
        <f>Master[[#This Row],[Accession Prefix (NPGS)]]&amp;" "&amp;Master[[#This Row],[Accession Number -Assigned]]</f>
        <v>W6 59721</v>
      </c>
      <c r="C135" s="7" t="str">
        <f>Master[[#This Row],[Accession Prefix (NPGS)]]&amp;" "&amp;Master[[#This Row],[Accession Number -Assigned]]&amp;" "&amp;Master[[#This Row],[Inventory Suffix]]&amp;" "&amp;Master[[#This Row],[Inventory Type - Lookup Picker]]</f>
        <v>W6 59721  SD</v>
      </c>
      <c r="D135" s="7" t="str">
        <f>IF(Master[[#This Row],[Collector Voucher Number]]="","",Master[[#This Row],[Collector Voucher Number]])</f>
        <v>WY090-185</v>
      </c>
      <c r="E135" s="76" t="str">
        <f>IF(Master[[#This Row],[Voucher Location (2)]]="","",Master[[#This Row],[Voucher Location (2)]])</f>
        <v>Denver Botanic Gardens (KHD)</v>
      </c>
      <c r="F135" s="7" t="str">
        <f t="shared" si="4"/>
        <v>mm/dd/yyyy</v>
      </c>
      <c r="G135" s="2">
        <f>IF(Master[[#This Row],[Voucher Date]]="","",Master[[#This Row],[Voucher Date]])</f>
        <v>44046</v>
      </c>
      <c r="H135" s="17" t="str">
        <f>IF(Master[[#This Row],[Voucher Collector -name, organization]]="","",Master[[#This Row],[Voucher Collector -name, organization]])</f>
        <v>Boies, A., Grelecki, A.::03 AUG 2020</v>
      </c>
      <c r="I135" s="7" t="str">
        <f>IF(Master[[#This Row],[Note (Voucher)]]="","",Master[[#This Row],[Note (Voucher)]])</f>
        <v/>
      </c>
    </row>
    <row r="136" spans="2:9" x14ac:dyDescent="0.25">
      <c r="B136" s="7" t="str">
        <f>Master[[#This Row],[Accession Prefix (NPGS)]]&amp;" "&amp;Master[[#This Row],[Accession Number -Assigned]]</f>
        <v>W6 59722</v>
      </c>
      <c r="C136" s="7" t="str">
        <f>Master[[#This Row],[Accession Prefix (NPGS)]]&amp;" "&amp;Master[[#This Row],[Accession Number -Assigned]]&amp;" "&amp;Master[[#This Row],[Inventory Suffix]]&amp;" "&amp;Master[[#This Row],[Inventory Type - Lookup Picker]]</f>
        <v>W6 59722  SD</v>
      </c>
      <c r="D136" s="7" t="str">
        <f>IF(Master[[#This Row],[Collector Voucher Number]]="","",Master[[#This Row],[Collector Voucher Number]])</f>
        <v>WY090-186</v>
      </c>
      <c r="E136" s="76" t="str">
        <f>IF(Master[[#This Row],[Voucher Location (2)]]="","",Master[[#This Row],[Voucher Location (2)]])</f>
        <v/>
      </c>
      <c r="F136" s="7" t="str">
        <f t="shared" si="4"/>
        <v>mm/dd/yyyy</v>
      </c>
      <c r="G136" s="2" t="str">
        <f>IF(Master[[#This Row],[Voucher Date]]="","",Master[[#This Row],[Voucher Date]])</f>
        <v/>
      </c>
      <c r="H136" s="17" t="str">
        <f>IF(Master[[#This Row],[Voucher Collector -name, organization]]="","",Master[[#This Row],[Voucher Collector -name, organization]])</f>
        <v>Boies, A., Grelecki, A.:In Field:21 JUL 2020</v>
      </c>
      <c r="I136" s="7" t="str">
        <f>IF(Master[[#This Row],[Note (Voucher)]]="","",Master[[#This Row],[Note (Voucher)]])</f>
        <v/>
      </c>
    </row>
    <row r="137" spans="2:9" x14ac:dyDescent="0.25">
      <c r="B137" s="7" t="str">
        <f>Master[[#This Row],[Accession Prefix (NPGS)]]&amp;" "&amp;Master[[#This Row],[Accession Number -Assigned]]</f>
        <v>W6 59723</v>
      </c>
      <c r="C137" s="7" t="str">
        <f>Master[[#This Row],[Accession Prefix (NPGS)]]&amp;" "&amp;Master[[#This Row],[Accession Number -Assigned]]&amp;" "&amp;Master[[#This Row],[Inventory Suffix]]&amp;" "&amp;Master[[#This Row],[Inventory Type - Lookup Picker]]</f>
        <v>W6 59723  SD</v>
      </c>
      <c r="D137" s="7" t="str">
        <f>IF(Master[[#This Row],[Collector Voucher Number]]="","",Master[[#This Row],[Collector Voucher Number]])</f>
        <v>WY090-187</v>
      </c>
      <c r="E137" s="76" t="str">
        <f>IF(Master[[#This Row],[Voucher Location (2)]]="","",Master[[#This Row],[Voucher Location (2)]])</f>
        <v/>
      </c>
      <c r="F137" s="7" t="str">
        <f t="shared" si="4"/>
        <v>mm/dd/yyyy</v>
      </c>
      <c r="G137" s="2" t="str">
        <f>IF(Master[[#This Row],[Voucher Date]]="","",Master[[#This Row],[Voucher Date]])</f>
        <v/>
      </c>
      <c r="H137" s="17" t="str">
        <f>IF(Master[[#This Row],[Voucher Collector -name, organization]]="","",Master[[#This Row],[Voucher Collector -name, organization]])</f>
        <v>Boies, A., Grelecki, A.:In Field:20 AUG 2020</v>
      </c>
      <c r="I137" s="7" t="str">
        <f>IF(Master[[#This Row],[Note (Voucher)]]="","",Master[[#This Row],[Note (Voucher)]])</f>
        <v/>
      </c>
    </row>
    <row r="138" spans="2:9" x14ac:dyDescent="0.25">
      <c r="B138" s="7" t="str">
        <f>Master[[#This Row],[Accession Prefix (NPGS)]]&amp;" "&amp;Master[[#This Row],[Accession Number -Assigned]]</f>
        <v>W6 59724</v>
      </c>
      <c r="C138" s="7" t="str">
        <f>Master[[#This Row],[Accession Prefix (NPGS)]]&amp;" "&amp;Master[[#This Row],[Accession Number -Assigned]]&amp;" "&amp;Master[[#This Row],[Inventory Suffix]]&amp;" "&amp;Master[[#This Row],[Inventory Type - Lookup Picker]]</f>
        <v>W6 59724  SD</v>
      </c>
      <c r="D138" s="7" t="str">
        <f>IF(Master[[#This Row],[Collector Voucher Number]]="","",Master[[#This Row],[Collector Voucher Number]])</f>
        <v>WY090-188</v>
      </c>
      <c r="E138" s="76" t="str">
        <f>IF(Master[[#This Row],[Voucher Location (2)]]="","",Master[[#This Row],[Voucher Location (2)]])</f>
        <v/>
      </c>
      <c r="F138" s="7" t="str">
        <f t="shared" si="4"/>
        <v>mm/dd/yyyy</v>
      </c>
      <c r="G138" s="2" t="str">
        <f>IF(Master[[#This Row],[Voucher Date]]="","",Master[[#This Row],[Voucher Date]])</f>
        <v/>
      </c>
      <c r="H138" s="17" t="str">
        <f>IF(Master[[#This Row],[Voucher Collector -name, organization]]="","",Master[[#This Row],[Voucher Collector -name, organization]])</f>
        <v>Boies, A., Grelecki, A.:In Field:09 JUL 2020</v>
      </c>
      <c r="I138" s="7" t="str">
        <f>IF(Master[[#This Row],[Note (Voucher)]]="","",Master[[#This Row],[Note (Voucher)]])</f>
        <v/>
      </c>
    </row>
    <row r="139" spans="2:9" x14ac:dyDescent="0.25">
      <c r="B139" s="7" t="str">
        <f>Master[[#This Row],[Accession Prefix (NPGS)]]&amp;" "&amp;Master[[#This Row],[Accession Number -Assigned]]</f>
        <v>W6 59725</v>
      </c>
      <c r="C139" s="7" t="str">
        <f>Master[[#This Row],[Accession Prefix (NPGS)]]&amp;" "&amp;Master[[#This Row],[Accession Number -Assigned]]&amp;" "&amp;Master[[#This Row],[Inventory Suffix]]&amp;" "&amp;Master[[#This Row],[Inventory Type - Lookup Picker]]</f>
        <v>W6 59725  SD</v>
      </c>
      <c r="D139" s="7" t="str">
        <f>IF(Master[[#This Row],[Collector Voucher Number]]="","",Master[[#This Row],[Collector Voucher Number]])</f>
        <v>WY090-189</v>
      </c>
      <c r="E139" s="76" t="str">
        <f>IF(Master[[#This Row],[Voucher Location (2)]]="","",Master[[#This Row],[Voucher Location (2)]])</f>
        <v/>
      </c>
      <c r="F139" s="7" t="str">
        <f t="shared" si="4"/>
        <v>mm/dd/yyyy</v>
      </c>
      <c r="G139" s="2" t="str">
        <f>IF(Master[[#This Row],[Voucher Date]]="","",Master[[#This Row],[Voucher Date]])</f>
        <v/>
      </c>
      <c r="H139" s="17" t="str">
        <f>IF(Master[[#This Row],[Voucher Collector -name, organization]]="","",Master[[#This Row],[Voucher Collector -name, organization]])</f>
        <v>Boies, A., Grelecki, A.:In Field:09 JUL 2020</v>
      </c>
      <c r="I139" s="7" t="str">
        <f>IF(Master[[#This Row],[Note (Voucher)]]="","",Master[[#This Row],[Note (Voucher)]])</f>
        <v/>
      </c>
    </row>
    <row r="140" spans="2:9" x14ac:dyDescent="0.25">
      <c r="B140" s="7" t="str">
        <f>Master[[#This Row],[Accession Prefix (NPGS)]]&amp;" "&amp;Master[[#This Row],[Accession Number -Assigned]]</f>
        <v>W6 59726</v>
      </c>
      <c r="C140" s="7" t="str">
        <f>Master[[#This Row],[Accession Prefix (NPGS)]]&amp;" "&amp;Master[[#This Row],[Accession Number -Assigned]]&amp;" "&amp;Master[[#This Row],[Inventory Suffix]]&amp;" "&amp;Master[[#This Row],[Inventory Type - Lookup Picker]]</f>
        <v>W6 59726  SD</v>
      </c>
      <c r="D140" s="7" t="str">
        <f>IF(Master[[#This Row],[Collector Voucher Number]]="","",Master[[#This Row],[Collector Voucher Number]])</f>
        <v>WY090-190</v>
      </c>
      <c r="E140" s="76" t="str">
        <f>IF(Master[[#This Row],[Voucher Location (2)]]="","",Master[[#This Row],[Voucher Location (2)]])</f>
        <v/>
      </c>
      <c r="F140" s="7" t="str">
        <f t="shared" si="4"/>
        <v>mm/dd/yyyy</v>
      </c>
      <c r="G140" s="2" t="str">
        <f>IF(Master[[#This Row],[Voucher Date]]="","",Master[[#This Row],[Voucher Date]])</f>
        <v/>
      </c>
      <c r="H140" s="17" t="str">
        <f>IF(Master[[#This Row],[Voucher Collector -name, organization]]="","",Master[[#This Row],[Voucher Collector -name, organization]])</f>
        <v>Boies, A., Grelecki, A.:In Field:17 SEP 2020</v>
      </c>
      <c r="I140" s="7" t="str">
        <f>IF(Master[[#This Row],[Note (Voucher)]]="","",Master[[#This Row],[Note (Voucher)]])</f>
        <v/>
      </c>
    </row>
    <row r="141" spans="2:9" x14ac:dyDescent="0.25">
      <c r="B141" s="7" t="str">
        <f>Master[[#This Row],[Accession Prefix (NPGS)]]&amp;" "&amp;Master[[#This Row],[Accession Number -Assigned]]</f>
        <v>W6 59727</v>
      </c>
      <c r="C141" s="7" t="str">
        <f>Master[[#This Row],[Accession Prefix (NPGS)]]&amp;" "&amp;Master[[#This Row],[Accession Number -Assigned]]&amp;" "&amp;Master[[#This Row],[Inventory Suffix]]&amp;" "&amp;Master[[#This Row],[Inventory Type - Lookup Picker]]</f>
        <v>W6 59727  SD</v>
      </c>
      <c r="D141" s="7" t="str">
        <f>IF(Master[[#This Row],[Collector Voucher Number]]="","",Master[[#This Row],[Collector Voucher Number]])</f>
        <v>WY090-191</v>
      </c>
      <c r="E141" s="76" t="str">
        <f>IF(Master[[#This Row],[Voucher Location (2)]]="","",Master[[#This Row],[Voucher Location (2)]])</f>
        <v/>
      </c>
      <c r="F141" s="7" t="str">
        <f t="shared" si="4"/>
        <v>mm/dd/yyyy</v>
      </c>
      <c r="G141" s="2" t="str">
        <f>IF(Master[[#This Row],[Voucher Date]]="","",Master[[#This Row],[Voucher Date]])</f>
        <v/>
      </c>
      <c r="H141" s="17" t="str">
        <f>IF(Master[[#This Row],[Voucher Collector -name, organization]]="","",Master[[#This Row],[Voucher Collector -name, organization]])</f>
        <v>Boies, A., Grelecki, A.:In Field:17 SEP 2020</v>
      </c>
      <c r="I141" s="7" t="str">
        <f>IF(Master[[#This Row],[Note (Voucher)]]="","",Master[[#This Row],[Note (Voucher)]])</f>
        <v/>
      </c>
    </row>
    <row r="142" spans="2:9" x14ac:dyDescent="0.25">
      <c r="B142" s="7" t="str">
        <f>Master[[#This Row],[Accession Prefix (NPGS)]]&amp;" "&amp;Master[[#This Row],[Accession Number -Assigned]]</f>
        <v>W6 59728</v>
      </c>
      <c r="C142" s="7" t="str">
        <f>Master[[#This Row],[Accession Prefix (NPGS)]]&amp;" "&amp;Master[[#This Row],[Accession Number -Assigned]]&amp;" "&amp;Master[[#This Row],[Inventory Suffix]]&amp;" "&amp;Master[[#This Row],[Inventory Type - Lookup Picker]]</f>
        <v>W6 59728  SD</v>
      </c>
      <c r="D142" s="7" t="str">
        <f>IF(Master[[#This Row],[Collector Voucher Number]]="","",Master[[#This Row],[Collector Voucher Number]])</f>
        <v>WY090-192</v>
      </c>
      <c r="E142" s="76" t="str">
        <f>IF(Master[[#This Row],[Voucher Location (2)]]="","",Master[[#This Row],[Voucher Location (2)]])</f>
        <v/>
      </c>
      <c r="F142" s="7" t="str">
        <f t="shared" si="4"/>
        <v>mm/dd/yyyy</v>
      </c>
      <c r="G142" s="2" t="str">
        <f>IF(Master[[#This Row],[Voucher Date]]="","",Master[[#This Row],[Voucher Date]])</f>
        <v/>
      </c>
      <c r="H142" s="17" t="str">
        <f>IF(Master[[#This Row],[Voucher Collector -name, organization]]="","",Master[[#This Row],[Voucher Collector -name, organization]])</f>
        <v>Boies, A., Grelecki, A.:In Field:10 SEP 2020</v>
      </c>
      <c r="I142" s="7" t="str">
        <f>IF(Master[[#This Row],[Note (Voucher)]]="","",Master[[#This Row],[Note (Voucher)]])</f>
        <v/>
      </c>
    </row>
    <row r="143" spans="2:9" x14ac:dyDescent="0.25">
      <c r="B143" s="7" t="str">
        <f>Master[[#This Row],[Accession Prefix (NPGS)]]&amp;" "&amp;Master[[#This Row],[Accession Number -Assigned]]</f>
        <v>W6 59729</v>
      </c>
      <c r="C143" s="7" t="str">
        <f>Master[[#This Row],[Accession Prefix (NPGS)]]&amp;" "&amp;Master[[#This Row],[Accession Number -Assigned]]&amp;" "&amp;Master[[#This Row],[Inventory Suffix]]&amp;" "&amp;Master[[#This Row],[Inventory Type - Lookup Picker]]</f>
        <v>W6 59729  SD</v>
      </c>
      <c r="D143" s="7" t="str">
        <f>IF(Master[[#This Row],[Collector Voucher Number]]="","",Master[[#This Row],[Collector Voucher Number]])</f>
        <v>WY090-193</v>
      </c>
      <c r="E143" s="76" t="str">
        <f>IF(Master[[#This Row],[Voucher Location (2)]]="","",Master[[#This Row],[Voucher Location (2)]])</f>
        <v/>
      </c>
      <c r="F143" s="7" t="str">
        <f t="shared" si="4"/>
        <v>mm/dd/yyyy</v>
      </c>
      <c r="G143" s="2" t="str">
        <f>IF(Master[[#This Row],[Voucher Date]]="","",Master[[#This Row],[Voucher Date]])</f>
        <v/>
      </c>
      <c r="H143" s="17" t="str">
        <f>IF(Master[[#This Row],[Voucher Collector -name, organization]]="","",Master[[#This Row],[Voucher Collector -name, organization]])</f>
        <v>Boies, A., Grelecki, A.:From pressed specimen on day of collection:22 SEP 2020</v>
      </c>
      <c r="I143" s="7" t="str">
        <f>IF(Master[[#This Row],[Note (Voucher)]]="","",Master[[#This Row],[Note (Voucher)]])</f>
        <v/>
      </c>
    </row>
    <row r="144" spans="2:9" x14ac:dyDescent="0.25">
      <c r="B144" s="7" t="str">
        <f>Master[[#This Row],[Accession Prefix (NPGS)]]&amp;" "&amp;Master[[#This Row],[Accession Number -Assigned]]</f>
        <v>W6 59730</v>
      </c>
      <c r="C144" s="7" t="str">
        <f>Master[[#This Row],[Accession Prefix (NPGS)]]&amp;" "&amp;Master[[#This Row],[Accession Number -Assigned]]&amp;" "&amp;Master[[#This Row],[Inventory Suffix]]&amp;" "&amp;Master[[#This Row],[Inventory Type - Lookup Picker]]</f>
        <v>W6 59730  SD</v>
      </c>
      <c r="D144" s="7" t="str">
        <f>IF(Master[[#This Row],[Collector Voucher Number]]="","",Master[[#This Row],[Collector Voucher Number]])</f>
        <v>WY090-194</v>
      </c>
      <c r="E144" s="76" t="str">
        <f>IF(Master[[#This Row],[Voucher Location (2)]]="","",Master[[#This Row],[Voucher Location (2)]])</f>
        <v/>
      </c>
      <c r="F144" s="7" t="str">
        <f t="shared" si="4"/>
        <v>mm/dd/yyyy</v>
      </c>
      <c r="G144" s="2" t="str">
        <f>IF(Master[[#This Row],[Voucher Date]]="","",Master[[#This Row],[Voucher Date]])</f>
        <v/>
      </c>
      <c r="H144" s="17" t="str">
        <f>IF(Master[[#This Row],[Voucher Collector -name, organization]]="","",Master[[#This Row],[Voucher Collector -name, organization]])</f>
        <v>Boies, A., Grelecki, A.:In Field:23 SEP 2020</v>
      </c>
      <c r="I144" s="7" t="str">
        <f>IF(Master[[#This Row],[Note (Voucher)]]="","",Master[[#This Row],[Note (Voucher)]])</f>
        <v/>
      </c>
    </row>
    <row r="145" spans="2:9" x14ac:dyDescent="0.25">
      <c r="B145" s="7" t="str">
        <f>Master[[#This Row],[Accession Prefix (NPGS)]]&amp;" "&amp;Master[[#This Row],[Accession Number -Assigned]]</f>
        <v>W6 59731</v>
      </c>
      <c r="C145" s="7" t="str">
        <f>Master[[#This Row],[Accession Prefix (NPGS)]]&amp;" "&amp;Master[[#This Row],[Accession Number -Assigned]]&amp;" "&amp;Master[[#This Row],[Inventory Suffix]]&amp;" "&amp;Master[[#This Row],[Inventory Type - Lookup Picker]]</f>
        <v>W6 59731  SD</v>
      </c>
      <c r="D145" s="7" t="str">
        <f>IF(Master[[#This Row],[Collector Voucher Number]]="","",Master[[#This Row],[Collector Voucher Number]])</f>
        <v>WY090-196</v>
      </c>
      <c r="E145" s="76" t="str">
        <f>IF(Master[[#This Row],[Voucher Location (2)]]="","",Master[[#This Row],[Voucher Location (2)]])</f>
        <v/>
      </c>
      <c r="F145" s="7" t="str">
        <f t="shared" si="4"/>
        <v>mm/dd/yyyy</v>
      </c>
      <c r="G145" s="2" t="str">
        <f>IF(Master[[#This Row],[Voucher Date]]="","",Master[[#This Row],[Voucher Date]])</f>
        <v/>
      </c>
      <c r="H145" s="17" t="str">
        <f>IF(Master[[#This Row],[Voucher Collector -name, organization]]="","",Master[[#This Row],[Voucher Collector -name, organization]])</f>
        <v>Boies, A., Grelecki, A.:In Field:23 SEP 2020</v>
      </c>
      <c r="I145" s="7" t="str">
        <f>IF(Master[[#This Row],[Note (Voucher)]]="","",Master[[#This Row],[Note (Voucher)]])</f>
        <v/>
      </c>
    </row>
    <row r="146" spans="2:9" x14ac:dyDescent="0.25">
      <c r="B146" s="7" t="str">
        <f>Master[[#This Row],[Accession Prefix (NPGS)]]&amp;" "&amp;Master[[#This Row],[Accession Number -Assigned]]</f>
        <v>W6 59732</v>
      </c>
      <c r="C146" s="7" t="str">
        <f>Master[[#This Row],[Accession Prefix (NPGS)]]&amp;" "&amp;Master[[#This Row],[Accession Number -Assigned]]&amp;" "&amp;Master[[#This Row],[Inventory Suffix]]&amp;" "&amp;Master[[#This Row],[Inventory Type - Lookup Picker]]</f>
        <v>W6 59732  SD</v>
      </c>
      <c r="D146" s="7" t="str">
        <f>IF(Master[[#This Row],[Collector Voucher Number]]="","",Master[[#This Row],[Collector Voucher Number]])</f>
        <v>WY090-197</v>
      </c>
      <c r="E146" s="76" t="str">
        <f>IF(Master[[#This Row],[Voucher Location (2)]]="","",Master[[#This Row],[Voucher Location (2)]])</f>
        <v/>
      </c>
      <c r="F146" s="7" t="str">
        <f t="shared" si="4"/>
        <v>mm/dd/yyyy</v>
      </c>
      <c r="G146" s="2" t="str">
        <f>IF(Master[[#This Row],[Voucher Date]]="","",Master[[#This Row],[Voucher Date]])</f>
        <v/>
      </c>
      <c r="H146" s="17" t="str">
        <f>IF(Master[[#This Row],[Voucher Collector -name, organization]]="","",Master[[#This Row],[Voucher Collector -name, organization]])</f>
        <v>Boies, A., Grelecki, A.:In Field:02 OCT 2020</v>
      </c>
      <c r="I146" s="7" t="str">
        <f>IF(Master[[#This Row],[Note (Voucher)]]="","",Master[[#This Row],[Note (Voucher)]])</f>
        <v/>
      </c>
    </row>
    <row r="147" spans="2:9" x14ac:dyDescent="0.25">
      <c r="B147" s="7" t="str">
        <f>Master[[#This Row],[Accession Prefix (NPGS)]]&amp;" "&amp;Master[[#This Row],[Accession Number -Assigned]]</f>
        <v>W6 59733</v>
      </c>
      <c r="C147" s="7" t="str">
        <f>Master[[#This Row],[Accession Prefix (NPGS)]]&amp;" "&amp;Master[[#This Row],[Accession Number -Assigned]]&amp;" "&amp;Master[[#This Row],[Inventory Suffix]]&amp;" "&amp;Master[[#This Row],[Inventory Type - Lookup Picker]]</f>
        <v>W6 59733  SD</v>
      </c>
      <c r="D147" s="7" t="str">
        <f>IF(Master[[#This Row],[Collector Voucher Number]]="","",Master[[#This Row],[Collector Voucher Number]])</f>
        <v>WY090-198</v>
      </c>
      <c r="E147" s="76" t="str">
        <f>IF(Master[[#This Row],[Voucher Location (2)]]="","",Master[[#This Row],[Voucher Location (2)]])</f>
        <v/>
      </c>
      <c r="F147" s="7" t="str">
        <f t="shared" si="4"/>
        <v>mm/dd/yyyy</v>
      </c>
      <c r="G147" s="2" t="str">
        <f>IF(Master[[#This Row],[Voucher Date]]="","",Master[[#This Row],[Voucher Date]])</f>
        <v/>
      </c>
      <c r="H147" s="17" t="str">
        <f>IF(Master[[#This Row],[Voucher Collector -name, organization]]="","",Master[[#This Row],[Voucher Collector -name, organization]])</f>
        <v>Boies, A., Grelecki, A.:In Field:05 OCT 2020</v>
      </c>
      <c r="I147" s="7" t="str">
        <f>IF(Master[[#This Row],[Note (Voucher)]]="","",Master[[#This Row],[Note (Voucher)]])</f>
        <v/>
      </c>
    </row>
    <row r="148" spans="2:9" x14ac:dyDescent="0.25">
      <c r="B148" s="7" t="str">
        <f>Master[[#This Row],[Accession Prefix (NPGS)]]&amp;" "&amp;Master[[#This Row],[Accession Number -Assigned]]</f>
        <v>W6 59734</v>
      </c>
      <c r="C148" s="7" t="str">
        <f>Master[[#This Row],[Accession Prefix (NPGS)]]&amp;" "&amp;Master[[#This Row],[Accession Number -Assigned]]&amp;" "&amp;Master[[#This Row],[Inventory Suffix]]&amp;" "&amp;Master[[#This Row],[Inventory Type - Lookup Picker]]</f>
        <v>W6 59734  SD</v>
      </c>
      <c r="D148" s="7" t="str">
        <f>IF(Master[[#This Row],[Collector Voucher Number]]="","",Master[[#This Row],[Collector Voucher Number]])</f>
        <v>WY090-199</v>
      </c>
      <c r="E148" s="76" t="str">
        <f>IF(Master[[#This Row],[Voucher Location (2)]]="","",Master[[#This Row],[Voucher Location (2)]])</f>
        <v/>
      </c>
      <c r="F148" s="7" t="str">
        <f t="shared" si="4"/>
        <v>mm/dd/yyyy</v>
      </c>
      <c r="G148" s="2" t="str">
        <f>IF(Master[[#This Row],[Voucher Date]]="","",Master[[#This Row],[Voucher Date]])</f>
        <v/>
      </c>
      <c r="H148" s="17" t="str">
        <f>IF(Master[[#This Row],[Voucher Collector -name, organization]]="","",Master[[#This Row],[Voucher Collector -name, organization]])</f>
        <v>Boies, A., Grelecki, A.:In Field:05 OCT 2020</v>
      </c>
      <c r="I148" s="7" t="str">
        <f>IF(Master[[#This Row],[Note (Voucher)]]="","",Master[[#This Row],[Note (Voucher)]])</f>
        <v/>
      </c>
    </row>
    <row r="149" spans="2:9" x14ac:dyDescent="0.25">
      <c r="B149" s="7" t="str">
        <f>Master[[#This Row],[Accession Prefix (NPGS)]]&amp;" "&amp;Master[[#This Row],[Accession Number -Assigned]]</f>
        <v>W6 59735</v>
      </c>
      <c r="C149" s="7" t="str">
        <f>Master[[#This Row],[Accession Prefix (NPGS)]]&amp;" "&amp;Master[[#This Row],[Accession Number -Assigned]]&amp;" "&amp;Master[[#This Row],[Inventory Suffix]]&amp;" "&amp;Master[[#This Row],[Inventory Type - Lookup Picker]]</f>
        <v>W6 59735  SD</v>
      </c>
      <c r="D149" s="7" t="str">
        <f>IF(Master[[#This Row],[Collector Voucher Number]]="","",Master[[#This Row],[Collector Voucher Number]])</f>
        <v>WY090-200</v>
      </c>
      <c r="E149" s="76" t="str">
        <f>IF(Master[[#This Row],[Voucher Location (2)]]="","",Master[[#This Row],[Voucher Location (2)]])</f>
        <v/>
      </c>
      <c r="F149" s="7" t="str">
        <f t="shared" si="4"/>
        <v>mm/dd/yyyy</v>
      </c>
      <c r="G149" s="2" t="str">
        <f>IF(Master[[#This Row],[Voucher Date]]="","",Master[[#This Row],[Voucher Date]])</f>
        <v/>
      </c>
      <c r="H149" s="17" t="str">
        <f>IF(Master[[#This Row],[Voucher Collector -name, organization]]="","",Master[[#This Row],[Voucher Collector -name, organization]])</f>
        <v>Boies, A., Grelecki, A.:From pressed specimen on day of collection:07 JUL 2020</v>
      </c>
      <c r="I149" s="7" t="str">
        <f>IF(Master[[#This Row],[Note (Voucher)]]="","",Master[[#This Row],[Note (Voucher)]])</f>
        <v/>
      </c>
    </row>
    <row r="150" spans="2:9" x14ac:dyDescent="0.25">
      <c r="B150" s="7" t="str">
        <f>Master[[#This Row],[Accession Prefix (NPGS)]]&amp;" "&amp;Master[[#This Row],[Accession Number -Assigned]]</f>
        <v>W6 59736</v>
      </c>
      <c r="C150" s="7" t="str">
        <f>Master[[#This Row],[Accession Prefix (NPGS)]]&amp;" "&amp;Master[[#This Row],[Accession Number -Assigned]]&amp;" "&amp;Master[[#This Row],[Inventory Suffix]]&amp;" "&amp;Master[[#This Row],[Inventory Type - Lookup Picker]]</f>
        <v>W6 59736  SD</v>
      </c>
      <c r="D150" s="7" t="str">
        <f>IF(Master[[#This Row],[Collector Voucher Number]]="","",Master[[#This Row],[Collector Voucher Number]])</f>
        <v>WY090-201</v>
      </c>
      <c r="E150" s="76" t="str">
        <f>IF(Master[[#This Row],[Voucher Location (2)]]="","",Master[[#This Row],[Voucher Location (2)]])</f>
        <v/>
      </c>
      <c r="F150" s="7" t="str">
        <f t="shared" ref="F150:F181" si="5">"mm/dd/yyyy"</f>
        <v>mm/dd/yyyy</v>
      </c>
      <c r="G150" s="2" t="str">
        <f>IF(Master[[#This Row],[Voucher Date]]="","",Master[[#This Row],[Voucher Date]])</f>
        <v/>
      </c>
      <c r="H150" s="17" t="str">
        <f>IF(Master[[#This Row],[Voucher Collector -name, organization]]="","",Master[[#This Row],[Voucher Collector -name, organization]])</f>
        <v>Boies, A., Grelecki, A.:In Field:07 OCT 2020</v>
      </c>
      <c r="I150" s="7" t="str">
        <f>IF(Master[[#This Row],[Note (Voucher)]]="","",Master[[#This Row],[Note (Voucher)]])</f>
        <v/>
      </c>
    </row>
    <row r="151" spans="2:9" x14ac:dyDescent="0.25">
      <c r="B151" s="7" t="str">
        <f>Master[[#This Row],[Accession Prefix (NPGS)]]&amp;" "&amp;Master[[#This Row],[Accession Number -Assigned]]</f>
        <v>W6 59737</v>
      </c>
      <c r="C151" s="7" t="str">
        <f>Master[[#This Row],[Accession Prefix (NPGS)]]&amp;" "&amp;Master[[#This Row],[Accession Number -Assigned]]&amp;" "&amp;Master[[#This Row],[Inventory Suffix]]&amp;" "&amp;Master[[#This Row],[Inventory Type - Lookup Picker]]</f>
        <v>W6 59737  SD</v>
      </c>
      <c r="D151" s="7" t="str">
        <f>IF(Master[[#This Row],[Collector Voucher Number]]="","",Master[[#This Row],[Collector Voucher Number]])</f>
        <v>WY090-202</v>
      </c>
      <c r="E151" s="76" t="str">
        <f>IF(Master[[#This Row],[Voucher Location (2)]]="","",Master[[#This Row],[Voucher Location (2)]])</f>
        <v>Denver Botanic Gardens (KHD)</v>
      </c>
      <c r="F151" s="7" t="str">
        <f t="shared" si="5"/>
        <v>mm/dd/yyyy</v>
      </c>
      <c r="G151" s="2">
        <f>IF(Master[[#This Row],[Voucher Date]]="","",Master[[#This Row],[Voucher Date]])</f>
        <v>44000</v>
      </c>
      <c r="H151" s="17" t="str">
        <f>IF(Master[[#This Row],[Voucher Collector -name, organization]]="","",Master[[#This Row],[Voucher Collector -name, organization]])</f>
        <v>Boies, A., Grelecki, A.:In Field:18 JUN 2020</v>
      </c>
      <c r="I151" s="7" t="str">
        <f>IF(Master[[#This Row],[Note (Voucher)]]="","",Master[[#This Row],[Note (Voucher)]])</f>
        <v/>
      </c>
    </row>
    <row r="152" spans="2:9" x14ac:dyDescent="0.2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76" t="str">
        <f>IF(Master[[#This Row],[Voucher Location (2)]]="","",Master[[#This Row],[Voucher Location (2)]])</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2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76" t="str">
        <f>IF(Master[[#This Row],[Voucher Location (2)]]="","",Master[[#This Row],[Voucher Location (2)]])</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2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76" t="str">
        <f>IF(Master[[#This Row],[Voucher Location (2)]]="","",Master[[#This Row],[Voucher Location (2)]])</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2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76" t="str">
        <f>IF(Master[[#This Row],[Voucher Location (2)]]="","",Master[[#This Row],[Voucher Location (2)]])</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2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76" t="str">
        <f>IF(Master[[#This Row],[Voucher Location (2)]]="","",Master[[#This Row],[Voucher Location (2)]])</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2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76" t="str">
        <f>IF(Master[[#This Row],[Voucher Location (2)]]="","",Master[[#This Row],[Voucher Location (2)]])</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2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76" t="str">
        <f>IF(Master[[#This Row],[Voucher Location (2)]]="","",Master[[#This Row],[Voucher Location (2)]])</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2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76" t="str">
        <f>IF(Master[[#This Row],[Voucher Location (2)]]="","",Master[[#This Row],[Voucher Location (2)]])</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2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76" t="str">
        <f>IF(Master[[#This Row],[Voucher Location (2)]]="","",Master[[#This Row],[Voucher Location (2)]])</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2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76" t="str">
        <f>IF(Master[[#This Row],[Voucher Location (2)]]="","",Master[[#This Row],[Voucher Location (2)]])</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2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76" t="str">
        <f>IF(Master[[#This Row],[Voucher Location (2)]]="","",Master[[#This Row],[Voucher Location (2)]])</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2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76" t="str">
        <f>IF(Master[[#This Row],[Voucher Location (2)]]="","",Master[[#This Row],[Voucher Location (2)]])</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2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76" t="str">
        <f>IF(Master[[#This Row],[Voucher Location (2)]]="","",Master[[#This Row],[Voucher Location (2)]])</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2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76" t="str">
        <f>IF(Master[[#This Row],[Voucher Location (2)]]="","",Master[[#This Row],[Voucher Location (2)]])</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2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76" t="str">
        <f>IF(Master[[#This Row],[Voucher Location (2)]]="","",Master[[#This Row],[Voucher Location (2)]])</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2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76" t="str">
        <f>IF(Master[[#This Row],[Voucher Location (2)]]="","",Master[[#This Row],[Voucher Location (2)]])</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2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76" t="str">
        <f>IF(Master[[#This Row],[Voucher Location (2)]]="","",Master[[#This Row],[Voucher Location (2)]])</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2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76" t="str">
        <f>IF(Master[[#This Row],[Voucher Location (2)]]="","",Master[[#This Row],[Voucher Location (2)]])</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2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76" t="str">
        <f>IF(Master[[#This Row],[Voucher Location (2)]]="","",Master[[#This Row],[Voucher Location (2)]])</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2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76" t="str">
        <f>IF(Master[[#This Row],[Voucher Location (2)]]="","",Master[[#This Row],[Voucher Location (2)]])</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2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76" t="str">
        <f>IF(Master[[#This Row],[Voucher Location (2)]]="","",Master[[#This Row],[Voucher Location (2)]])</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2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76" t="str">
        <f>IF(Master[[#This Row],[Voucher Location (2)]]="","",Master[[#This Row],[Voucher Location (2)]])</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2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76" t="str">
        <f>IF(Master[[#This Row],[Voucher Location (2)]]="","",Master[[#This Row],[Voucher Location (2)]])</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2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76" t="str">
        <f>IF(Master[[#This Row],[Voucher Location (2)]]="","",Master[[#This Row],[Voucher Location (2)]])</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2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76" t="str">
        <f>IF(Master[[#This Row],[Voucher Location (2)]]="","",Master[[#This Row],[Voucher Location (2)]])</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2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76" t="str">
        <f>IF(Master[[#This Row],[Voucher Location (2)]]="","",Master[[#This Row],[Voucher Location (2)]])</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2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76" t="str">
        <f>IF(Master[[#This Row],[Voucher Location (2)]]="","",Master[[#This Row],[Voucher Location (2)]])</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2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76" t="str">
        <f>IF(Master[[#This Row],[Voucher Location (2)]]="","",Master[[#This Row],[Voucher Location (2)]])</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2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76" t="str">
        <f>IF(Master[[#This Row],[Voucher Location (2)]]="","",Master[[#This Row],[Voucher Location (2)]])</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2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76" t="str">
        <f>IF(Master[[#This Row],[Voucher Location (2)]]="","",Master[[#This Row],[Voucher Location (2)]])</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2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76" t="str">
        <f>IF(Master[[#This Row],[Voucher Location (2)]]="","",Master[[#This Row],[Voucher Location (2)]])</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2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76" t="str">
        <f>IF(Master[[#This Row],[Voucher Location (2)]]="","",Master[[#This Row],[Voucher Location (2)]])</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2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76" t="str">
        <f>IF(Master[[#This Row],[Voucher Location (2)]]="","",Master[[#This Row],[Voucher Location (2)]])</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2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76" t="str">
        <f>IF(Master[[#This Row],[Voucher Location (2)]]="","",Master[[#This Row],[Voucher Location (2)]])</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2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76" t="str">
        <f>IF(Master[[#This Row],[Voucher Location (2)]]="","",Master[[#This Row],[Voucher Location (2)]])</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2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76" t="str">
        <f>IF(Master[[#This Row],[Voucher Location (2)]]="","",Master[[#This Row],[Voucher Location (2)]])</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2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76" t="str">
        <f>IF(Master[[#This Row],[Voucher Location (2)]]="","",Master[[#This Row],[Voucher Location (2)]])</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2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76" t="str">
        <f>IF(Master[[#This Row],[Voucher Location (2)]]="","",Master[[#This Row],[Voucher Location (2)]])</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2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76" t="str">
        <f>IF(Master[[#This Row],[Voucher Location (2)]]="","",Master[[#This Row],[Voucher Location (2)]])</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2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76" t="str">
        <f>IF(Master[[#This Row],[Voucher Location (2)]]="","",Master[[#This Row],[Voucher Location (2)]])</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2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76" t="str">
        <f>IF(Master[[#This Row],[Voucher Location (2)]]="","",Master[[#This Row],[Voucher Location (2)]])</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2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76" t="str">
        <f>IF(Master[[#This Row],[Voucher Location (2)]]="","",Master[[#This Row],[Voucher Location (2)]])</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2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76" t="str">
        <f>IF(Master[[#This Row],[Voucher Location (2)]]="","",Master[[#This Row],[Voucher Location (2)]])</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2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76" t="str">
        <f>IF(Master[[#This Row],[Voucher Location (2)]]="","",Master[[#This Row],[Voucher Location (2)]])</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2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76" t="str">
        <f>IF(Master[[#This Row],[Voucher Location (2)]]="","",Master[[#This Row],[Voucher Location (2)]])</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2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76" t="str">
        <f>IF(Master[[#This Row],[Voucher Location (2)]]="","",Master[[#This Row],[Voucher Location (2)]])</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2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76" t="str">
        <f>IF(Master[[#This Row],[Voucher Location (2)]]="","",Master[[#This Row],[Voucher Location (2)]])</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2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76" t="str">
        <f>IF(Master[[#This Row],[Voucher Location (2)]]="","",Master[[#This Row],[Voucher Location (2)]])</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2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76" t="str">
        <f>IF(Master[[#This Row],[Voucher Location (2)]]="","",Master[[#This Row],[Voucher Location (2)]])</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2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76" t="str">
        <f>IF(Master[[#This Row],[Voucher Location (2)]]="","",Master[[#This Row],[Voucher Location (2)]])</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5">
    <tabColor theme="0" tint="-0.249977111117893"/>
  </sheetPr>
  <dimension ref="A1:O201"/>
  <sheetViews>
    <sheetView workbookViewId="0">
      <selection activeCell="A5" sqref="A5"/>
    </sheetView>
  </sheetViews>
  <sheetFormatPr defaultColWidth="16.28515625" defaultRowHeight="15" x14ac:dyDescent="0.25"/>
  <cols>
    <col min="1" max="4" width="16.28515625" style="7"/>
    <col min="5" max="5" width="18" style="7" customWidth="1"/>
    <col min="6" max="6" width="11.5703125" style="7" customWidth="1"/>
    <col min="7" max="7" width="13.28515625" style="7" customWidth="1"/>
    <col min="8" max="8" width="96.5703125" style="7" bestFit="1" customWidth="1"/>
    <col min="9" max="16384" width="16.28515625" style="7"/>
  </cols>
  <sheetData>
    <row r="1" spans="1:15" s="116" customFormat="1" ht="45" x14ac:dyDescent="0.25">
      <c r="A1" s="116" t="s">
        <v>75</v>
      </c>
      <c r="B1" s="116" t="s">
        <v>10</v>
      </c>
      <c r="C1" s="118" t="s">
        <v>31</v>
      </c>
      <c r="D1" s="116" t="s">
        <v>76</v>
      </c>
      <c r="E1" s="118" t="s">
        <v>77</v>
      </c>
      <c r="F1" s="116" t="s">
        <v>78</v>
      </c>
      <c r="G1" s="116" t="s">
        <v>44</v>
      </c>
      <c r="H1" s="116" t="s">
        <v>9</v>
      </c>
      <c r="I1" s="116" t="s">
        <v>793</v>
      </c>
    </row>
    <row r="2" spans="1:15" ht="15.75" x14ac:dyDescent="0.2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(3)]]="","",Master[[#This Row],[Voucher Location (3)]])</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8"/>
      <c r="M2" s="8"/>
      <c r="O2" s="8"/>
    </row>
    <row r="3" spans="1:15" x14ac:dyDescent="0.2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ACC_NUM</v>
      </c>
      <c r="E3" s="17" t="str">
        <f>IF(Master[[#This Row],[Voucher Location (3)]]="","",Master[[#This Row],[Voucher Location (3)]])</f>
        <v>LOC3</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8"/>
      <c r="M3" s="8"/>
      <c r="O3" s="8"/>
    </row>
    <row r="4" spans="1:15" x14ac:dyDescent="0.25">
      <c r="B4" s="7" t="str">
        <f>Master[[#This Row],[Accession Prefix (NPGS)]]&amp;" "&amp;Master[[#This Row],[Accession Number -Assigned]]</f>
        <v>W6 59590</v>
      </c>
      <c r="C4" s="7" t="str">
        <f>Master[[#This Row],[Accession Prefix (NPGS)]]&amp;" "&amp;Master[[#This Row],[Accession Number -Assigned]]&amp;" "&amp;Master[[#This Row],[Inventory Suffix]]&amp;" "&amp;Master[[#This Row],[Inventory Type - Lookup Picker]]</f>
        <v>W6 59590  SD</v>
      </c>
      <c r="D4" s="7" t="str">
        <f>IF(Master[[#This Row],[Collector Voucher Number]]="","",Master[[#This Row],[Collector Voucher Number]])</f>
        <v>CO932-397</v>
      </c>
      <c r="E4" s="17" t="str">
        <f>IF(Master[[#This Row],[Voucher Location (3)]]="","",Master[[#This Row],[Voucher Location (3)]])</f>
        <v/>
      </c>
      <c r="F4" s="7" t="str">
        <f t="shared" si="0"/>
        <v>mm/dd/yyyy</v>
      </c>
      <c r="G4" s="2">
        <f>IF(Master[[#This Row],[Voucher Date]]="","",Master[[#This Row],[Voucher Date]])</f>
        <v>43992</v>
      </c>
      <c r="H4" s="17" t="str">
        <f>IF(Master[[#This Row],[Voucher Collector -name, organization]]="","",Master[[#This Row],[Voucher Collector -name, organization]])</f>
        <v>M. Gardner, E. Varone DBG:In Field:10 JUN 2020</v>
      </c>
      <c r="I4" s="7" t="str">
        <f>IF(Master[[#This Row],[Note (Voucher)]]="","",Master[[#This Row],[Note (Voucher)]])</f>
        <v/>
      </c>
      <c r="K4" s="8"/>
      <c r="M4" s="8"/>
      <c r="O4" s="8"/>
    </row>
    <row r="5" spans="1:15" x14ac:dyDescent="0.25">
      <c r="B5" s="7" t="str">
        <f>Master[[#This Row],[Accession Prefix (NPGS)]]&amp;" "&amp;Master[[#This Row],[Accession Number -Assigned]]</f>
        <v>W6 59591</v>
      </c>
      <c r="C5" s="7" t="str">
        <f>Master[[#This Row],[Accession Prefix (NPGS)]]&amp;" "&amp;Master[[#This Row],[Accession Number -Assigned]]&amp;" "&amp;Master[[#This Row],[Inventory Suffix]]&amp;" "&amp;Master[[#This Row],[Inventory Type - Lookup Picker]]</f>
        <v>W6 59591  SD</v>
      </c>
      <c r="D5" s="7" t="str">
        <f>IF(Master[[#This Row],[Collector Voucher Number]]="","",Master[[#This Row],[Collector Voucher Number]])</f>
        <v>CO932-398</v>
      </c>
      <c r="E5" s="17" t="str">
        <f>IF(Master[[#This Row],[Voucher Location (3)]]="","",Master[[#This Row],[Voucher Location (3)]])</f>
        <v/>
      </c>
      <c r="F5" s="7" t="str">
        <f t="shared" si="0"/>
        <v>mm/dd/yyyy</v>
      </c>
      <c r="G5" s="2">
        <f>IF(Master[[#This Row],[Voucher Date]]="","",Master[[#This Row],[Voucher Date]])</f>
        <v>43992</v>
      </c>
      <c r="H5" s="17" t="str">
        <f>IF(Master[[#This Row],[Voucher Collector -name, organization]]="","",Master[[#This Row],[Voucher Collector -name, organization]])</f>
        <v>M. Gardner, E. Varone DBG:In Field:10 JUN 2020</v>
      </c>
      <c r="I5" s="7" t="str">
        <f>IF(Master[[#This Row],[Note (Voucher)]]="","",Master[[#This Row],[Note (Voucher)]])</f>
        <v/>
      </c>
    </row>
    <row r="6" spans="1:15" x14ac:dyDescent="0.25">
      <c r="B6" s="7" t="str">
        <f>Master[[#This Row],[Accession Prefix (NPGS)]]&amp;" "&amp;Master[[#This Row],[Accession Number -Assigned]]</f>
        <v>W6 59592</v>
      </c>
      <c r="C6" s="7" t="str">
        <f>Master[[#This Row],[Accession Prefix (NPGS)]]&amp;" "&amp;Master[[#This Row],[Accession Number -Assigned]]&amp;" "&amp;Master[[#This Row],[Inventory Suffix]]&amp;" "&amp;Master[[#This Row],[Inventory Type - Lookup Picker]]</f>
        <v>W6 59592  SD</v>
      </c>
      <c r="D6" s="7" t="str">
        <f>IF(Master[[#This Row],[Collector Voucher Number]]="","",Master[[#This Row],[Collector Voucher Number]])</f>
        <v>CO932-399</v>
      </c>
      <c r="E6" s="17" t="str">
        <f>IF(Master[[#This Row],[Voucher Location (3)]]="","",Master[[#This Row],[Voucher Location (3)]])</f>
        <v/>
      </c>
      <c r="F6" s="7" t="str">
        <f t="shared" si="0"/>
        <v>mm/dd/yyyy</v>
      </c>
      <c r="G6" s="2">
        <f>IF(Master[[#This Row],[Voucher Date]]="","",Master[[#This Row],[Voucher Date]])</f>
        <v>44021</v>
      </c>
      <c r="H6" s="17" t="str">
        <f>IF(Master[[#This Row],[Voucher Collector -name, organization]]="","",Master[[#This Row],[Voucher Collector -name, organization]])</f>
        <v>Gardner, M., Varone, E.:In Field:09 JUL 2020</v>
      </c>
      <c r="I6" s="7" t="str">
        <f>IF(Master[[#This Row],[Note (Voucher)]]="","",Master[[#This Row],[Note (Voucher)]])</f>
        <v/>
      </c>
    </row>
    <row r="7" spans="1:15" x14ac:dyDescent="0.25">
      <c r="B7" s="7" t="str">
        <f>Master[[#This Row],[Accession Prefix (NPGS)]]&amp;" "&amp;Master[[#This Row],[Accession Number -Assigned]]</f>
        <v>W6 59593</v>
      </c>
      <c r="C7" s="7" t="str">
        <f>Master[[#This Row],[Accession Prefix (NPGS)]]&amp;" "&amp;Master[[#This Row],[Accession Number -Assigned]]&amp;" "&amp;Master[[#This Row],[Inventory Suffix]]&amp;" "&amp;Master[[#This Row],[Inventory Type - Lookup Picker]]</f>
        <v>W6 59593  SD</v>
      </c>
      <c r="D7" s="7" t="str">
        <f>IF(Master[[#This Row],[Collector Voucher Number]]="","",Master[[#This Row],[Collector Voucher Number]])</f>
        <v>CO932-401</v>
      </c>
      <c r="E7" s="17" t="str">
        <f>IF(Master[[#This Row],[Voucher Location (3)]]="","",Master[[#This Row],[Voucher Location (3)]])</f>
        <v/>
      </c>
      <c r="F7" s="7" t="str">
        <f t="shared" si="0"/>
        <v>mm/dd/yyyy</v>
      </c>
      <c r="G7" s="2">
        <f>IF(Master[[#This Row],[Voucher Date]]="","",Master[[#This Row],[Voucher Date]])</f>
        <v>43992</v>
      </c>
      <c r="H7" s="17" t="str">
        <f>IF(Master[[#This Row],[Voucher Collector -name, organization]]="","",Master[[#This Row],[Voucher Collector -name, organization]])</f>
        <v>Gardner, M., Varone, E.:In Field:10 JUN 2020</v>
      </c>
      <c r="I7" s="7" t="str">
        <f>IF(Master[[#This Row],[Note (Voucher)]]="","",Master[[#This Row],[Note (Voucher)]])</f>
        <v/>
      </c>
    </row>
    <row r="8" spans="1:15" x14ac:dyDescent="0.25">
      <c r="B8" s="7" t="str">
        <f>Master[[#This Row],[Accession Prefix (NPGS)]]&amp;" "&amp;Master[[#This Row],[Accession Number -Assigned]]</f>
        <v>W6 59594</v>
      </c>
      <c r="C8" s="7" t="str">
        <f>Master[[#This Row],[Accession Prefix (NPGS)]]&amp;" "&amp;Master[[#This Row],[Accession Number -Assigned]]&amp;" "&amp;Master[[#This Row],[Inventory Suffix]]&amp;" "&amp;Master[[#This Row],[Inventory Type - Lookup Picker]]</f>
        <v>W6 59594  SD</v>
      </c>
      <c r="D8" s="7" t="str">
        <f>IF(Master[[#This Row],[Collector Voucher Number]]="","",Master[[#This Row],[Collector Voucher Number]])</f>
        <v>CO932-402</v>
      </c>
      <c r="E8" s="17" t="str">
        <f>IF(Master[[#This Row],[Voucher Location (3)]]="","",Master[[#This Row],[Voucher Location (3)]])</f>
        <v/>
      </c>
      <c r="F8" s="7" t="str">
        <f t="shared" si="0"/>
        <v>mm/dd/yyyy</v>
      </c>
      <c r="G8" s="2">
        <f>IF(Master[[#This Row],[Voucher Date]]="","",Master[[#This Row],[Voucher Date]])</f>
        <v>44034</v>
      </c>
      <c r="H8" s="17" t="str">
        <f>IF(Master[[#This Row],[Voucher Collector -name, organization]]="","",Master[[#This Row],[Voucher Collector -name, organization]])</f>
        <v>M. Gardner, E. Varone DBG:In Field:22 JUL 2020</v>
      </c>
      <c r="I8" s="7" t="str">
        <f>IF(Master[[#This Row],[Note (Voucher)]]="","",Master[[#This Row],[Note (Voucher)]])</f>
        <v/>
      </c>
    </row>
    <row r="9" spans="1:15" x14ac:dyDescent="0.25">
      <c r="B9" s="7" t="str">
        <f>Master[[#This Row],[Accession Prefix (NPGS)]]&amp;" "&amp;Master[[#This Row],[Accession Number -Assigned]]</f>
        <v>W6 59595</v>
      </c>
      <c r="C9" s="7" t="str">
        <f>Master[[#This Row],[Accession Prefix (NPGS)]]&amp;" "&amp;Master[[#This Row],[Accession Number -Assigned]]&amp;" "&amp;Master[[#This Row],[Inventory Suffix]]&amp;" "&amp;Master[[#This Row],[Inventory Type - Lookup Picker]]</f>
        <v>W6 59595  SD</v>
      </c>
      <c r="D9" s="7" t="str">
        <f>IF(Master[[#This Row],[Collector Voucher Number]]="","",Master[[#This Row],[Collector Voucher Number]])</f>
        <v>CO932-403</v>
      </c>
      <c r="E9" s="17" t="str">
        <f>IF(Master[[#This Row],[Voucher Location (3)]]="","",Master[[#This Row],[Voucher Location (3)]])</f>
        <v/>
      </c>
      <c r="F9" s="7" t="str">
        <f t="shared" si="0"/>
        <v>mm/dd/yyyy</v>
      </c>
      <c r="G9" s="2">
        <f>IF(Master[[#This Row],[Voucher Date]]="","",Master[[#This Row],[Voucher Date]])</f>
        <v>44028</v>
      </c>
      <c r="H9" s="17" t="str">
        <f>IF(Master[[#This Row],[Voucher Collector -name, organization]]="","",Master[[#This Row],[Voucher Collector -name, organization]])</f>
        <v>M. Gardner, E. Varone DBG:In Field:16 JUL 2020</v>
      </c>
      <c r="I9" s="7" t="str">
        <f>IF(Master[[#This Row],[Note (Voucher)]]="","",Master[[#This Row],[Note (Voucher)]])</f>
        <v/>
      </c>
    </row>
    <row r="10" spans="1:15" x14ac:dyDescent="0.25">
      <c r="B10" s="7" t="str">
        <f>Master[[#This Row],[Accession Prefix (NPGS)]]&amp;" "&amp;Master[[#This Row],[Accession Number -Assigned]]</f>
        <v>W6 59596</v>
      </c>
      <c r="C10" s="7" t="str">
        <f>Master[[#This Row],[Accession Prefix (NPGS)]]&amp;" "&amp;Master[[#This Row],[Accession Number -Assigned]]&amp;" "&amp;Master[[#This Row],[Inventory Suffix]]&amp;" "&amp;Master[[#This Row],[Inventory Type - Lookup Picker]]</f>
        <v>W6 59596  SD</v>
      </c>
      <c r="D10" s="7" t="str">
        <f>IF(Master[[#This Row],[Collector Voucher Number]]="","",Master[[#This Row],[Collector Voucher Number]])</f>
        <v>CO932-404</v>
      </c>
      <c r="E10" s="17" t="str">
        <f>IF(Master[[#This Row],[Voucher Location (3)]]="","",Master[[#This Row],[Voucher Location (3)]])</f>
        <v/>
      </c>
      <c r="F10" s="7" t="str">
        <f t="shared" si="0"/>
        <v>mm/dd/yyyy</v>
      </c>
      <c r="G10" s="2">
        <f>IF(Master[[#This Row],[Voucher Date]]="","",Master[[#This Row],[Voucher Date]])</f>
        <v>44021</v>
      </c>
      <c r="H10" s="17" t="str">
        <f>IF(Master[[#This Row],[Voucher Collector -name, organization]]="","",Master[[#This Row],[Voucher Collector -name, organization]])</f>
        <v>M. Gardner, E. Varone DBG:In Field:09 JUL 2020</v>
      </c>
      <c r="I10" s="7" t="str">
        <f>IF(Master[[#This Row],[Note (Voucher)]]="","",Master[[#This Row],[Note (Voucher)]])</f>
        <v/>
      </c>
    </row>
    <row r="11" spans="1:15" x14ac:dyDescent="0.25">
      <c r="B11" s="7" t="str">
        <f>Master[[#This Row],[Accession Prefix (NPGS)]]&amp;" "&amp;Master[[#This Row],[Accession Number -Assigned]]</f>
        <v>W6 59597</v>
      </c>
      <c r="C11" s="7" t="str">
        <f>Master[[#This Row],[Accession Prefix (NPGS)]]&amp;" "&amp;Master[[#This Row],[Accession Number -Assigned]]&amp;" "&amp;Master[[#This Row],[Inventory Suffix]]&amp;" "&amp;Master[[#This Row],[Inventory Type - Lookup Picker]]</f>
        <v>W6 59597  SD</v>
      </c>
      <c r="D11" s="7" t="str">
        <f>IF(Master[[#This Row],[Collector Voucher Number]]="","",Master[[#This Row],[Collector Voucher Number]])</f>
        <v>CO932-405</v>
      </c>
      <c r="E11" s="17" t="str">
        <f>IF(Master[[#This Row],[Voucher Location (3)]]="","",Master[[#This Row],[Voucher Location (3)]])</f>
        <v/>
      </c>
      <c r="F11" s="7" t="str">
        <f t="shared" si="0"/>
        <v>mm/dd/yyyy</v>
      </c>
      <c r="G11" s="2">
        <f>IF(Master[[#This Row],[Voucher Date]]="","",Master[[#This Row],[Voucher Date]])</f>
        <v>44020</v>
      </c>
      <c r="H11" s="17" t="str">
        <f>IF(Master[[#This Row],[Voucher Collector -name, organization]]="","",Master[[#This Row],[Voucher Collector -name, organization]])</f>
        <v>M. Gardner, E. Varone DBG:In Field:08 JUL 2020</v>
      </c>
      <c r="I11" s="7" t="str">
        <f>IF(Master[[#This Row],[Note (Voucher)]]="","",Master[[#This Row],[Note (Voucher)]])</f>
        <v/>
      </c>
    </row>
    <row r="12" spans="1:15" x14ac:dyDescent="0.25">
      <c r="B12" s="7" t="str">
        <f>Master[[#This Row],[Accession Prefix (NPGS)]]&amp;" "&amp;Master[[#This Row],[Accession Number -Assigned]]</f>
        <v>W6 59598</v>
      </c>
      <c r="C12" s="7" t="str">
        <f>Master[[#This Row],[Accession Prefix (NPGS)]]&amp;" "&amp;Master[[#This Row],[Accession Number -Assigned]]&amp;" "&amp;Master[[#This Row],[Inventory Suffix]]&amp;" "&amp;Master[[#This Row],[Inventory Type - Lookup Picker]]</f>
        <v>W6 59598  SD</v>
      </c>
      <c r="D12" s="7" t="str">
        <f>IF(Master[[#This Row],[Collector Voucher Number]]="","",Master[[#This Row],[Collector Voucher Number]])</f>
        <v>CO932-406</v>
      </c>
      <c r="E12" s="17" t="str">
        <f>IF(Master[[#This Row],[Voucher Location (3)]]="","",Master[[#This Row],[Voucher Location (3)]])</f>
        <v/>
      </c>
      <c r="F12" s="7" t="str">
        <f t="shared" si="0"/>
        <v>mm/dd/yyyy</v>
      </c>
      <c r="G12" s="2">
        <f>IF(Master[[#This Row],[Voucher Date]]="","",Master[[#This Row],[Voucher Date]])</f>
        <v>44041</v>
      </c>
      <c r="H12" s="17" t="str">
        <f>IF(Master[[#This Row],[Voucher Collector -name, organization]]="","",Master[[#This Row],[Voucher Collector -name, organization]])</f>
        <v>Gardner, M., Varone, E.:In Field:29 JUL 2020</v>
      </c>
      <c r="I12" s="7" t="str">
        <f>IF(Master[[#This Row],[Note (Voucher)]]="","",Master[[#This Row],[Note (Voucher)]])</f>
        <v/>
      </c>
    </row>
    <row r="13" spans="1:15" x14ac:dyDescent="0.25">
      <c r="B13" s="7" t="str">
        <f>Master[[#This Row],[Accession Prefix (NPGS)]]&amp;" "&amp;Master[[#This Row],[Accession Number -Assigned]]</f>
        <v>W6 59599</v>
      </c>
      <c r="C13" s="7" t="str">
        <f>Master[[#This Row],[Accession Prefix (NPGS)]]&amp;" "&amp;Master[[#This Row],[Accession Number -Assigned]]&amp;" "&amp;Master[[#This Row],[Inventory Suffix]]&amp;" "&amp;Master[[#This Row],[Inventory Type - Lookup Picker]]</f>
        <v>W6 59599  SD</v>
      </c>
      <c r="D13" s="7" t="str">
        <f>IF(Master[[#This Row],[Collector Voucher Number]]="","",Master[[#This Row],[Collector Voucher Number]])</f>
        <v>CO932-407</v>
      </c>
      <c r="E13" s="17" t="str">
        <f>IF(Master[[#This Row],[Voucher Location (3)]]="","",Master[[#This Row],[Voucher Location (3)]])</f>
        <v/>
      </c>
      <c r="F13" s="7" t="str">
        <f t="shared" si="0"/>
        <v>mm/dd/yyyy</v>
      </c>
      <c r="G13" s="2">
        <f>IF(Master[[#This Row],[Voucher Date]]="","",Master[[#This Row],[Voucher Date]])</f>
        <v>44040</v>
      </c>
      <c r="H13" s="17" t="str">
        <f>IF(Master[[#This Row],[Voucher Collector -name, organization]]="","",Master[[#This Row],[Voucher Collector -name, organization]])</f>
        <v>Gardner, M., Varone, E.:In Field:28 JUL 2020</v>
      </c>
      <c r="I13" s="7" t="str">
        <f>IF(Master[[#This Row],[Note (Voucher)]]="","",Master[[#This Row],[Note (Voucher)]])</f>
        <v/>
      </c>
    </row>
    <row r="14" spans="1:15" x14ac:dyDescent="0.25">
      <c r="B14" s="7" t="str">
        <f>Master[[#This Row],[Accession Prefix (NPGS)]]&amp;" "&amp;Master[[#This Row],[Accession Number -Assigned]]</f>
        <v>W6 59600</v>
      </c>
      <c r="C14" s="7" t="str">
        <f>Master[[#This Row],[Accession Prefix (NPGS)]]&amp;" "&amp;Master[[#This Row],[Accession Number -Assigned]]&amp;" "&amp;Master[[#This Row],[Inventory Suffix]]&amp;" "&amp;Master[[#This Row],[Inventory Type - Lookup Picker]]</f>
        <v>W6 59600  SD</v>
      </c>
      <c r="D14" s="7" t="str">
        <f>IF(Master[[#This Row],[Collector Voucher Number]]="","",Master[[#This Row],[Collector Voucher Number]])</f>
        <v>CO932-408</v>
      </c>
      <c r="E14" s="17" t="str">
        <f>IF(Master[[#This Row],[Voucher Location (3)]]="","",Master[[#This Row],[Voucher Location (3)]])</f>
        <v/>
      </c>
      <c r="F14" s="7" t="str">
        <f t="shared" si="0"/>
        <v>mm/dd/yyyy</v>
      </c>
      <c r="G14" s="2">
        <f>IF(Master[[#This Row],[Voucher Date]]="","",Master[[#This Row],[Voucher Date]])</f>
        <v>44028</v>
      </c>
      <c r="H14" s="17" t="str">
        <f>IF(Master[[#This Row],[Voucher Collector -name, organization]]="","",Master[[#This Row],[Voucher Collector -name, organization]])</f>
        <v>Gardner, M., Varone, E.:In Field:16 JUL 2020</v>
      </c>
      <c r="I14" s="7" t="str">
        <f>IF(Master[[#This Row],[Note (Voucher)]]="","",Master[[#This Row],[Note (Voucher)]])</f>
        <v/>
      </c>
    </row>
    <row r="15" spans="1:15" x14ac:dyDescent="0.25">
      <c r="B15" s="7" t="str">
        <f>Master[[#This Row],[Accession Prefix (NPGS)]]&amp;" "&amp;Master[[#This Row],[Accession Number -Assigned]]</f>
        <v>W6 59601</v>
      </c>
      <c r="C15" s="7" t="str">
        <f>Master[[#This Row],[Accession Prefix (NPGS)]]&amp;" "&amp;Master[[#This Row],[Accession Number -Assigned]]&amp;" "&amp;Master[[#This Row],[Inventory Suffix]]&amp;" "&amp;Master[[#This Row],[Inventory Type - Lookup Picker]]</f>
        <v>W6 59601  SD</v>
      </c>
      <c r="D15" s="7" t="str">
        <f>IF(Master[[#This Row],[Collector Voucher Number]]="","",Master[[#This Row],[Collector Voucher Number]])</f>
        <v>CO932-409</v>
      </c>
      <c r="E15" s="17" t="str">
        <f>IF(Master[[#This Row],[Voucher Location (3)]]="","",Master[[#This Row],[Voucher Location (3)]])</f>
        <v/>
      </c>
      <c r="F15" s="7" t="str">
        <f t="shared" si="0"/>
        <v>mm/dd/yyyy</v>
      </c>
      <c r="G15" s="2">
        <f>IF(Master[[#This Row],[Voucher Date]]="","",Master[[#This Row],[Voucher Date]])</f>
        <v>44046</v>
      </c>
      <c r="H15" s="17" t="str">
        <f>IF(Master[[#This Row],[Voucher Collector -name, organization]]="","",Master[[#This Row],[Voucher Collector -name, organization]])</f>
        <v>M. Gardner, E. Varone DBG:In Field:03 AUG 2020</v>
      </c>
      <c r="I15" s="7" t="str">
        <f>IF(Master[[#This Row],[Note (Voucher)]]="","",Master[[#This Row],[Note (Voucher)]])</f>
        <v/>
      </c>
    </row>
    <row r="16" spans="1:15" x14ac:dyDescent="0.25">
      <c r="B16" s="7" t="str">
        <f>Master[[#This Row],[Accession Prefix (NPGS)]]&amp;" "&amp;Master[[#This Row],[Accession Number -Assigned]]</f>
        <v>W6 59602</v>
      </c>
      <c r="C16" s="7" t="str">
        <f>Master[[#This Row],[Accession Prefix (NPGS)]]&amp;" "&amp;Master[[#This Row],[Accession Number -Assigned]]&amp;" "&amp;Master[[#This Row],[Inventory Suffix]]&amp;" "&amp;Master[[#This Row],[Inventory Type - Lookup Picker]]</f>
        <v>W6 59602  SD</v>
      </c>
      <c r="D16" s="7" t="str">
        <f>IF(Master[[#This Row],[Collector Voucher Number]]="","",Master[[#This Row],[Collector Voucher Number]])</f>
        <v>CO932-410</v>
      </c>
      <c r="E16" s="17" t="str">
        <f>IF(Master[[#This Row],[Voucher Location (3)]]="","",Master[[#This Row],[Voucher Location (3)]])</f>
        <v/>
      </c>
      <c r="F16" s="7" t="str">
        <f t="shared" si="0"/>
        <v>mm/dd/yyyy</v>
      </c>
      <c r="G16" s="2">
        <f>IF(Master[[#This Row],[Voucher Date]]="","",Master[[#This Row],[Voucher Date]])</f>
        <v>44077</v>
      </c>
      <c r="H16" s="17" t="str">
        <f>IF(Master[[#This Row],[Voucher Collector -name, organization]]="","",Master[[#This Row],[Voucher Collector -name, organization]])</f>
        <v>M. Gardner, E. Varone DBG:In Field:03 SEP 2020</v>
      </c>
      <c r="I16" s="7" t="str">
        <f>IF(Master[[#This Row],[Note (Voucher)]]="","",Master[[#This Row],[Note (Voucher)]])</f>
        <v/>
      </c>
    </row>
    <row r="17" spans="2:9" x14ac:dyDescent="0.25">
      <c r="B17" s="7" t="str">
        <f>Master[[#This Row],[Accession Prefix (NPGS)]]&amp;" "&amp;Master[[#This Row],[Accession Number -Assigned]]</f>
        <v>W6 59603</v>
      </c>
      <c r="C17" s="7" t="str">
        <f>Master[[#This Row],[Accession Prefix (NPGS)]]&amp;" "&amp;Master[[#This Row],[Accession Number -Assigned]]&amp;" "&amp;Master[[#This Row],[Inventory Suffix]]&amp;" "&amp;Master[[#This Row],[Inventory Type - Lookup Picker]]</f>
        <v>W6 59603  SD</v>
      </c>
      <c r="D17" s="7" t="str">
        <f>IF(Master[[#This Row],[Collector Voucher Number]]="","",Master[[#This Row],[Collector Voucher Number]])</f>
        <v>CO932-411</v>
      </c>
      <c r="E17" s="17" t="str">
        <f>IF(Master[[#This Row],[Voucher Location (3)]]="","",Master[[#This Row],[Voucher Location (3)]])</f>
        <v/>
      </c>
      <c r="F17" s="7" t="str">
        <f t="shared" si="0"/>
        <v>mm/dd/yyyy</v>
      </c>
      <c r="G17" s="2">
        <f>IF(Master[[#This Row],[Voucher Date]]="","",Master[[#This Row],[Voucher Date]])</f>
        <v>44076</v>
      </c>
      <c r="H17" s="17" t="str">
        <f>IF(Master[[#This Row],[Voucher Collector -name, organization]]="","",Master[[#This Row],[Voucher Collector -name, organization]])</f>
        <v>Gardner, M., Varone, E.:In Field:02 SEP 2020</v>
      </c>
      <c r="I17" s="7" t="str">
        <f>IF(Master[[#This Row],[Note (Voucher)]]="","",Master[[#This Row],[Note (Voucher)]])</f>
        <v/>
      </c>
    </row>
    <row r="18" spans="2:9" x14ac:dyDescent="0.25">
      <c r="B18" s="7" t="str">
        <f>Master[[#This Row],[Accession Prefix (NPGS)]]&amp;" "&amp;Master[[#This Row],[Accession Number -Assigned]]</f>
        <v>W6 59604</v>
      </c>
      <c r="C18" s="7" t="str">
        <f>Master[[#This Row],[Accession Prefix (NPGS)]]&amp;" "&amp;Master[[#This Row],[Accession Number -Assigned]]&amp;" "&amp;Master[[#This Row],[Inventory Suffix]]&amp;" "&amp;Master[[#This Row],[Inventory Type - Lookup Picker]]</f>
        <v>W6 59604  SD</v>
      </c>
      <c r="D18" s="7" t="str">
        <f>IF(Master[[#This Row],[Collector Voucher Number]]="","",Master[[#This Row],[Collector Voucher Number]])</f>
        <v>CO932-412</v>
      </c>
      <c r="E18" s="17" t="str">
        <f>IF(Master[[#This Row],[Voucher Location (3)]]="","",Master[[#This Row],[Voucher Location (3)]])</f>
        <v/>
      </c>
      <c r="F18" s="7" t="str">
        <f t="shared" si="0"/>
        <v>mm/dd/yyyy</v>
      </c>
      <c r="G18" s="2">
        <f>IF(Master[[#This Row],[Voucher Date]]="","",Master[[#This Row],[Voucher Date]])</f>
        <v>44077</v>
      </c>
      <c r="H18" s="17" t="str">
        <f>IF(Master[[#This Row],[Voucher Collector -name, organization]]="","",Master[[#This Row],[Voucher Collector -name, organization]])</f>
        <v>Gardner, M., Varone, E.:In Field:27 AUG 2020</v>
      </c>
      <c r="I18" s="7" t="str">
        <f>IF(Master[[#This Row],[Note (Voucher)]]="","",Master[[#This Row],[Note (Voucher)]])</f>
        <v/>
      </c>
    </row>
    <row r="19" spans="2:9" x14ac:dyDescent="0.25">
      <c r="B19" s="7" t="str">
        <f>Master[[#This Row],[Accession Prefix (NPGS)]]&amp;" "&amp;Master[[#This Row],[Accession Number -Assigned]]</f>
        <v>W6 59605</v>
      </c>
      <c r="C19" s="7" t="str">
        <f>Master[[#This Row],[Accession Prefix (NPGS)]]&amp;" "&amp;Master[[#This Row],[Accession Number -Assigned]]&amp;" "&amp;Master[[#This Row],[Inventory Suffix]]&amp;" "&amp;Master[[#This Row],[Inventory Type - Lookup Picker]]</f>
        <v>W6 59605  SD</v>
      </c>
      <c r="D19" s="7" t="str">
        <f>IF(Master[[#This Row],[Collector Voucher Number]]="","",Master[[#This Row],[Collector Voucher Number]])</f>
        <v>CO932-413</v>
      </c>
      <c r="E19" s="17" t="str">
        <f>IF(Master[[#This Row],[Voucher Location (3)]]="","",Master[[#This Row],[Voucher Location (3)]])</f>
        <v/>
      </c>
      <c r="F19" s="7" t="str">
        <f t="shared" si="0"/>
        <v>mm/dd/yyyy</v>
      </c>
      <c r="G19" s="2">
        <f>IF(Master[[#This Row],[Voucher Date]]="","",Master[[#This Row],[Voucher Date]])</f>
        <v>44084</v>
      </c>
      <c r="H19" s="17" t="str">
        <f>IF(Master[[#This Row],[Voucher Collector -name, organization]]="","",Master[[#This Row],[Voucher Collector -name, organization]])</f>
        <v>Gardner, M., Varone, E.:In Field:02 SEP 2020</v>
      </c>
      <c r="I19" s="7" t="str">
        <f>IF(Master[[#This Row],[Note (Voucher)]]="","",Master[[#This Row],[Note (Voucher)]])</f>
        <v/>
      </c>
    </row>
    <row r="20" spans="2:9" x14ac:dyDescent="0.25">
      <c r="B20" s="7" t="str">
        <f>Master[[#This Row],[Accession Prefix (NPGS)]]&amp;" "&amp;Master[[#This Row],[Accession Number -Assigned]]</f>
        <v>W6 59606</v>
      </c>
      <c r="C20" s="7" t="str">
        <f>Master[[#This Row],[Accession Prefix (NPGS)]]&amp;" "&amp;Master[[#This Row],[Accession Number -Assigned]]&amp;" "&amp;Master[[#This Row],[Inventory Suffix]]&amp;" "&amp;Master[[#This Row],[Inventory Type - Lookup Picker]]</f>
        <v>W6 59606  SD</v>
      </c>
      <c r="D20" s="7" t="str">
        <f>IF(Master[[#This Row],[Collector Voucher Number]]="","",Master[[#This Row],[Collector Voucher Number]])</f>
        <v>CO932-414</v>
      </c>
      <c r="E20" s="17" t="str">
        <f>IF(Master[[#This Row],[Voucher Location (3)]]="","",Master[[#This Row],[Voucher Location (3)]])</f>
        <v/>
      </c>
      <c r="F20" s="7" t="str">
        <f t="shared" si="0"/>
        <v>mm/dd/yyyy</v>
      </c>
      <c r="G20" s="2">
        <f>IF(Master[[#This Row],[Voucher Date]]="","",Master[[#This Row],[Voucher Date]])</f>
        <v>44056</v>
      </c>
      <c r="H20" s="17" t="str">
        <f>IF(Master[[#This Row],[Voucher Collector -name, organization]]="","",Master[[#This Row],[Voucher Collector -name, organization]])</f>
        <v>Gardner, M., Varone, E.:In Field:29 JUL 2020</v>
      </c>
      <c r="I20" s="7" t="str">
        <f>IF(Master[[#This Row],[Note (Voucher)]]="","",Master[[#This Row],[Note (Voucher)]])</f>
        <v/>
      </c>
    </row>
    <row r="21" spans="2:9" x14ac:dyDescent="0.25">
      <c r="B21" s="7" t="str">
        <f>Master[[#This Row],[Accession Prefix (NPGS)]]&amp;" "&amp;Master[[#This Row],[Accession Number -Assigned]]</f>
        <v>W6 59607</v>
      </c>
      <c r="C21" s="7" t="str">
        <f>Master[[#This Row],[Accession Prefix (NPGS)]]&amp;" "&amp;Master[[#This Row],[Accession Number -Assigned]]&amp;" "&amp;Master[[#This Row],[Inventory Suffix]]&amp;" "&amp;Master[[#This Row],[Inventory Type - Lookup Picker]]</f>
        <v>W6 59607  SD</v>
      </c>
      <c r="D21" s="7" t="str">
        <f>IF(Master[[#This Row],[Collector Voucher Number]]="","",Master[[#This Row],[Collector Voucher Number]])</f>
        <v>CO932-415</v>
      </c>
      <c r="E21" s="17" t="str">
        <f>IF(Master[[#This Row],[Voucher Location (3)]]="","",Master[[#This Row],[Voucher Location (3)]])</f>
        <v/>
      </c>
      <c r="F21" s="7" t="str">
        <f t="shared" si="0"/>
        <v>mm/dd/yyyy</v>
      </c>
      <c r="G21" s="2">
        <f>IF(Master[[#This Row],[Voucher Date]]="","",Master[[#This Row],[Voucher Date]])</f>
        <v>44069</v>
      </c>
      <c r="H21" s="17" t="str">
        <f>IF(Master[[#This Row],[Voucher Collector -name, organization]]="","",Master[[#This Row],[Voucher Collector -name, organization]])</f>
        <v>M. Gardner, E. Varone DBG:In Field:26 AUG 2020</v>
      </c>
      <c r="I21" s="7" t="str">
        <f>IF(Master[[#This Row],[Note (Voucher)]]="","",Master[[#This Row],[Note (Voucher)]])</f>
        <v/>
      </c>
    </row>
    <row r="22" spans="2:9" x14ac:dyDescent="0.25">
      <c r="B22" s="7" t="str">
        <f>Master[[#This Row],[Accession Prefix (NPGS)]]&amp;" "&amp;Master[[#This Row],[Accession Number -Assigned]]</f>
        <v>W6 59608</v>
      </c>
      <c r="C22" s="7" t="str">
        <f>Master[[#This Row],[Accession Prefix (NPGS)]]&amp;" "&amp;Master[[#This Row],[Accession Number -Assigned]]&amp;" "&amp;Master[[#This Row],[Inventory Suffix]]&amp;" "&amp;Master[[#This Row],[Inventory Type - Lookup Picker]]</f>
        <v>W6 59608  SD</v>
      </c>
      <c r="D22" s="7" t="str">
        <f>IF(Master[[#This Row],[Collector Voucher Number]]="","",Master[[#This Row],[Collector Voucher Number]])</f>
        <v>CO932-416</v>
      </c>
      <c r="E22" s="17" t="str">
        <f>IF(Master[[#This Row],[Voucher Location (3)]]="","",Master[[#This Row],[Voucher Location (3)]])</f>
        <v/>
      </c>
      <c r="F22" s="7" t="str">
        <f t="shared" ref="F22:F53" si="1">"mm/dd/yyyy"</f>
        <v>mm/dd/yyyy</v>
      </c>
      <c r="G22" s="2">
        <f>IF(Master[[#This Row],[Voucher Date]]="","",Master[[#This Row],[Voucher Date]])</f>
        <v>44033</v>
      </c>
      <c r="H22" s="17" t="str">
        <f>IF(Master[[#This Row],[Voucher Collector -name, organization]]="","",Master[[#This Row],[Voucher Collector -name, organization]])</f>
        <v>M. Gardner, E. Varone DBG:In Field:21 JUL 2020</v>
      </c>
      <c r="I22" s="7" t="str">
        <f>IF(Master[[#This Row],[Note (Voucher)]]="","",Master[[#This Row],[Note (Voucher)]])</f>
        <v/>
      </c>
    </row>
    <row r="23" spans="2:9" x14ac:dyDescent="0.25">
      <c r="B23" s="7" t="str">
        <f>Master[[#This Row],[Accession Prefix (NPGS)]]&amp;" "&amp;Master[[#This Row],[Accession Number -Assigned]]</f>
        <v>W6 59609</v>
      </c>
      <c r="C23" s="7" t="str">
        <f>Master[[#This Row],[Accession Prefix (NPGS)]]&amp;" "&amp;Master[[#This Row],[Accession Number -Assigned]]&amp;" "&amp;Master[[#This Row],[Inventory Suffix]]&amp;" "&amp;Master[[#This Row],[Inventory Type - Lookup Picker]]</f>
        <v>W6 59609  SD</v>
      </c>
      <c r="D23" s="7" t="str">
        <f>IF(Master[[#This Row],[Collector Voucher Number]]="","",Master[[#This Row],[Collector Voucher Number]])</f>
        <v>CO932-417</v>
      </c>
      <c r="E23" s="17" t="str">
        <f>IF(Master[[#This Row],[Voucher Location (3)]]="","",Master[[#This Row],[Voucher Location (3)]])</f>
        <v/>
      </c>
      <c r="F23" s="7" t="str">
        <f t="shared" si="1"/>
        <v>mm/dd/yyyy</v>
      </c>
      <c r="G23" s="2">
        <f>IF(Master[[#This Row],[Voucher Date]]="","",Master[[#This Row],[Voucher Date]])</f>
        <v>44055</v>
      </c>
      <c r="H23" s="17" t="str">
        <f>IF(Master[[#This Row],[Voucher Collector -name, organization]]="","",Master[[#This Row],[Voucher Collector -name, organization]])</f>
        <v>M. Gardner, E. Varone DBG:In Field:12 AUG 2020</v>
      </c>
      <c r="I23" s="7" t="str">
        <f>IF(Master[[#This Row],[Note (Voucher)]]="","",Master[[#This Row],[Note (Voucher)]])</f>
        <v/>
      </c>
    </row>
    <row r="24" spans="2:9" x14ac:dyDescent="0.25">
      <c r="B24" s="7" t="str">
        <f>Master[[#This Row],[Accession Prefix (NPGS)]]&amp;" "&amp;Master[[#This Row],[Accession Number -Assigned]]</f>
        <v>W6 59610</v>
      </c>
      <c r="C24" s="7" t="str">
        <f>Master[[#This Row],[Accession Prefix (NPGS)]]&amp;" "&amp;Master[[#This Row],[Accession Number -Assigned]]&amp;" "&amp;Master[[#This Row],[Inventory Suffix]]&amp;" "&amp;Master[[#This Row],[Inventory Type - Lookup Picker]]</f>
        <v>W6 59610  SD</v>
      </c>
      <c r="D24" s="7" t="str">
        <f>IF(Master[[#This Row],[Collector Voucher Number]]="","",Master[[#This Row],[Collector Voucher Number]])</f>
        <v>CO932-419</v>
      </c>
      <c r="E24" s="17" t="str">
        <f>IF(Master[[#This Row],[Voucher Location (3)]]="","",Master[[#This Row],[Voucher Location (3)]])</f>
        <v/>
      </c>
      <c r="F24" s="7" t="str">
        <f t="shared" si="1"/>
        <v>mm/dd/yyyy</v>
      </c>
      <c r="G24" s="2">
        <f>IF(Master[[#This Row],[Voucher Date]]="","",Master[[#This Row],[Voucher Date]])</f>
        <v>44091</v>
      </c>
      <c r="H24" s="17" t="str">
        <f>IF(Master[[#This Row],[Voucher Collector -name, organization]]="","",Master[[#This Row],[Voucher Collector -name, organization]])</f>
        <v>Gardner, M., Varone, E.:In Field:17 SEP 2020</v>
      </c>
      <c r="I24" s="7" t="str">
        <f>IF(Master[[#This Row],[Note (Voucher)]]="","",Master[[#This Row],[Note (Voucher)]])</f>
        <v/>
      </c>
    </row>
    <row r="25" spans="2:9" x14ac:dyDescent="0.25">
      <c r="B25" s="7" t="str">
        <f>Master[[#This Row],[Accession Prefix (NPGS)]]&amp;" "&amp;Master[[#This Row],[Accession Number -Assigned]]</f>
        <v>W6 59611</v>
      </c>
      <c r="C25" s="7" t="str">
        <f>Master[[#This Row],[Accession Prefix (NPGS)]]&amp;" "&amp;Master[[#This Row],[Accession Number -Assigned]]&amp;" "&amp;Master[[#This Row],[Inventory Suffix]]&amp;" "&amp;Master[[#This Row],[Inventory Type - Lookup Picker]]</f>
        <v>W6 59611  SD</v>
      </c>
      <c r="D25" s="7" t="str">
        <f>IF(Master[[#This Row],[Collector Voucher Number]]="","",Master[[#This Row],[Collector Voucher Number]])</f>
        <v>CO932-423</v>
      </c>
      <c r="E25" s="17" t="str">
        <f>IF(Master[[#This Row],[Voucher Location (3)]]="","",Master[[#This Row],[Voucher Location (3)]])</f>
        <v/>
      </c>
      <c r="F25" s="7" t="str">
        <f t="shared" si="1"/>
        <v>mm/dd/yyyy</v>
      </c>
      <c r="G25" s="2">
        <f>IF(Master[[#This Row],[Voucher Date]]="","",Master[[#This Row],[Voucher Date]])</f>
        <v>44055</v>
      </c>
      <c r="H25" s="17" t="str">
        <f>IF(Master[[#This Row],[Voucher Collector -name, organization]]="","",Master[[#This Row],[Voucher Collector -name, organization]])</f>
        <v>M. Gardner, E. Varone DBG:In Field:12 AUG 2020</v>
      </c>
      <c r="I25" s="7" t="str">
        <f>IF(Master[[#This Row],[Note (Voucher)]]="","",Master[[#This Row],[Note (Voucher)]])</f>
        <v/>
      </c>
    </row>
    <row r="26" spans="2:9" x14ac:dyDescent="0.25">
      <c r="B26" s="7" t="str">
        <f>Master[[#This Row],[Accession Prefix (NPGS)]]&amp;" "&amp;Master[[#This Row],[Accession Number -Assigned]]</f>
        <v>W6 59612</v>
      </c>
      <c r="C26" s="7" t="str">
        <f>Master[[#This Row],[Accession Prefix (NPGS)]]&amp;" "&amp;Master[[#This Row],[Accession Number -Assigned]]&amp;" "&amp;Master[[#This Row],[Inventory Suffix]]&amp;" "&amp;Master[[#This Row],[Inventory Type - Lookup Picker]]</f>
        <v>W6 59612  SD</v>
      </c>
      <c r="D26" s="7" t="str">
        <f>IF(Master[[#This Row],[Collector Voucher Number]]="","",Master[[#This Row],[Collector Voucher Number]])</f>
        <v>CO932-424</v>
      </c>
      <c r="E26" s="17" t="str">
        <f>IF(Master[[#This Row],[Voucher Location (3)]]="","",Master[[#This Row],[Voucher Location (3)]])</f>
        <v/>
      </c>
      <c r="F26" s="7" t="str">
        <f t="shared" si="1"/>
        <v>mm/dd/yyyy</v>
      </c>
      <c r="G26" s="2">
        <f>IF(Master[[#This Row],[Voucher Date]]="","",Master[[#This Row],[Voucher Date]])</f>
        <v>44060</v>
      </c>
      <c r="H26" s="17" t="str">
        <f>IF(Master[[#This Row],[Voucher Collector -name, organization]]="","",Master[[#This Row],[Voucher Collector -name, organization]])</f>
        <v>M. Gardner, E. Varone DBG:In Field:17 AUG 2020</v>
      </c>
      <c r="I26" s="7" t="str">
        <f>IF(Master[[#This Row],[Note (Voucher)]]="","",Master[[#This Row],[Note (Voucher)]])</f>
        <v/>
      </c>
    </row>
    <row r="27" spans="2:9" x14ac:dyDescent="0.25">
      <c r="B27" s="7" t="str">
        <f>Master[[#This Row],[Accession Prefix (NPGS)]]&amp;" "&amp;Master[[#This Row],[Accession Number -Assigned]]</f>
        <v>W6 59613</v>
      </c>
      <c r="C27" s="7" t="str">
        <f>Master[[#This Row],[Accession Prefix (NPGS)]]&amp;" "&amp;Master[[#This Row],[Accession Number -Assigned]]&amp;" "&amp;Master[[#This Row],[Inventory Suffix]]&amp;" "&amp;Master[[#This Row],[Inventory Type - Lookup Picker]]</f>
        <v>W6 59613  SD</v>
      </c>
      <c r="D27" s="7" t="str">
        <f>IF(Master[[#This Row],[Collector Voucher Number]]="","",Master[[#This Row],[Collector Voucher Number]])</f>
        <v>CO932-425</v>
      </c>
      <c r="E27" s="17" t="str">
        <f>IF(Master[[#This Row],[Voucher Location (3)]]="","",Master[[#This Row],[Voucher Location (3)]])</f>
        <v/>
      </c>
      <c r="F27" s="7" t="str">
        <f t="shared" si="1"/>
        <v>mm/dd/yyyy</v>
      </c>
      <c r="G27" s="2">
        <f>IF(Master[[#This Row],[Voucher Date]]="","",Master[[#This Row],[Voucher Date]])</f>
        <v>44068</v>
      </c>
      <c r="H27" s="17" t="str">
        <f>IF(Master[[#This Row],[Voucher Collector -name, organization]]="","",Master[[#This Row],[Voucher Collector -name, organization]])</f>
        <v>Gardner, M., Varone, E.:In Field:25 AUG 2020</v>
      </c>
      <c r="I27" s="7" t="str">
        <f>IF(Master[[#This Row],[Note (Voucher)]]="","",Master[[#This Row],[Note (Voucher)]])</f>
        <v/>
      </c>
    </row>
    <row r="28" spans="2:9" x14ac:dyDescent="0.25">
      <c r="B28" s="7" t="str">
        <f>Master[[#This Row],[Accession Prefix (NPGS)]]&amp;" "&amp;Master[[#This Row],[Accession Number -Assigned]]</f>
        <v>W6 59614</v>
      </c>
      <c r="C28" s="7" t="str">
        <f>Master[[#This Row],[Accession Prefix (NPGS)]]&amp;" "&amp;Master[[#This Row],[Accession Number -Assigned]]&amp;" "&amp;Master[[#This Row],[Inventory Suffix]]&amp;" "&amp;Master[[#This Row],[Inventory Type - Lookup Picker]]</f>
        <v>W6 59614  SD</v>
      </c>
      <c r="D28" s="7" t="str">
        <f>IF(Master[[#This Row],[Collector Voucher Number]]="","",Master[[#This Row],[Collector Voucher Number]])</f>
        <v>CO932-426</v>
      </c>
      <c r="E28" s="17" t="str">
        <f>IF(Master[[#This Row],[Voucher Location (3)]]="","",Master[[#This Row],[Voucher Location (3)]])</f>
        <v/>
      </c>
      <c r="F28" s="7" t="str">
        <f t="shared" si="1"/>
        <v>mm/dd/yyyy</v>
      </c>
      <c r="G28" s="2">
        <f>IF(Master[[#This Row],[Voucher Date]]="","",Master[[#This Row],[Voucher Date]])</f>
        <v>44068</v>
      </c>
      <c r="H28" s="17" t="str">
        <f>IF(Master[[#This Row],[Voucher Collector -name, organization]]="","",Master[[#This Row],[Voucher Collector -name, organization]])</f>
        <v>M. Gardner, E. Varone DBG:In Field:25 AUG 2020</v>
      </c>
      <c r="I28" s="7" t="str">
        <f>IF(Master[[#This Row],[Note (Voucher)]]="","",Master[[#This Row],[Note (Voucher)]])</f>
        <v/>
      </c>
    </row>
    <row r="29" spans="2:9" x14ac:dyDescent="0.25">
      <c r="B29" s="7" t="str">
        <f>Master[[#This Row],[Accession Prefix (NPGS)]]&amp;" "&amp;Master[[#This Row],[Accession Number -Assigned]]</f>
        <v>W6 59615</v>
      </c>
      <c r="C29" s="7" t="str">
        <f>Master[[#This Row],[Accession Prefix (NPGS)]]&amp;" "&amp;Master[[#This Row],[Accession Number -Assigned]]&amp;" "&amp;Master[[#This Row],[Inventory Suffix]]&amp;" "&amp;Master[[#This Row],[Inventory Type - Lookup Picker]]</f>
        <v>W6 59615  SD</v>
      </c>
      <c r="D29" s="7" t="str">
        <f>IF(Master[[#This Row],[Collector Voucher Number]]="","",Master[[#This Row],[Collector Voucher Number]])</f>
        <v>CO932-427</v>
      </c>
      <c r="E29" s="17" t="str">
        <f>IF(Master[[#This Row],[Voucher Location (3)]]="","",Master[[#This Row],[Voucher Location (3)]])</f>
        <v/>
      </c>
      <c r="F29" s="7" t="str">
        <f t="shared" si="1"/>
        <v>mm/dd/yyyy</v>
      </c>
      <c r="G29" s="2">
        <f>IF(Master[[#This Row],[Voucher Date]]="","",Master[[#This Row],[Voucher Date]])</f>
        <v>44112</v>
      </c>
      <c r="H29" s="17" t="str">
        <f>IF(Master[[#This Row],[Voucher Collector -name, organization]]="","",Master[[#This Row],[Voucher Collector -name, organization]])</f>
        <v>M. Gardner, E. Varone DBG:In Field:08 OCT 2020</v>
      </c>
      <c r="I29" s="7" t="str">
        <f>IF(Master[[#This Row],[Note (Voucher)]]="","",Master[[#This Row],[Note (Voucher)]])</f>
        <v/>
      </c>
    </row>
    <row r="30" spans="2:9" x14ac:dyDescent="0.25">
      <c r="B30" s="7" t="str">
        <f>Master[[#This Row],[Accession Prefix (NPGS)]]&amp;" "&amp;Master[[#This Row],[Accession Number -Assigned]]</f>
        <v>W6 59616</v>
      </c>
      <c r="C30" s="7" t="str">
        <f>Master[[#This Row],[Accession Prefix (NPGS)]]&amp;" "&amp;Master[[#This Row],[Accession Number -Assigned]]&amp;" "&amp;Master[[#This Row],[Inventory Suffix]]&amp;" "&amp;Master[[#This Row],[Inventory Type - Lookup Picker]]</f>
        <v>W6 59616  SD</v>
      </c>
      <c r="D30" s="7" t="str">
        <f>IF(Master[[#This Row],[Collector Voucher Number]]="","",Master[[#This Row],[Collector Voucher Number]])</f>
        <v>CO932-428</v>
      </c>
      <c r="E30" s="17" t="str">
        <f>IF(Master[[#This Row],[Voucher Location (3)]]="","",Master[[#This Row],[Voucher Location (3)]])</f>
        <v/>
      </c>
      <c r="F30" s="7" t="str">
        <f t="shared" si="1"/>
        <v>mm/dd/yyyy</v>
      </c>
      <c r="G30" s="2">
        <f>IF(Master[[#This Row],[Voucher Date]]="","",Master[[#This Row],[Voucher Date]])</f>
        <v>44083</v>
      </c>
      <c r="H30" s="17" t="str">
        <f>IF(Master[[#This Row],[Voucher Collector -name, organization]]="","",Master[[#This Row],[Voucher Collector -name, organization]])</f>
        <v>M. Gardner, E. Varone DBG:In Field:09 SEP 2020</v>
      </c>
      <c r="I30" s="7" t="str">
        <f>IF(Master[[#This Row],[Note (Voucher)]]="","",Master[[#This Row],[Note (Voucher)]])</f>
        <v/>
      </c>
    </row>
    <row r="31" spans="2:9" x14ac:dyDescent="0.25">
      <c r="B31" s="7" t="str">
        <f>Master[[#This Row],[Accession Prefix (NPGS)]]&amp;" "&amp;Master[[#This Row],[Accession Number -Assigned]]</f>
        <v>W6 59617</v>
      </c>
      <c r="C31" s="7" t="str">
        <f>Master[[#This Row],[Accession Prefix (NPGS)]]&amp;" "&amp;Master[[#This Row],[Accession Number -Assigned]]&amp;" "&amp;Master[[#This Row],[Inventory Suffix]]&amp;" "&amp;Master[[#This Row],[Inventory Type - Lookup Picker]]</f>
        <v>W6 59617  SD</v>
      </c>
      <c r="D31" s="7" t="str">
        <f>IF(Master[[#This Row],[Collector Voucher Number]]="","",Master[[#This Row],[Collector Voucher Number]])</f>
        <v>NV030-1506</v>
      </c>
      <c r="E31" s="17" t="str">
        <f>IF(Master[[#This Row],[Voucher Location (3)]]="","",Master[[#This Row],[Voucher Location (3)]])</f>
        <v/>
      </c>
      <c r="F31" s="7" t="str">
        <f t="shared" si="1"/>
        <v>mm/dd/yyyy</v>
      </c>
      <c r="G31" s="2" t="str">
        <f>IF(Master[[#This Row],[Voucher Date]]="","",Master[[#This Row],[Voucher Date]])</f>
        <v/>
      </c>
      <c r="H31" s="17" t="str">
        <f>IF(Master[[#This Row],[Voucher Collector -name, organization]]="","",Master[[#This Row],[Voucher Collector -name, organization]])</f>
        <v>D. Tonenna - BLM:From pressed specimen on day of collection:25 AUG 2020</v>
      </c>
      <c r="I31" s="7" t="str">
        <f>IF(Master[[#This Row],[Note (Voucher)]]="","",Master[[#This Row],[Note (Voucher)]])</f>
        <v/>
      </c>
    </row>
    <row r="32" spans="2:9" x14ac:dyDescent="0.25">
      <c r="B32" s="7" t="str">
        <f>Master[[#This Row],[Accession Prefix (NPGS)]]&amp;" "&amp;Master[[#This Row],[Accession Number -Assigned]]</f>
        <v>W6 59618</v>
      </c>
      <c r="C32" s="7" t="str">
        <f>Master[[#This Row],[Accession Prefix (NPGS)]]&amp;" "&amp;Master[[#This Row],[Accession Number -Assigned]]&amp;" "&amp;Master[[#This Row],[Inventory Suffix]]&amp;" "&amp;Master[[#This Row],[Inventory Type - Lookup Picker]]</f>
        <v>W6 59618  SD</v>
      </c>
      <c r="D32" s="7" t="str">
        <f>IF(Master[[#This Row],[Collector Voucher Number]]="","",Master[[#This Row],[Collector Voucher Number]])</f>
        <v>NV030-1507</v>
      </c>
      <c r="E32" s="17" t="str">
        <f>IF(Master[[#This Row],[Voucher Location (3)]]="","",Master[[#This Row],[Voucher Location (3)]])</f>
        <v/>
      </c>
      <c r="F32" s="7" t="str">
        <f t="shared" si="1"/>
        <v>mm/dd/yyyy</v>
      </c>
      <c r="G32" s="2" t="str">
        <f>IF(Master[[#This Row],[Voucher Date]]="","",Master[[#This Row],[Voucher Date]])</f>
        <v/>
      </c>
      <c r="H32" s="17" t="str">
        <f>IF(Master[[#This Row],[Voucher Collector -name, organization]]="","",Master[[#This Row],[Voucher Collector -name, organization]])</f>
        <v>D. Tonenna -- BLM:From pressed specimen on day of collection:02 SEP 2020</v>
      </c>
      <c r="I32" s="7" t="str">
        <f>IF(Master[[#This Row],[Note (Voucher)]]="","",Master[[#This Row],[Note (Voucher)]])</f>
        <v/>
      </c>
    </row>
    <row r="33" spans="2:9" x14ac:dyDescent="0.25">
      <c r="B33" s="7" t="str">
        <f>Master[[#This Row],[Accession Prefix (NPGS)]]&amp;" "&amp;Master[[#This Row],[Accession Number -Assigned]]</f>
        <v>W6 59619</v>
      </c>
      <c r="C33" s="7" t="str">
        <f>Master[[#This Row],[Accession Prefix (NPGS)]]&amp;" "&amp;Master[[#This Row],[Accession Number -Assigned]]&amp;" "&amp;Master[[#This Row],[Inventory Suffix]]&amp;" "&amp;Master[[#This Row],[Inventory Type - Lookup Picker]]</f>
        <v>W6 59619  SD</v>
      </c>
      <c r="D33" s="7" t="str">
        <f>IF(Master[[#This Row],[Collector Voucher Number]]="","",Master[[#This Row],[Collector Voucher Number]])</f>
        <v>NV030-1508</v>
      </c>
      <c r="E33" s="17" t="str">
        <f>IF(Master[[#This Row],[Voucher Location (3)]]="","",Master[[#This Row],[Voucher Location (3)]])</f>
        <v/>
      </c>
      <c r="F33" s="7" t="str">
        <f t="shared" si="1"/>
        <v>mm/dd/yyyy</v>
      </c>
      <c r="G33" s="2" t="str">
        <f>IF(Master[[#This Row],[Voucher Date]]="","",Master[[#This Row],[Voucher Date]])</f>
        <v/>
      </c>
      <c r="H33" s="17" t="str">
        <f>IF(Master[[#This Row],[Voucher Collector -name, organization]]="","",Master[[#This Row],[Voucher Collector -name, organization]])</f>
        <v>D. Tonenna - BLM:In Field:10 AUG 2020</v>
      </c>
      <c r="I33" s="7" t="str">
        <f>IF(Master[[#This Row],[Note (Voucher)]]="","",Master[[#This Row],[Note (Voucher)]])</f>
        <v/>
      </c>
    </row>
    <row r="34" spans="2:9" x14ac:dyDescent="0.25">
      <c r="B34" s="7" t="str">
        <f>Master[[#This Row],[Accession Prefix (NPGS)]]&amp;" "&amp;Master[[#This Row],[Accession Number -Assigned]]</f>
        <v>W6 59620</v>
      </c>
      <c r="C34" s="7" t="str">
        <f>Master[[#This Row],[Accession Prefix (NPGS)]]&amp;" "&amp;Master[[#This Row],[Accession Number -Assigned]]&amp;" "&amp;Master[[#This Row],[Inventory Suffix]]&amp;" "&amp;Master[[#This Row],[Inventory Type - Lookup Picker]]</f>
        <v>W6 59620  SD</v>
      </c>
      <c r="D34" s="7" t="str">
        <f>IF(Master[[#This Row],[Collector Voucher Number]]="","",Master[[#This Row],[Collector Voucher Number]])</f>
        <v>NV030-1509</v>
      </c>
      <c r="E34" s="17" t="str">
        <f>IF(Master[[#This Row],[Voucher Location (3)]]="","",Master[[#This Row],[Voucher Location (3)]])</f>
        <v/>
      </c>
      <c r="F34" s="7" t="str">
        <f t="shared" si="1"/>
        <v>mm/dd/yyyy</v>
      </c>
      <c r="G34" s="2" t="str">
        <f>IF(Master[[#This Row],[Voucher Date]]="","",Master[[#This Row],[Voucher Date]])</f>
        <v/>
      </c>
      <c r="H34" s="17" t="str">
        <f>IF(Master[[#This Row],[Voucher Collector -name, organization]]="","",Master[[#This Row],[Voucher Collector -name, organization]])</f>
        <v>D. Tonenna - BLM:In Field:10 SEP 2020</v>
      </c>
      <c r="I34" s="7" t="str">
        <f>IF(Master[[#This Row],[Note (Voucher)]]="","",Master[[#This Row],[Note (Voucher)]])</f>
        <v/>
      </c>
    </row>
    <row r="35" spans="2:9" x14ac:dyDescent="0.25">
      <c r="B35" s="7" t="str">
        <f>Master[[#This Row],[Accession Prefix (NPGS)]]&amp;" "&amp;Master[[#This Row],[Accession Number -Assigned]]</f>
        <v>W6 59621</v>
      </c>
      <c r="C35" s="7" t="str">
        <f>Master[[#This Row],[Accession Prefix (NPGS)]]&amp;" "&amp;Master[[#This Row],[Accession Number -Assigned]]&amp;" "&amp;Master[[#This Row],[Inventory Suffix]]&amp;" "&amp;Master[[#This Row],[Inventory Type - Lookup Picker]]</f>
        <v>W6 59621  SD</v>
      </c>
      <c r="D35" s="7" t="str">
        <f>IF(Master[[#This Row],[Collector Voucher Number]]="","",Master[[#This Row],[Collector Voucher Number]])</f>
        <v>NV030-1510</v>
      </c>
      <c r="E35" s="17" t="str">
        <f>IF(Master[[#This Row],[Voucher Location (3)]]="","",Master[[#This Row],[Voucher Location (3)]])</f>
        <v/>
      </c>
      <c r="F35" s="7" t="str">
        <f t="shared" si="1"/>
        <v>mm/dd/yyyy</v>
      </c>
      <c r="G35" s="2" t="str">
        <f>IF(Master[[#This Row],[Voucher Date]]="","",Master[[#This Row],[Voucher Date]])</f>
        <v/>
      </c>
      <c r="H35" s="17" t="str">
        <f>IF(Master[[#This Row],[Voucher Collector -name, organization]]="","",Master[[#This Row],[Voucher Collector -name, organization]])</f>
        <v>D. Tonenna - BLM:In Field:22 SEP 2020</v>
      </c>
      <c r="I35" s="7" t="str">
        <f>IF(Master[[#This Row],[Note (Voucher)]]="","",Master[[#This Row],[Note (Voucher)]])</f>
        <v/>
      </c>
    </row>
    <row r="36" spans="2:9" x14ac:dyDescent="0.25">
      <c r="B36" s="7" t="str">
        <f>Master[[#This Row],[Accession Prefix (NPGS)]]&amp;" "&amp;Master[[#This Row],[Accession Number -Assigned]]</f>
        <v>W6 59622</v>
      </c>
      <c r="C36" s="7" t="str">
        <f>Master[[#This Row],[Accession Prefix (NPGS)]]&amp;" "&amp;Master[[#This Row],[Accession Number -Assigned]]&amp;" "&amp;Master[[#This Row],[Inventory Suffix]]&amp;" "&amp;Master[[#This Row],[Inventory Type - Lookup Picker]]</f>
        <v>W6 59622  SD</v>
      </c>
      <c r="D36" s="7" t="str">
        <f>IF(Master[[#This Row],[Collector Voucher Number]]="","",Master[[#This Row],[Collector Voucher Number]])</f>
        <v>NV030-1511</v>
      </c>
      <c r="E36" s="17" t="str">
        <f>IF(Master[[#This Row],[Voucher Location (3)]]="","",Master[[#This Row],[Voucher Location (3)]])</f>
        <v/>
      </c>
      <c r="F36" s="7" t="str">
        <f t="shared" si="1"/>
        <v>mm/dd/yyyy</v>
      </c>
      <c r="G36" s="2" t="str">
        <f>IF(Master[[#This Row],[Voucher Date]]="","",Master[[#This Row],[Voucher Date]])</f>
        <v/>
      </c>
      <c r="H36" s="17" t="str">
        <f>IF(Master[[#This Row],[Voucher Collector -name, organization]]="","",Master[[#This Row],[Voucher Collector -name, organization]])</f>
        <v>D. Tonenna - BLM:In Field:22 SEP 2020</v>
      </c>
      <c r="I36" s="7" t="str">
        <f>IF(Master[[#This Row],[Note (Voucher)]]="","",Master[[#This Row],[Note (Voucher)]])</f>
        <v/>
      </c>
    </row>
    <row r="37" spans="2:9" x14ac:dyDescent="0.25">
      <c r="B37" s="7" t="str">
        <f>Master[[#This Row],[Accession Prefix (NPGS)]]&amp;" "&amp;Master[[#This Row],[Accession Number -Assigned]]</f>
        <v>W6 59623</v>
      </c>
      <c r="C37" s="7" t="str">
        <f>Master[[#This Row],[Accession Prefix (NPGS)]]&amp;" "&amp;Master[[#This Row],[Accession Number -Assigned]]&amp;" "&amp;Master[[#This Row],[Inventory Suffix]]&amp;" "&amp;Master[[#This Row],[Inventory Type - Lookup Picker]]</f>
        <v>W6 59623  SD</v>
      </c>
      <c r="D37" s="7" t="str">
        <f>IF(Master[[#This Row],[Collector Voucher Number]]="","",Master[[#This Row],[Collector Voucher Number]])</f>
        <v>NV030-1513</v>
      </c>
      <c r="E37" s="17" t="str">
        <f>IF(Master[[#This Row],[Voucher Location (3)]]="","",Master[[#This Row],[Voucher Location (3)]])</f>
        <v/>
      </c>
      <c r="F37" s="7" t="str">
        <f t="shared" si="1"/>
        <v>mm/dd/yyyy</v>
      </c>
      <c r="G37" s="2" t="str">
        <f>IF(Master[[#This Row],[Voucher Date]]="","",Master[[#This Row],[Voucher Date]])</f>
        <v/>
      </c>
      <c r="H37" s="17" t="str">
        <f>IF(Master[[#This Row],[Voucher Collector -name, organization]]="","",Master[[#This Row],[Voucher Collector -name, organization]])</f>
        <v>D. Tonenna - BLM:In Field:01 SEP 2020</v>
      </c>
      <c r="I37" s="7" t="str">
        <f>IF(Master[[#This Row],[Note (Voucher)]]="","",Master[[#This Row],[Note (Voucher)]])</f>
        <v/>
      </c>
    </row>
    <row r="38" spans="2:9" x14ac:dyDescent="0.25">
      <c r="B38" s="7" t="str">
        <f>Master[[#This Row],[Accession Prefix (NPGS)]]&amp;" "&amp;Master[[#This Row],[Accession Number -Assigned]]</f>
        <v>W6 59624</v>
      </c>
      <c r="C38" s="7" t="str">
        <f>Master[[#This Row],[Accession Prefix (NPGS)]]&amp;" "&amp;Master[[#This Row],[Accession Number -Assigned]]&amp;" "&amp;Master[[#This Row],[Inventory Suffix]]&amp;" "&amp;Master[[#This Row],[Inventory Type - Lookup Picker]]</f>
        <v>W6 59624  SD</v>
      </c>
      <c r="D38" s="7" t="str">
        <f>IF(Master[[#This Row],[Collector Voucher Number]]="","",Master[[#This Row],[Collector Voucher Number]])</f>
        <v>NV030-1515</v>
      </c>
      <c r="E38" s="17" t="str">
        <f>IF(Master[[#This Row],[Voucher Location (3)]]="","",Master[[#This Row],[Voucher Location (3)]])</f>
        <v/>
      </c>
      <c r="F38" s="7" t="str">
        <f t="shared" si="1"/>
        <v>mm/dd/yyyy</v>
      </c>
      <c r="G38" s="2" t="str">
        <f>IF(Master[[#This Row],[Voucher Date]]="","",Master[[#This Row],[Voucher Date]])</f>
        <v/>
      </c>
      <c r="H38" s="17" t="str">
        <f>IF(Master[[#This Row],[Voucher Collector -name, organization]]="","",Master[[#This Row],[Voucher Collector -name, organization]])</f>
        <v>D. Tonenna - BLM:In Field:01 SEP 2020</v>
      </c>
      <c r="I38" s="7" t="str">
        <f>IF(Master[[#This Row],[Note (Voucher)]]="","",Master[[#This Row],[Note (Voucher)]])</f>
        <v/>
      </c>
    </row>
    <row r="39" spans="2:9" x14ac:dyDescent="0.25">
      <c r="B39" s="7" t="str">
        <f>Master[[#This Row],[Accession Prefix (NPGS)]]&amp;" "&amp;Master[[#This Row],[Accession Number -Assigned]]</f>
        <v>W6 59625</v>
      </c>
      <c r="C39" s="7" t="str">
        <f>Master[[#This Row],[Accession Prefix (NPGS)]]&amp;" "&amp;Master[[#This Row],[Accession Number -Assigned]]&amp;" "&amp;Master[[#This Row],[Inventory Suffix]]&amp;" "&amp;Master[[#This Row],[Inventory Type - Lookup Picker]]</f>
        <v>W6 59625  SD</v>
      </c>
      <c r="D39" s="7" t="str">
        <f>IF(Master[[#This Row],[Collector Voucher Number]]="","",Master[[#This Row],[Collector Voucher Number]])</f>
        <v>NV030-1517</v>
      </c>
      <c r="E39" s="17" t="str">
        <f>IF(Master[[#This Row],[Voucher Location (3)]]="","",Master[[#This Row],[Voucher Location (3)]])</f>
        <v/>
      </c>
      <c r="F39" s="7" t="str">
        <f t="shared" si="1"/>
        <v>mm/dd/yyyy</v>
      </c>
      <c r="G39" s="2" t="str">
        <f>IF(Master[[#This Row],[Voucher Date]]="","",Master[[#This Row],[Voucher Date]])</f>
        <v/>
      </c>
      <c r="H39" s="17" t="str">
        <f>IF(Master[[#This Row],[Voucher Collector -name, organization]]="","",Master[[#This Row],[Voucher Collector -name, organization]])</f>
        <v>D. Tonenna - BLM:In Field:01 SEP 2020</v>
      </c>
      <c r="I39" s="7" t="str">
        <f>IF(Master[[#This Row],[Note (Voucher)]]="","",Master[[#This Row],[Note (Voucher)]])</f>
        <v/>
      </c>
    </row>
    <row r="40" spans="2:9" x14ac:dyDescent="0.25">
      <c r="B40" s="7" t="str">
        <f>Master[[#This Row],[Accession Prefix (NPGS)]]&amp;" "&amp;Master[[#This Row],[Accession Number -Assigned]]</f>
        <v>W6 59626</v>
      </c>
      <c r="C40" s="7" t="str">
        <f>Master[[#This Row],[Accession Prefix (NPGS)]]&amp;" "&amp;Master[[#This Row],[Accession Number -Assigned]]&amp;" "&amp;Master[[#This Row],[Inventory Suffix]]&amp;" "&amp;Master[[#This Row],[Inventory Type - Lookup Picker]]</f>
        <v>W6 59626  SD</v>
      </c>
      <c r="D40" s="7" t="str">
        <f>IF(Master[[#This Row],[Collector Voucher Number]]="","",Master[[#This Row],[Collector Voucher Number]])</f>
        <v>NV030-1519</v>
      </c>
      <c r="E40" s="17" t="str">
        <f>IF(Master[[#This Row],[Voucher Location (3)]]="","",Master[[#This Row],[Voucher Location (3)]])</f>
        <v/>
      </c>
      <c r="F40" s="7" t="str">
        <f t="shared" si="1"/>
        <v>mm/dd/yyyy</v>
      </c>
      <c r="G40" s="2" t="str">
        <f>IF(Master[[#This Row],[Voucher Date]]="","",Master[[#This Row],[Voucher Date]])</f>
        <v/>
      </c>
      <c r="H40" s="17" t="str">
        <f>IF(Master[[#This Row],[Voucher Collector -name, organization]]="","",Master[[#This Row],[Voucher Collector -name, organization]])</f>
        <v>Dean Tonenna, BLM::10 OCT 2020</v>
      </c>
      <c r="I40" s="7" t="str">
        <f>IF(Master[[#This Row],[Note (Voucher)]]="","",Master[[#This Row],[Note (Voucher)]])</f>
        <v/>
      </c>
    </row>
    <row r="41" spans="2:9" x14ac:dyDescent="0.25">
      <c r="B41" s="7" t="str">
        <f>Master[[#This Row],[Accession Prefix (NPGS)]]&amp;" "&amp;Master[[#This Row],[Accession Number -Assigned]]</f>
        <v>W6 59627</v>
      </c>
      <c r="C41" s="7" t="str">
        <f>Master[[#This Row],[Accession Prefix (NPGS)]]&amp;" "&amp;Master[[#This Row],[Accession Number -Assigned]]&amp;" "&amp;Master[[#This Row],[Inventory Suffix]]&amp;" "&amp;Master[[#This Row],[Inventory Type - Lookup Picker]]</f>
        <v>W6 59627  SD</v>
      </c>
      <c r="D41" s="7" t="str">
        <f>IF(Master[[#This Row],[Collector Voucher Number]]="","",Master[[#This Row],[Collector Voucher Number]])</f>
        <v>NV030-1520</v>
      </c>
      <c r="E41" s="17" t="str">
        <f>IF(Master[[#This Row],[Voucher Location (3)]]="","",Master[[#This Row],[Voucher Location (3)]])</f>
        <v/>
      </c>
      <c r="F41" s="7" t="str">
        <f t="shared" si="1"/>
        <v>mm/dd/yyyy</v>
      </c>
      <c r="G41" s="2" t="str">
        <f>IF(Master[[#This Row],[Voucher Date]]="","",Master[[#This Row],[Voucher Date]])</f>
        <v/>
      </c>
      <c r="H41" s="17" t="str">
        <f>IF(Master[[#This Row],[Voucher Collector -name, organization]]="","",Master[[#This Row],[Voucher Collector -name, organization]])</f>
        <v>Dean Tonenna, BLm :In Field:10 OCT 2020</v>
      </c>
      <c r="I41" s="7" t="str">
        <f>IF(Master[[#This Row],[Note (Voucher)]]="","",Master[[#This Row],[Note (Voucher)]])</f>
        <v/>
      </c>
    </row>
    <row r="42" spans="2:9" x14ac:dyDescent="0.25">
      <c r="B42" s="7" t="str">
        <f>Master[[#This Row],[Accession Prefix (NPGS)]]&amp;" "&amp;Master[[#This Row],[Accession Number -Assigned]]</f>
        <v>W6 59628</v>
      </c>
      <c r="C42" s="7" t="str">
        <f>Master[[#This Row],[Accession Prefix (NPGS)]]&amp;" "&amp;Master[[#This Row],[Accession Number -Assigned]]&amp;" "&amp;Master[[#This Row],[Inventory Suffix]]&amp;" "&amp;Master[[#This Row],[Inventory Type - Lookup Picker]]</f>
        <v>W6 59628  SD</v>
      </c>
      <c r="D42" s="7" t="str">
        <f>IF(Master[[#This Row],[Collector Voucher Number]]="","",Master[[#This Row],[Collector Voucher Number]])</f>
        <v>NV030-1521</v>
      </c>
      <c r="E42" s="17" t="str">
        <f>IF(Master[[#This Row],[Voucher Location (3)]]="","",Master[[#This Row],[Voucher Location (3)]])</f>
        <v/>
      </c>
      <c r="F42" s="7" t="str">
        <f t="shared" si="1"/>
        <v>mm/dd/yyyy</v>
      </c>
      <c r="G42" s="2" t="str">
        <f>IF(Master[[#This Row],[Voucher Date]]="","",Master[[#This Row],[Voucher Date]])</f>
        <v/>
      </c>
      <c r="H42" s="17" t="str">
        <f>IF(Master[[#This Row],[Voucher Collector -name, organization]]="","",Master[[#This Row],[Voucher Collector -name, organization]])</f>
        <v>Dean Tonenna, BLM:In Field:</v>
      </c>
      <c r="I42" s="7" t="str">
        <f>IF(Master[[#This Row],[Note (Voucher)]]="","",Master[[#This Row],[Note (Voucher)]])</f>
        <v/>
      </c>
    </row>
    <row r="43" spans="2:9" x14ac:dyDescent="0.25">
      <c r="B43" s="7" t="str">
        <f>Master[[#This Row],[Accession Prefix (NPGS)]]&amp;" "&amp;Master[[#This Row],[Accession Number -Assigned]]</f>
        <v>W6 59629</v>
      </c>
      <c r="C43" s="7" t="str">
        <f>Master[[#This Row],[Accession Prefix (NPGS)]]&amp;" "&amp;Master[[#This Row],[Accession Number -Assigned]]&amp;" "&amp;Master[[#This Row],[Inventory Suffix]]&amp;" "&amp;Master[[#This Row],[Inventory Type - Lookup Picker]]</f>
        <v>W6 59629  SD</v>
      </c>
      <c r="D43" s="7" t="str">
        <f>IF(Master[[#This Row],[Collector Voucher Number]]="","",Master[[#This Row],[Collector Voucher Number]])</f>
        <v>NV030-1522</v>
      </c>
      <c r="E43" s="17" t="str">
        <f>IF(Master[[#This Row],[Voucher Location (3)]]="","",Master[[#This Row],[Voucher Location (3)]])</f>
        <v/>
      </c>
      <c r="F43" s="7" t="str">
        <f t="shared" si="1"/>
        <v>mm/dd/yyyy</v>
      </c>
      <c r="G43" s="2" t="str">
        <f>IF(Master[[#This Row],[Voucher Date]]="","",Master[[#This Row],[Voucher Date]])</f>
        <v/>
      </c>
      <c r="H43" s="17" t="str">
        <f>IF(Master[[#This Row],[Voucher Collector -name, organization]]="","",Master[[#This Row],[Voucher Collector -name, organization]])</f>
        <v>Dean Tonenna, BLM:In Field:15 OCT 2020</v>
      </c>
      <c r="I43" s="7" t="str">
        <f>IF(Master[[#This Row],[Note (Voucher)]]="","",Master[[#This Row],[Note (Voucher)]])</f>
        <v/>
      </c>
    </row>
    <row r="44" spans="2:9" x14ac:dyDescent="0.25">
      <c r="B44" s="7" t="str">
        <f>Master[[#This Row],[Accession Prefix (NPGS)]]&amp;" "&amp;Master[[#This Row],[Accession Number -Assigned]]</f>
        <v>W6 59630</v>
      </c>
      <c r="C44" s="7" t="str">
        <f>Master[[#This Row],[Accession Prefix (NPGS)]]&amp;" "&amp;Master[[#This Row],[Accession Number -Assigned]]&amp;" "&amp;Master[[#This Row],[Inventory Suffix]]&amp;" "&amp;Master[[#This Row],[Inventory Type - Lookup Picker]]</f>
        <v>W6 59630  SD</v>
      </c>
      <c r="D44" s="7" t="str">
        <f>IF(Master[[#This Row],[Collector Voucher Number]]="","",Master[[#This Row],[Collector Voucher Number]])</f>
        <v>NV030-1523</v>
      </c>
      <c r="E44" s="17" t="str">
        <f>IF(Master[[#This Row],[Voucher Location (3)]]="","",Master[[#This Row],[Voucher Location (3)]])</f>
        <v/>
      </c>
      <c r="F44" s="7" t="str">
        <f t="shared" si="1"/>
        <v>mm/dd/yyyy</v>
      </c>
      <c r="G44" s="2" t="str">
        <f>IF(Master[[#This Row],[Voucher Date]]="","",Master[[#This Row],[Voucher Date]])</f>
        <v/>
      </c>
      <c r="H44" s="17" t="str">
        <f>IF(Master[[#This Row],[Voucher Collector -name, organization]]="","",Master[[#This Row],[Voucher Collector -name, organization]])</f>
        <v>Dean Tonenna, BLM:In Field:10 OCT 2020</v>
      </c>
      <c r="I44" s="7" t="str">
        <f>IF(Master[[#This Row],[Note (Voucher)]]="","",Master[[#This Row],[Note (Voucher)]])</f>
        <v/>
      </c>
    </row>
    <row r="45" spans="2:9" x14ac:dyDescent="0.25">
      <c r="B45" s="7" t="str">
        <f>Master[[#This Row],[Accession Prefix (NPGS)]]&amp;" "&amp;Master[[#This Row],[Accession Number -Assigned]]</f>
        <v>W6 59631</v>
      </c>
      <c r="C45" s="7" t="str">
        <f>Master[[#This Row],[Accession Prefix (NPGS)]]&amp;" "&amp;Master[[#This Row],[Accession Number -Assigned]]&amp;" "&amp;Master[[#This Row],[Inventory Suffix]]&amp;" "&amp;Master[[#This Row],[Inventory Type - Lookup Picker]]</f>
        <v>W6 59631  SD</v>
      </c>
      <c r="D45" s="7" t="str">
        <f>IF(Master[[#This Row],[Collector Voucher Number]]="","",Master[[#This Row],[Collector Voucher Number]])</f>
        <v>NV030-1524</v>
      </c>
      <c r="E45" s="17" t="str">
        <f>IF(Master[[#This Row],[Voucher Location (3)]]="","",Master[[#This Row],[Voucher Location (3)]])</f>
        <v/>
      </c>
      <c r="F45" s="7" t="str">
        <f t="shared" si="1"/>
        <v>mm/dd/yyyy</v>
      </c>
      <c r="G45" s="2" t="str">
        <f>IF(Master[[#This Row],[Voucher Date]]="","",Master[[#This Row],[Voucher Date]])</f>
        <v/>
      </c>
      <c r="H45" s="17" t="str">
        <f>IF(Master[[#This Row],[Voucher Collector -name, organization]]="","",Master[[#This Row],[Voucher Collector -name, organization]])</f>
        <v>Dean Tonenna:From photograph:20 OCT 2020</v>
      </c>
      <c r="I45" s="7" t="str">
        <f>IF(Master[[#This Row],[Note (Voucher)]]="","",Master[[#This Row],[Note (Voucher)]])</f>
        <v/>
      </c>
    </row>
    <row r="46" spans="2:9" x14ac:dyDescent="0.25">
      <c r="B46" s="7" t="str">
        <f>Master[[#This Row],[Accession Prefix (NPGS)]]&amp;" "&amp;Master[[#This Row],[Accession Number -Assigned]]</f>
        <v>W6 59632</v>
      </c>
      <c r="C46" s="7" t="str">
        <f>Master[[#This Row],[Accession Prefix (NPGS)]]&amp;" "&amp;Master[[#This Row],[Accession Number -Assigned]]&amp;" "&amp;Master[[#This Row],[Inventory Suffix]]&amp;" "&amp;Master[[#This Row],[Inventory Type - Lookup Picker]]</f>
        <v>W6 59632  SD</v>
      </c>
      <c r="D46" s="7" t="str">
        <f>IF(Master[[#This Row],[Collector Voucher Number]]="","",Master[[#This Row],[Collector Voucher Number]])</f>
        <v>NV030-1525</v>
      </c>
      <c r="E46" s="17" t="str">
        <f>IF(Master[[#This Row],[Voucher Location (3)]]="","",Master[[#This Row],[Voucher Location (3)]])</f>
        <v>University of Nevada-Reno</v>
      </c>
      <c r="F46" s="7" t="str">
        <f t="shared" si="1"/>
        <v>mm/dd/yyyy</v>
      </c>
      <c r="G46" s="2">
        <f>IF(Master[[#This Row],[Voucher Date]]="","",Master[[#This Row],[Voucher Date]])</f>
        <v>44131</v>
      </c>
      <c r="H46" s="17" t="str">
        <f>IF(Master[[#This Row],[Voucher Collector -name, organization]]="","",Master[[#This Row],[Voucher Collector -name, organization]])</f>
        <v>dean tonena, blm:From pressed specimen on another date:29 OCT 2020</v>
      </c>
      <c r="I46" s="7" t="str">
        <f>IF(Master[[#This Row],[Note (Voucher)]]="","",Master[[#This Row],[Note (Voucher)]])</f>
        <v/>
      </c>
    </row>
    <row r="47" spans="2:9" x14ac:dyDescent="0.25">
      <c r="B47" s="7" t="str">
        <f>Master[[#This Row],[Accession Prefix (NPGS)]]&amp;" "&amp;Master[[#This Row],[Accession Number -Assigned]]</f>
        <v>W6 59633</v>
      </c>
      <c r="C47" s="7" t="str">
        <f>Master[[#This Row],[Accession Prefix (NPGS)]]&amp;" "&amp;Master[[#This Row],[Accession Number -Assigned]]&amp;" "&amp;Master[[#This Row],[Inventory Suffix]]&amp;" "&amp;Master[[#This Row],[Inventory Type - Lookup Picker]]</f>
        <v>W6 59633  SD</v>
      </c>
      <c r="D47" s="7" t="str">
        <f>IF(Master[[#This Row],[Collector Voucher Number]]="","",Master[[#This Row],[Collector Voucher Number]])</f>
        <v>NV030-1526</v>
      </c>
      <c r="E47" s="17" t="str">
        <f>IF(Master[[#This Row],[Voucher Location (3)]]="","",Master[[#This Row],[Voucher Location (3)]])</f>
        <v/>
      </c>
      <c r="F47" s="7" t="str">
        <f t="shared" si="1"/>
        <v>mm/dd/yyyy</v>
      </c>
      <c r="G47" s="2" t="str">
        <f>IF(Master[[#This Row],[Voucher Date]]="","",Master[[#This Row],[Voucher Date]])</f>
        <v/>
      </c>
      <c r="H47" s="17" t="str">
        <f>IF(Master[[#This Row],[Voucher Collector -name, organization]]="","",Master[[#This Row],[Voucher Collector -name, organization]])</f>
        <v>Dean Tonenna BLM:In Field:10 NOV 2020</v>
      </c>
      <c r="I47" s="7" t="str">
        <f>IF(Master[[#This Row],[Note (Voucher)]]="","",Master[[#This Row],[Note (Voucher)]])</f>
        <v/>
      </c>
    </row>
    <row r="48" spans="2:9" x14ac:dyDescent="0.25">
      <c r="B48" s="7" t="str">
        <f>Master[[#This Row],[Accession Prefix (NPGS)]]&amp;" "&amp;Master[[#This Row],[Accession Number -Assigned]]</f>
        <v>W6 59634</v>
      </c>
      <c r="C48" s="7" t="str">
        <f>Master[[#This Row],[Accession Prefix (NPGS)]]&amp;" "&amp;Master[[#This Row],[Accession Number -Assigned]]&amp;" "&amp;Master[[#This Row],[Inventory Suffix]]&amp;" "&amp;Master[[#This Row],[Inventory Type - Lookup Picker]]</f>
        <v>W6 59634  SD</v>
      </c>
      <c r="D48" s="7" t="str">
        <f>IF(Master[[#This Row],[Collector Voucher Number]]="","",Master[[#This Row],[Collector Voucher Number]])</f>
        <v>NV030-1527</v>
      </c>
      <c r="E48" s="17" t="str">
        <f>IF(Master[[#This Row],[Voucher Location (3)]]="","",Master[[#This Row],[Voucher Location (3)]])</f>
        <v/>
      </c>
      <c r="F48" s="7" t="str">
        <f t="shared" si="1"/>
        <v>mm/dd/yyyy</v>
      </c>
      <c r="G48" s="2" t="str">
        <f>IF(Master[[#This Row],[Voucher Date]]="","",Master[[#This Row],[Voucher Date]])</f>
        <v/>
      </c>
      <c r="H48" s="17" t="str">
        <f>IF(Master[[#This Row],[Voucher Collector -name, organization]]="","",Master[[#This Row],[Voucher Collector -name, organization]])</f>
        <v>Dean Tonenna BLM:In Field:10 NOV 2020</v>
      </c>
      <c r="I48" s="7" t="str">
        <f>IF(Master[[#This Row],[Note (Voucher)]]="","",Master[[#This Row],[Note (Voucher)]])</f>
        <v/>
      </c>
    </row>
    <row r="49" spans="2:9" x14ac:dyDescent="0.25">
      <c r="B49" s="7" t="str">
        <f>Master[[#This Row],[Accession Prefix (NPGS)]]&amp;" "&amp;Master[[#This Row],[Accession Number -Assigned]]</f>
        <v>W6 59635</v>
      </c>
      <c r="C49" s="7" t="str">
        <f>Master[[#This Row],[Accession Prefix (NPGS)]]&amp;" "&amp;Master[[#This Row],[Accession Number -Assigned]]&amp;" "&amp;Master[[#This Row],[Inventory Suffix]]&amp;" "&amp;Master[[#This Row],[Inventory Type - Lookup Picker]]</f>
        <v>W6 59635  SD</v>
      </c>
      <c r="D49" s="7" t="str">
        <f>IF(Master[[#This Row],[Collector Voucher Number]]="","",Master[[#This Row],[Collector Voucher Number]])</f>
        <v>NV030-1528</v>
      </c>
      <c r="E49" s="17" t="str">
        <f>IF(Master[[#This Row],[Voucher Location (3)]]="","",Master[[#This Row],[Voucher Location (3)]])</f>
        <v/>
      </c>
      <c r="F49" s="7" t="str">
        <f t="shared" si="1"/>
        <v>mm/dd/yyyy</v>
      </c>
      <c r="G49" s="2" t="str">
        <f>IF(Master[[#This Row],[Voucher Date]]="","",Master[[#This Row],[Voucher Date]])</f>
        <v/>
      </c>
      <c r="H49" s="17" t="str">
        <f>IF(Master[[#This Row],[Voucher Collector -name, organization]]="","",Master[[#This Row],[Voucher Collector -name, organization]])</f>
        <v>Dean Tonenna BLM:In Field:01 NOV 2020</v>
      </c>
      <c r="I49" s="7" t="str">
        <f>IF(Master[[#This Row],[Note (Voucher)]]="","",Master[[#This Row],[Note (Voucher)]])</f>
        <v/>
      </c>
    </row>
    <row r="50" spans="2:9" x14ac:dyDescent="0.25">
      <c r="B50" s="7" t="str">
        <f>Master[[#This Row],[Accession Prefix (NPGS)]]&amp;" "&amp;Master[[#This Row],[Accession Number -Assigned]]</f>
        <v>W6 59636</v>
      </c>
      <c r="C50" s="7" t="str">
        <f>Master[[#This Row],[Accession Prefix (NPGS)]]&amp;" "&amp;Master[[#This Row],[Accession Number -Assigned]]&amp;" "&amp;Master[[#This Row],[Inventory Suffix]]&amp;" "&amp;Master[[#This Row],[Inventory Type - Lookup Picker]]</f>
        <v>W6 59636  SD</v>
      </c>
      <c r="D50" s="7" t="str">
        <f>IF(Master[[#This Row],[Collector Voucher Number]]="","",Master[[#This Row],[Collector Voucher Number]])</f>
        <v>NV030-1529</v>
      </c>
      <c r="E50" s="17" t="str">
        <f>IF(Master[[#This Row],[Voucher Location (3)]]="","",Master[[#This Row],[Voucher Location (3)]])</f>
        <v/>
      </c>
      <c r="F50" s="7" t="str">
        <f t="shared" si="1"/>
        <v>mm/dd/yyyy</v>
      </c>
      <c r="G50" s="2" t="str">
        <f>IF(Master[[#This Row],[Voucher Date]]="","",Master[[#This Row],[Voucher Date]])</f>
        <v/>
      </c>
      <c r="H50" s="17" t="str">
        <f>IF(Master[[#This Row],[Voucher Collector -name, organization]]="","",Master[[#This Row],[Voucher Collector -name, organization]])</f>
        <v>Dean Tonenna, BLM:In Field:23 NOV 2020</v>
      </c>
      <c r="I50" s="7" t="str">
        <f>IF(Master[[#This Row],[Note (Voucher)]]="","",Master[[#This Row],[Note (Voucher)]])</f>
        <v/>
      </c>
    </row>
    <row r="51" spans="2:9" x14ac:dyDescent="0.25">
      <c r="B51" s="7" t="str">
        <f>Master[[#This Row],[Accession Prefix (NPGS)]]&amp;" "&amp;Master[[#This Row],[Accession Number -Assigned]]</f>
        <v>W6 59637</v>
      </c>
      <c r="C51" s="7" t="str">
        <f>Master[[#This Row],[Accession Prefix (NPGS)]]&amp;" "&amp;Master[[#This Row],[Accession Number -Assigned]]&amp;" "&amp;Master[[#This Row],[Inventory Suffix]]&amp;" "&amp;Master[[#This Row],[Inventory Type - Lookup Picker]]</f>
        <v>W6 59637  SD</v>
      </c>
      <c r="D51" s="7" t="str">
        <f>IF(Master[[#This Row],[Collector Voucher Number]]="","",Master[[#This Row],[Collector Voucher Number]])</f>
        <v>NV030-1530</v>
      </c>
      <c r="E51" s="17" t="str">
        <f>IF(Master[[#This Row],[Voucher Location (3)]]="","",Master[[#This Row],[Voucher Location (3)]])</f>
        <v/>
      </c>
      <c r="F51" s="7" t="str">
        <f t="shared" si="1"/>
        <v>mm/dd/yyyy</v>
      </c>
      <c r="G51" s="2" t="str">
        <f>IF(Master[[#This Row],[Voucher Date]]="","",Master[[#This Row],[Voucher Date]])</f>
        <v/>
      </c>
      <c r="H51" s="17" t="str">
        <f>IF(Master[[#This Row],[Voucher Collector -name, organization]]="","",Master[[#This Row],[Voucher Collector -name, organization]])</f>
        <v>Dean Tonenna, BLM:In Field:03 DEC 2020</v>
      </c>
      <c r="I51" s="7" t="str">
        <f>IF(Master[[#This Row],[Note (Voucher)]]="","",Master[[#This Row],[Note (Voucher)]])</f>
        <v/>
      </c>
    </row>
    <row r="52" spans="2:9" x14ac:dyDescent="0.25">
      <c r="B52" s="7" t="str">
        <f>Master[[#This Row],[Accession Prefix (NPGS)]]&amp;" "&amp;Master[[#This Row],[Accession Number -Assigned]]</f>
        <v>W6 59638</v>
      </c>
      <c r="C52" s="7" t="str">
        <f>Master[[#This Row],[Accession Prefix (NPGS)]]&amp;" "&amp;Master[[#This Row],[Accession Number -Assigned]]&amp;" "&amp;Master[[#This Row],[Inventory Suffix]]&amp;" "&amp;Master[[#This Row],[Inventory Type - Lookup Picker]]</f>
        <v>W6 59638  SD</v>
      </c>
      <c r="D52" s="7" t="str">
        <f>IF(Master[[#This Row],[Collector Voucher Number]]="","",Master[[#This Row],[Collector Voucher Number]])</f>
        <v>NV030-1531</v>
      </c>
      <c r="E52" s="17" t="str">
        <f>IF(Master[[#This Row],[Voucher Location (3)]]="","",Master[[#This Row],[Voucher Location (3)]])</f>
        <v/>
      </c>
      <c r="F52" s="7" t="str">
        <f t="shared" si="1"/>
        <v>mm/dd/yyyy</v>
      </c>
      <c r="G52" s="2" t="str">
        <f>IF(Master[[#This Row],[Voucher Date]]="","",Master[[#This Row],[Voucher Date]])</f>
        <v/>
      </c>
      <c r="H52" s="17" t="str">
        <f>IF(Master[[#This Row],[Voucher Collector -name, organization]]="","",Master[[#This Row],[Voucher Collector -name, organization]])</f>
        <v>Dean Tonenna, BLM:In Field:03 DEC 2020</v>
      </c>
      <c r="I52" s="7" t="str">
        <f>IF(Master[[#This Row],[Note (Voucher)]]="","",Master[[#This Row],[Note (Voucher)]])</f>
        <v/>
      </c>
    </row>
    <row r="53" spans="2:9" x14ac:dyDescent="0.25">
      <c r="B53" s="7" t="str">
        <f>Master[[#This Row],[Accession Prefix (NPGS)]]&amp;" "&amp;Master[[#This Row],[Accession Number -Assigned]]</f>
        <v>W6 59639</v>
      </c>
      <c r="C53" s="7" t="str">
        <f>Master[[#This Row],[Accession Prefix (NPGS)]]&amp;" "&amp;Master[[#This Row],[Accession Number -Assigned]]&amp;" "&amp;Master[[#This Row],[Inventory Suffix]]&amp;" "&amp;Master[[#This Row],[Inventory Type - Lookup Picker]]</f>
        <v>W6 59639  SD</v>
      </c>
      <c r="D53" s="7" t="str">
        <f>IF(Master[[#This Row],[Collector Voucher Number]]="","",Master[[#This Row],[Collector Voucher Number]])</f>
        <v>NV030-1532</v>
      </c>
      <c r="E53" s="17" t="str">
        <f>IF(Master[[#This Row],[Voucher Location (3)]]="","",Master[[#This Row],[Voucher Location (3)]])</f>
        <v/>
      </c>
      <c r="F53" s="7" t="str">
        <f t="shared" si="1"/>
        <v>mm/dd/yyyy</v>
      </c>
      <c r="G53" s="2" t="str">
        <f>IF(Master[[#This Row],[Voucher Date]]="","",Master[[#This Row],[Voucher Date]])</f>
        <v/>
      </c>
      <c r="H53" s="17" t="str">
        <f>IF(Master[[#This Row],[Voucher Collector -name, organization]]="","",Master[[#This Row],[Voucher Collector -name, organization]])</f>
        <v>Dean Tonenna:In Field:03 DEC 2020</v>
      </c>
      <c r="I53" s="7" t="str">
        <f>IF(Master[[#This Row],[Note (Voucher)]]="","",Master[[#This Row],[Note (Voucher)]])</f>
        <v/>
      </c>
    </row>
    <row r="54" spans="2:9" x14ac:dyDescent="0.25">
      <c r="B54" s="7" t="str">
        <f>Master[[#This Row],[Accession Prefix (NPGS)]]&amp;" "&amp;Master[[#This Row],[Accession Number -Assigned]]</f>
        <v>W6 59640</v>
      </c>
      <c r="C54" s="7" t="str">
        <f>Master[[#This Row],[Accession Prefix (NPGS)]]&amp;" "&amp;Master[[#This Row],[Accession Number -Assigned]]&amp;" "&amp;Master[[#This Row],[Inventory Suffix]]&amp;" "&amp;Master[[#This Row],[Inventory Type - Lookup Picker]]</f>
        <v>W6 59640  SD</v>
      </c>
      <c r="D54" s="7" t="str">
        <f>IF(Master[[#This Row],[Collector Voucher Number]]="","",Master[[#This Row],[Collector Voucher Number]])</f>
        <v>NV030-1534</v>
      </c>
      <c r="E54" s="17" t="str">
        <f>IF(Master[[#This Row],[Voucher Location (3)]]="","",Master[[#This Row],[Voucher Location (3)]])</f>
        <v/>
      </c>
      <c r="F54" s="7" t="str">
        <f t="shared" ref="F54:F85" si="2">"mm/dd/yyyy"</f>
        <v>mm/dd/yyyy</v>
      </c>
      <c r="G54" s="2" t="str">
        <f>IF(Master[[#This Row],[Voucher Date]]="","",Master[[#This Row],[Voucher Date]])</f>
        <v/>
      </c>
      <c r="H54" s="17" t="str">
        <f>IF(Master[[#This Row],[Voucher Collector -name, organization]]="","",Master[[#This Row],[Voucher Collector -name, organization]])</f>
        <v>Dean Tonenna:In Field:15 DEC 2020</v>
      </c>
      <c r="I54" s="7" t="str">
        <f>IF(Master[[#This Row],[Note (Voucher)]]="","",Master[[#This Row],[Note (Voucher)]])</f>
        <v/>
      </c>
    </row>
    <row r="55" spans="2:9" x14ac:dyDescent="0.25">
      <c r="B55" s="7" t="str">
        <f>Master[[#This Row],[Accession Prefix (NPGS)]]&amp;" "&amp;Master[[#This Row],[Accession Number -Assigned]]</f>
        <v>W6 59641</v>
      </c>
      <c r="C55" s="7" t="str">
        <f>Master[[#This Row],[Accession Prefix (NPGS)]]&amp;" "&amp;Master[[#This Row],[Accession Number -Assigned]]&amp;" "&amp;Master[[#This Row],[Inventory Suffix]]&amp;" "&amp;Master[[#This Row],[Inventory Type - Lookup Picker]]</f>
        <v>W6 59641  SD</v>
      </c>
      <c r="D55" s="7" t="str">
        <f>IF(Master[[#This Row],[Collector Voucher Number]]="","",Master[[#This Row],[Collector Voucher Number]])</f>
        <v>NV030-1535</v>
      </c>
      <c r="E55" s="17" t="str">
        <f>IF(Master[[#This Row],[Voucher Location (3)]]="","",Master[[#This Row],[Voucher Location (3)]])</f>
        <v/>
      </c>
      <c r="F55" s="7" t="str">
        <f t="shared" si="2"/>
        <v>mm/dd/yyyy</v>
      </c>
      <c r="G55" s="2" t="str">
        <f>IF(Master[[#This Row],[Voucher Date]]="","",Master[[#This Row],[Voucher Date]])</f>
        <v/>
      </c>
      <c r="H55" s="17" t="str">
        <f>IF(Master[[#This Row],[Voucher Collector -name, organization]]="","",Master[[#This Row],[Voucher Collector -name, organization]])</f>
        <v>Dean Tonenna, BLM:From pressed specimen on day of collection:17 AUG 2020</v>
      </c>
      <c r="I55" s="7" t="str">
        <f>IF(Master[[#This Row],[Note (Voucher)]]="","",Master[[#This Row],[Note (Voucher)]])</f>
        <v/>
      </c>
    </row>
    <row r="56" spans="2:9" x14ac:dyDescent="0.25">
      <c r="B56" s="7" t="str">
        <f>Master[[#This Row],[Accession Prefix (NPGS)]]&amp;" "&amp;Master[[#This Row],[Accession Number -Assigned]]</f>
        <v>W6 59642</v>
      </c>
      <c r="C56" s="7" t="str">
        <f>Master[[#This Row],[Accession Prefix (NPGS)]]&amp;" "&amp;Master[[#This Row],[Accession Number -Assigned]]&amp;" "&amp;Master[[#This Row],[Inventory Suffix]]&amp;" "&amp;Master[[#This Row],[Inventory Type - Lookup Picker]]</f>
        <v>W6 59642  SD</v>
      </c>
      <c r="D56" s="7" t="str">
        <f>IF(Master[[#This Row],[Collector Voucher Number]]="","",Master[[#This Row],[Collector Voucher Number]])</f>
        <v>NV030-1536</v>
      </c>
      <c r="E56" s="17" t="str">
        <f>IF(Master[[#This Row],[Voucher Location (3)]]="","",Master[[#This Row],[Voucher Location (3)]])</f>
        <v/>
      </c>
      <c r="F56" s="7" t="str">
        <f t="shared" si="2"/>
        <v>mm/dd/yyyy</v>
      </c>
      <c r="G56" s="2" t="str">
        <f>IF(Master[[#This Row],[Voucher Date]]="","",Master[[#This Row],[Voucher Date]])</f>
        <v/>
      </c>
      <c r="H56" s="17" t="str">
        <f>IF(Master[[#This Row],[Voucher Collector -name, organization]]="","",Master[[#This Row],[Voucher Collector -name, organization]])</f>
        <v>D. Tonenna - BLM:From pressed specimen on day of collection:25 AUG 2020</v>
      </c>
      <c r="I56" s="7" t="str">
        <f>IF(Master[[#This Row],[Note (Voucher)]]="","",Master[[#This Row],[Note (Voucher)]])</f>
        <v/>
      </c>
    </row>
    <row r="57" spans="2:9" x14ac:dyDescent="0.25">
      <c r="B57" s="7" t="str">
        <f>Master[[#This Row],[Accession Prefix (NPGS)]]&amp;" "&amp;Master[[#This Row],[Accession Number -Assigned]]</f>
        <v>W6 59643</v>
      </c>
      <c r="C57" s="7" t="str">
        <f>Master[[#This Row],[Accession Prefix (NPGS)]]&amp;" "&amp;Master[[#This Row],[Accession Number -Assigned]]&amp;" "&amp;Master[[#This Row],[Inventory Suffix]]&amp;" "&amp;Master[[#This Row],[Inventory Type - Lookup Picker]]</f>
        <v>W6 59643  SD</v>
      </c>
      <c r="D57" s="7" t="str">
        <f>IF(Master[[#This Row],[Collector Voucher Number]]="","",Master[[#This Row],[Collector Voucher Number]])</f>
        <v>UT020-85</v>
      </c>
      <c r="E57" s="17" t="str">
        <f>IF(Master[[#This Row],[Voucher Location (3)]]="","",Master[[#This Row],[Voucher Location (3)]])</f>
        <v>BLM Utah - West Desert District</v>
      </c>
      <c r="F57" s="7" t="str">
        <f t="shared" si="2"/>
        <v>mm/dd/yyyy</v>
      </c>
      <c r="G57" s="2">
        <f>IF(Master[[#This Row],[Voucher Date]]="","",Master[[#This Row],[Voucher Date]])</f>
        <v>43976</v>
      </c>
      <c r="H57" s="17" t="str">
        <f>IF(Master[[#This Row],[Voucher Collector -name, organization]]="","",Master[[#This Row],[Voucher Collector -name, organization]])</f>
        <v/>
      </c>
      <c r="I57" s="7" t="str">
        <f>IF(Master[[#This Row],[Note (Voucher)]]="","",Master[[#This Row],[Note (Voucher)]])</f>
        <v/>
      </c>
    </row>
    <row r="58" spans="2:9" x14ac:dyDescent="0.25">
      <c r="B58" s="7" t="str">
        <f>Master[[#This Row],[Accession Prefix (NPGS)]]&amp;" "&amp;Master[[#This Row],[Accession Number -Assigned]]</f>
        <v>W6 59644</v>
      </c>
      <c r="C58" s="7" t="str">
        <f>Master[[#This Row],[Accession Prefix (NPGS)]]&amp;" "&amp;Master[[#This Row],[Accession Number -Assigned]]&amp;" "&amp;Master[[#This Row],[Inventory Suffix]]&amp;" "&amp;Master[[#This Row],[Inventory Type - Lookup Picker]]</f>
        <v>W6 59644  SD</v>
      </c>
      <c r="D58" s="7" t="str">
        <f>IF(Master[[#This Row],[Collector Voucher Number]]="","",Master[[#This Row],[Collector Voucher Number]])</f>
        <v>UT020-86</v>
      </c>
      <c r="E58" s="17" t="str">
        <f>IF(Master[[#This Row],[Voucher Location (3)]]="","",Master[[#This Row],[Voucher Location (3)]])</f>
        <v>BLM Utah - West Desert District</v>
      </c>
      <c r="F58" s="7" t="str">
        <f t="shared" si="2"/>
        <v>mm/dd/yyyy</v>
      </c>
      <c r="G58" s="2">
        <f>IF(Master[[#This Row],[Voucher Date]]="","",Master[[#This Row],[Voucher Date]])</f>
        <v>43978</v>
      </c>
      <c r="H58" s="17" t="str">
        <f>IF(Master[[#This Row],[Voucher Collector -name, organization]]="","",Master[[#This Row],[Voucher Collector -name, organization]])</f>
        <v/>
      </c>
      <c r="I58" s="7" t="str">
        <f>IF(Master[[#This Row],[Note (Voucher)]]="","",Master[[#This Row],[Note (Voucher)]])</f>
        <v/>
      </c>
    </row>
    <row r="59" spans="2:9" x14ac:dyDescent="0.25">
      <c r="B59" s="7" t="str">
        <f>Master[[#This Row],[Accession Prefix (NPGS)]]&amp;" "&amp;Master[[#This Row],[Accession Number -Assigned]]</f>
        <v>W6 59645</v>
      </c>
      <c r="C59" s="7" t="str">
        <f>Master[[#This Row],[Accession Prefix (NPGS)]]&amp;" "&amp;Master[[#This Row],[Accession Number -Assigned]]&amp;" "&amp;Master[[#This Row],[Inventory Suffix]]&amp;" "&amp;Master[[#This Row],[Inventory Type - Lookup Picker]]</f>
        <v>W6 59645  SD</v>
      </c>
      <c r="D59" s="7" t="str">
        <f>IF(Master[[#This Row],[Collector Voucher Number]]="","",Master[[#This Row],[Collector Voucher Number]])</f>
        <v>UT020-87</v>
      </c>
      <c r="E59" s="17" t="str">
        <f>IF(Master[[#This Row],[Voucher Location (3)]]="","",Master[[#This Row],[Voucher Location (3)]])</f>
        <v>BLM Utah - West Desert District</v>
      </c>
      <c r="F59" s="7" t="str">
        <f t="shared" si="2"/>
        <v>mm/dd/yyyy</v>
      </c>
      <c r="G59" s="2">
        <f>IF(Master[[#This Row],[Voucher Date]]="","",Master[[#This Row],[Voucher Date]])</f>
        <v>43986</v>
      </c>
      <c r="H59" s="17" t="str">
        <f>IF(Master[[#This Row],[Voucher Collector -name, organization]]="","",Master[[#This Row],[Voucher Collector -name, organization]])</f>
        <v/>
      </c>
      <c r="I59" s="7" t="str">
        <f>IF(Master[[#This Row],[Note (Voucher)]]="","",Master[[#This Row],[Note (Voucher)]])</f>
        <v/>
      </c>
    </row>
    <row r="60" spans="2:9" x14ac:dyDescent="0.25">
      <c r="B60" s="7" t="str">
        <f>Master[[#This Row],[Accession Prefix (NPGS)]]&amp;" "&amp;Master[[#This Row],[Accession Number -Assigned]]</f>
        <v>W6 59646</v>
      </c>
      <c r="C60" s="7" t="str">
        <f>Master[[#This Row],[Accession Prefix (NPGS)]]&amp;" "&amp;Master[[#This Row],[Accession Number -Assigned]]&amp;" "&amp;Master[[#This Row],[Inventory Suffix]]&amp;" "&amp;Master[[#This Row],[Inventory Type - Lookup Picker]]</f>
        <v>W6 59646  SD</v>
      </c>
      <c r="D60" s="7" t="str">
        <f>IF(Master[[#This Row],[Collector Voucher Number]]="","",Master[[#This Row],[Collector Voucher Number]])</f>
        <v>UT020-88</v>
      </c>
      <c r="E60" s="17" t="str">
        <f>IF(Master[[#This Row],[Voucher Location (3)]]="","",Master[[#This Row],[Voucher Location (3)]])</f>
        <v>BLM Utah - West Desert District</v>
      </c>
      <c r="F60" s="7" t="str">
        <f t="shared" si="2"/>
        <v>mm/dd/yyyy</v>
      </c>
      <c r="G60" s="2">
        <f>IF(Master[[#This Row],[Voucher Date]]="","",Master[[#This Row],[Voucher Date]])</f>
        <v>43976</v>
      </c>
      <c r="H60" s="17" t="str">
        <f>IF(Master[[#This Row],[Voucher Collector -name, organization]]="","",Master[[#This Row],[Voucher Collector -name, organization]])</f>
        <v/>
      </c>
      <c r="I60" s="7" t="str">
        <f>IF(Master[[#This Row],[Note (Voucher)]]="","",Master[[#This Row],[Note (Voucher)]])</f>
        <v/>
      </c>
    </row>
    <row r="61" spans="2:9" x14ac:dyDescent="0.25">
      <c r="B61" s="7" t="str">
        <f>Master[[#This Row],[Accession Prefix (NPGS)]]&amp;" "&amp;Master[[#This Row],[Accession Number -Assigned]]</f>
        <v>W6 59647</v>
      </c>
      <c r="C61" s="7" t="str">
        <f>Master[[#This Row],[Accession Prefix (NPGS)]]&amp;" "&amp;Master[[#This Row],[Accession Number -Assigned]]&amp;" "&amp;Master[[#This Row],[Inventory Suffix]]&amp;" "&amp;Master[[#This Row],[Inventory Type - Lookup Picker]]</f>
        <v>W6 59647  SD</v>
      </c>
      <c r="D61" s="7" t="str">
        <f>IF(Master[[#This Row],[Collector Voucher Number]]="","",Master[[#This Row],[Collector Voucher Number]])</f>
        <v>UT020-89</v>
      </c>
      <c r="E61" s="17" t="str">
        <f>IF(Master[[#This Row],[Voucher Location (3)]]="","",Master[[#This Row],[Voucher Location (3)]])</f>
        <v>BLM Utah - West Desert District</v>
      </c>
      <c r="F61" s="7" t="str">
        <f t="shared" si="2"/>
        <v>mm/dd/yyyy</v>
      </c>
      <c r="G61" s="2">
        <f>IF(Master[[#This Row],[Voucher Date]]="","",Master[[#This Row],[Voucher Date]])</f>
        <v>44019</v>
      </c>
      <c r="H61" s="17" t="str">
        <f>IF(Master[[#This Row],[Voucher Collector -name, organization]]="","",Master[[#This Row],[Voucher Collector -name, organization]])</f>
        <v/>
      </c>
      <c r="I61" s="7" t="str">
        <f>IF(Master[[#This Row],[Note (Voucher)]]="","",Master[[#This Row],[Note (Voucher)]])</f>
        <v/>
      </c>
    </row>
    <row r="62" spans="2:9" x14ac:dyDescent="0.25">
      <c r="B62" s="7" t="str">
        <f>Master[[#This Row],[Accession Prefix (NPGS)]]&amp;" "&amp;Master[[#This Row],[Accession Number -Assigned]]</f>
        <v>W6 59648</v>
      </c>
      <c r="C62" s="7" t="str">
        <f>Master[[#This Row],[Accession Prefix (NPGS)]]&amp;" "&amp;Master[[#This Row],[Accession Number -Assigned]]&amp;" "&amp;Master[[#This Row],[Inventory Suffix]]&amp;" "&amp;Master[[#This Row],[Inventory Type - Lookup Picker]]</f>
        <v>W6 59648  SD</v>
      </c>
      <c r="D62" s="7" t="str">
        <f>IF(Master[[#This Row],[Collector Voucher Number]]="","",Master[[#This Row],[Collector Voucher Number]])</f>
        <v>UT020-90</v>
      </c>
      <c r="E62" s="17" t="str">
        <f>IF(Master[[#This Row],[Voucher Location (3)]]="","",Master[[#This Row],[Voucher Location (3)]])</f>
        <v>BLM Utah - West Desert District</v>
      </c>
      <c r="F62" s="7" t="str">
        <f t="shared" si="2"/>
        <v>mm/dd/yyyy</v>
      </c>
      <c r="G62" s="2">
        <f>IF(Master[[#This Row],[Voucher Date]]="","",Master[[#This Row],[Voucher Date]])</f>
        <v>44015</v>
      </c>
      <c r="H62" s="17" t="str">
        <f>IF(Master[[#This Row],[Voucher Collector -name, organization]]="","",Master[[#This Row],[Voucher Collector -name, organization]])</f>
        <v/>
      </c>
      <c r="I62" s="7" t="str">
        <f>IF(Master[[#This Row],[Note (Voucher)]]="","",Master[[#This Row],[Note (Voucher)]])</f>
        <v/>
      </c>
    </row>
    <row r="63" spans="2:9" x14ac:dyDescent="0.25">
      <c r="B63" s="7" t="str">
        <f>Master[[#This Row],[Accession Prefix (NPGS)]]&amp;" "&amp;Master[[#This Row],[Accession Number -Assigned]]</f>
        <v>W6 59649</v>
      </c>
      <c r="C63" s="7" t="str">
        <f>Master[[#This Row],[Accession Prefix (NPGS)]]&amp;" "&amp;Master[[#This Row],[Accession Number -Assigned]]&amp;" "&amp;Master[[#This Row],[Inventory Suffix]]&amp;" "&amp;Master[[#This Row],[Inventory Type - Lookup Picker]]</f>
        <v>W6 59649  SD</v>
      </c>
      <c r="D63" s="7" t="str">
        <f>IF(Master[[#This Row],[Collector Voucher Number]]="","",Master[[#This Row],[Collector Voucher Number]])</f>
        <v>UT020-91</v>
      </c>
      <c r="E63" s="17" t="str">
        <f>IF(Master[[#This Row],[Voucher Location (3)]]="","",Master[[#This Row],[Voucher Location (3)]])</f>
        <v>BLM Utah - West Desert District</v>
      </c>
      <c r="F63" s="7" t="str">
        <f t="shared" si="2"/>
        <v>mm/dd/yyyy</v>
      </c>
      <c r="G63" s="2">
        <f>IF(Master[[#This Row],[Voucher Date]]="","",Master[[#This Row],[Voucher Date]])</f>
        <v>44025</v>
      </c>
      <c r="H63" s="17" t="str">
        <f>IF(Master[[#This Row],[Voucher Collector -name, organization]]="","",Master[[#This Row],[Voucher Collector -name, organization]])</f>
        <v/>
      </c>
      <c r="I63" s="7" t="str">
        <f>IF(Master[[#This Row],[Note (Voucher)]]="","",Master[[#This Row],[Note (Voucher)]])</f>
        <v/>
      </c>
    </row>
    <row r="64" spans="2:9" x14ac:dyDescent="0.25">
      <c r="B64" s="7" t="str">
        <f>Master[[#This Row],[Accession Prefix (NPGS)]]&amp;" "&amp;Master[[#This Row],[Accession Number -Assigned]]</f>
        <v>W6 59650</v>
      </c>
      <c r="C64" s="7" t="str">
        <f>Master[[#This Row],[Accession Prefix (NPGS)]]&amp;" "&amp;Master[[#This Row],[Accession Number -Assigned]]&amp;" "&amp;Master[[#This Row],[Inventory Suffix]]&amp;" "&amp;Master[[#This Row],[Inventory Type - Lookup Picker]]</f>
        <v>W6 59650  SD</v>
      </c>
      <c r="D64" s="7" t="str">
        <f>IF(Master[[#This Row],[Collector Voucher Number]]="","",Master[[#This Row],[Collector Voucher Number]])</f>
        <v>UT020-92</v>
      </c>
      <c r="E64" s="17" t="str">
        <f>IF(Master[[#This Row],[Voucher Location (3)]]="","",Master[[#This Row],[Voucher Location (3)]])</f>
        <v>BLM Utah - West Desert District</v>
      </c>
      <c r="F64" s="7" t="str">
        <f t="shared" si="2"/>
        <v>mm/dd/yyyy</v>
      </c>
      <c r="G64" s="2">
        <f>IF(Master[[#This Row],[Voucher Date]]="","",Master[[#This Row],[Voucher Date]])</f>
        <v>44020</v>
      </c>
      <c r="H64" s="17" t="str">
        <f>IF(Master[[#This Row],[Voucher Collector -name, organization]]="","",Master[[#This Row],[Voucher Collector -name, organization]])</f>
        <v/>
      </c>
      <c r="I64" s="7" t="str">
        <f>IF(Master[[#This Row],[Note (Voucher)]]="","",Master[[#This Row],[Note (Voucher)]])</f>
        <v/>
      </c>
    </row>
    <row r="65" spans="2:9" x14ac:dyDescent="0.25">
      <c r="B65" s="7" t="str">
        <f>Master[[#This Row],[Accession Prefix (NPGS)]]&amp;" "&amp;Master[[#This Row],[Accession Number -Assigned]]</f>
        <v>W6 59651</v>
      </c>
      <c r="C65" s="7" t="str">
        <f>Master[[#This Row],[Accession Prefix (NPGS)]]&amp;" "&amp;Master[[#This Row],[Accession Number -Assigned]]&amp;" "&amp;Master[[#This Row],[Inventory Suffix]]&amp;" "&amp;Master[[#This Row],[Inventory Type - Lookup Picker]]</f>
        <v>W6 59651  SD</v>
      </c>
      <c r="D65" s="7" t="str">
        <f>IF(Master[[#This Row],[Collector Voucher Number]]="","",Master[[#This Row],[Collector Voucher Number]])</f>
        <v>UT020-93</v>
      </c>
      <c r="E65" s="17" t="str">
        <f>IF(Master[[#This Row],[Voucher Location (3)]]="","",Master[[#This Row],[Voucher Location (3)]])</f>
        <v>BLM Utah - West Desert District</v>
      </c>
      <c r="F65" s="7" t="str">
        <f t="shared" si="2"/>
        <v>mm/dd/yyyy</v>
      </c>
      <c r="G65" s="2">
        <f>IF(Master[[#This Row],[Voucher Date]]="","",Master[[#This Row],[Voucher Date]])</f>
        <v>44040</v>
      </c>
      <c r="H65" s="17" t="str">
        <f>IF(Master[[#This Row],[Voucher Collector -name, organization]]="","",Master[[#This Row],[Voucher Collector -name, organization]])</f>
        <v/>
      </c>
      <c r="I65" s="7" t="str">
        <f>IF(Master[[#This Row],[Note (Voucher)]]="","",Master[[#This Row],[Note (Voucher)]])</f>
        <v/>
      </c>
    </row>
    <row r="66" spans="2:9" x14ac:dyDescent="0.25">
      <c r="B66" s="7" t="str">
        <f>Master[[#This Row],[Accession Prefix (NPGS)]]&amp;" "&amp;Master[[#This Row],[Accession Number -Assigned]]</f>
        <v>W6 59652</v>
      </c>
      <c r="C66" s="7" t="str">
        <f>Master[[#This Row],[Accession Prefix (NPGS)]]&amp;" "&amp;Master[[#This Row],[Accession Number -Assigned]]&amp;" "&amp;Master[[#This Row],[Inventory Suffix]]&amp;" "&amp;Master[[#This Row],[Inventory Type - Lookup Picker]]</f>
        <v>W6 59652  SD</v>
      </c>
      <c r="D66" s="7" t="str">
        <f>IF(Master[[#This Row],[Collector Voucher Number]]="","",Master[[#This Row],[Collector Voucher Number]])</f>
        <v>UT020-94</v>
      </c>
      <c r="E66" s="17" t="str">
        <f>IF(Master[[#This Row],[Voucher Location (3)]]="","",Master[[#This Row],[Voucher Location (3)]])</f>
        <v>BLM Utah - West Desert District</v>
      </c>
      <c r="F66" s="7" t="str">
        <f t="shared" si="2"/>
        <v>mm/dd/yyyy</v>
      </c>
      <c r="G66" s="2">
        <f>IF(Master[[#This Row],[Voucher Date]]="","",Master[[#This Row],[Voucher Date]])</f>
        <v>44020</v>
      </c>
      <c r="H66" s="17" t="str">
        <f>IF(Master[[#This Row],[Voucher Collector -name, organization]]="","",Master[[#This Row],[Voucher Collector -name, organization]])</f>
        <v/>
      </c>
      <c r="I66" s="7" t="str">
        <f>IF(Master[[#This Row],[Note (Voucher)]]="","",Master[[#This Row],[Note (Voucher)]])</f>
        <v/>
      </c>
    </row>
    <row r="67" spans="2:9" x14ac:dyDescent="0.25">
      <c r="B67" s="7" t="str">
        <f>Master[[#This Row],[Accession Prefix (NPGS)]]&amp;" "&amp;Master[[#This Row],[Accession Number -Assigned]]</f>
        <v>W6 59653</v>
      </c>
      <c r="C67" s="7" t="str">
        <f>Master[[#This Row],[Accession Prefix (NPGS)]]&amp;" "&amp;Master[[#This Row],[Accession Number -Assigned]]&amp;" "&amp;Master[[#This Row],[Inventory Suffix]]&amp;" "&amp;Master[[#This Row],[Inventory Type - Lookup Picker]]</f>
        <v>W6 59653  SD</v>
      </c>
      <c r="D67" s="7" t="str">
        <f>IF(Master[[#This Row],[Collector Voucher Number]]="","",Master[[#This Row],[Collector Voucher Number]])</f>
        <v>UT020-95</v>
      </c>
      <c r="E67" s="17" t="str">
        <f>IF(Master[[#This Row],[Voucher Location (3)]]="","",Master[[#This Row],[Voucher Location (3)]])</f>
        <v>BLM Utah - West Desert District</v>
      </c>
      <c r="F67" s="7" t="str">
        <f t="shared" si="2"/>
        <v>mm/dd/yyyy</v>
      </c>
      <c r="G67" s="2">
        <f>IF(Master[[#This Row],[Voucher Date]]="","",Master[[#This Row],[Voucher Date]])</f>
        <v>44020</v>
      </c>
      <c r="H67" s="17" t="str">
        <f>IF(Master[[#This Row],[Voucher Collector -name, organization]]="","",Master[[#This Row],[Voucher Collector -name, organization]])</f>
        <v/>
      </c>
      <c r="I67" s="7" t="str">
        <f>IF(Master[[#This Row],[Note (Voucher)]]="","",Master[[#This Row],[Note (Voucher)]])</f>
        <v/>
      </c>
    </row>
    <row r="68" spans="2:9" x14ac:dyDescent="0.25">
      <c r="B68" s="7" t="str">
        <f>Master[[#This Row],[Accession Prefix (NPGS)]]&amp;" "&amp;Master[[#This Row],[Accession Number -Assigned]]</f>
        <v>W6 59654</v>
      </c>
      <c r="C68" s="7" t="str">
        <f>Master[[#This Row],[Accession Prefix (NPGS)]]&amp;" "&amp;Master[[#This Row],[Accession Number -Assigned]]&amp;" "&amp;Master[[#This Row],[Inventory Suffix]]&amp;" "&amp;Master[[#This Row],[Inventory Type - Lookup Picker]]</f>
        <v>W6 59654  SD</v>
      </c>
      <c r="D68" s="7" t="str">
        <f>IF(Master[[#This Row],[Collector Voucher Number]]="","",Master[[#This Row],[Collector Voucher Number]])</f>
        <v>UT020-96</v>
      </c>
      <c r="E68" s="17" t="str">
        <f>IF(Master[[#This Row],[Voucher Location (3)]]="","",Master[[#This Row],[Voucher Location (3)]])</f>
        <v>BLM Utah - West Desert District</v>
      </c>
      <c r="F68" s="7" t="str">
        <f t="shared" si="2"/>
        <v>mm/dd/yyyy</v>
      </c>
      <c r="G68" s="2">
        <f>IF(Master[[#This Row],[Voucher Date]]="","",Master[[#This Row],[Voucher Date]])</f>
        <v>44032</v>
      </c>
      <c r="H68" s="17" t="str">
        <f>IF(Master[[#This Row],[Voucher Collector -name, organization]]="","",Master[[#This Row],[Voucher Collector -name, organization]])</f>
        <v/>
      </c>
      <c r="I68" s="7" t="str">
        <f>IF(Master[[#This Row],[Note (Voucher)]]="","",Master[[#This Row],[Note (Voucher)]])</f>
        <v/>
      </c>
    </row>
    <row r="69" spans="2:9" x14ac:dyDescent="0.25">
      <c r="B69" s="7" t="str">
        <f>Master[[#This Row],[Accession Prefix (NPGS)]]&amp;" "&amp;Master[[#This Row],[Accession Number -Assigned]]</f>
        <v>W6 59655</v>
      </c>
      <c r="C69" s="7" t="str">
        <f>Master[[#This Row],[Accession Prefix (NPGS)]]&amp;" "&amp;Master[[#This Row],[Accession Number -Assigned]]&amp;" "&amp;Master[[#This Row],[Inventory Suffix]]&amp;" "&amp;Master[[#This Row],[Inventory Type - Lookup Picker]]</f>
        <v>W6 59655  SD</v>
      </c>
      <c r="D69" s="7" t="str">
        <f>IF(Master[[#This Row],[Collector Voucher Number]]="","",Master[[#This Row],[Collector Voucher Number]])</f>
        <v>UT080-309</v>
      </c>
      <c r="E69" s="17" t="str">
        <f>IF(Master[[#This Row],[Voucher Location (3)]]="","",Master[[#This Row],[Voucher Location (3)]])</f>
        <v/>
      </c>
      <c r="F69" s="7" t="str">
        <f t="shared" si="2"/>
        <v>mm/dd/yyyy</v>
      </c>
      <c r="G69" s="2">
        <f>IF(Master[[#This Row],[Voucher Date]]="","",Master[[#This Row],[Voucher Date]])</f>
        <v>43993</v>
      </c>
      <c r="H69" s="17" t="str">
        <f>IF(Master[[#This Row],[Voucher Collector -name, organization]]="","",Master[[#This Row],[Voucher Collector -name, organization]])</f>
        <v/>
      </c>
      <c r="I69" s="7" t="str">
        <f>IF(Master[[#This Row],[Note (Voucher)]]="","",Master[[#This Row],[Note (Voucher)]])</f>
        <v/>
      </c>
    </row>
    <row r="70" spans="2:9" x14ac:dyDescent="0.25">
      <c r="B70" s="7" t="str">
        <f>Master[[#This Row],[Accession Prefix (NPGS)]]&amp;" "&amp;Master[[#This Row],[Accession Number -Assigned]]</f>
        <v>W6 59656</v>
      </c>
      <c r="C70" s="7" t="str">
        <f>Master[[#This Row],[Accession Prefix (NPGS)]]&amp;" "&amp;Master[[#This Row],[Accession Number -Assigned]]&amp;" "&amp;Master[[#This Row],[Inventory Suffix]]&amp;" "&amp;Master[[#This Row],[Inventory Type - Lookup Picker]]</f>
        <v>W6 59656  SD</v>
      </c>
      <c r="D70" s="7" t="str">
        <f>IF(Master[[#This Row],[Collector Voucher Number]]="","",Master[[#This Row],[Collector Voucher Number]])</f>
        <v>UT080-310</v>
      </c>
      <c r="E70" s="17" t="str">
        <f>IF(Master[[#This Row],[Voucher Location (3)]]="","",Master[[#This Row],[Voucher Location (3)]])</f>
        <v/>
      </c>
      <c r="F70" s="7" t="str">
        <f t="shared" si="2"/>
        <v>mm/dd/yyyy</v>
      </c>
      <c r="G70" s="2">
        <f>IF(Master[[#This Row],[Voucher Date]]="","",Master[[#This Row],[Voucher Date]])</f>
        <v>43997</v>
      </c>
      <c r="H70" s="17" t="str">
        <f>IF(Master[[#This Row],[Voucher Collector -name, organization]]="","",Master[[#This Row],[Voucher Collector -name, organization]])</f>
        <v/>
      </c>
      <c r="I70" s="7" t="str">
        <f>IF(Master[[#This Row],[Note (Voucher)]]="","",Master[[#This Row],[Note (Voucher)]])</f>
        <v/>
      </c>
    </row>
    <row r="71" spans="2:9" x14ac:dyDescent="0.25">
      <c r="B71" s="7" t="str">
        <f>Master[[#This Row],[Accession Prefix (NPGS)]]&amp;" "&amp;Master[[#This Row],[Accession Number -Assigned]]</f>
        <v>W6 59657</v>
      </c>
      <c r="C71" s="7" t="str">
        <f>Master[[#This Row],[Accession Prefix (NPGS)]]&amp;" "&amp;Master[[#This Row],[Accession Number -Assigned]]&amp;" "&amp;Master[[#This Row],[Inventory Suffix]]&amp;" "&amp;Master[[#This Row],[Inventory Type - Lookup Picker]]</f>
        <v>W6 59657  SD</v>
      </c>
      <c r="D71" s="7" t="str">
        <f>IF(Master[[#This Row],[Collector Voucher Number]]="","",Master[[#This Row],[Collector Voucher Number]])</f>
        <v>UT080-311</v>
      </c>
      <c r="E71" s="17" t="str">
        <f>IF(Master[[#This Row],[Voucher Location (3)]]="","",Master[[#This Row],[Voucher Location (3)]])</f>
        <v/>
      </c>
      <c r="F71" s="7" t="str">
        <f t="shared" si="2"/>
        <v>mm/dd/yyyy</v>
      </c>
      <c r="G71" s="2">
        <f>IF(Master[[#This Row],[Voucher Date]]="","",Master[[#This Row],[Voucher Date]])</f>
        <v>43998</v>
      </c>
      <c r="H71" s="17" t="str">
        <f>IF(Master[[#This Row],[Voucher Collector -name, organization]]="","",Master[[#This Row],[Voucher Collector -name, organization]])</f>
        <v/>
      </c>
      <c r="I71" s="7" t="str">
        <f>IF(Master[[#This Row],[Note (Voucher)]]="","",Master[[#This Row],[Note (Voucher)]])</f>
        <v/>
      </c>
    </row>
    <row r="72" spans="2:9" x14ac:dyDescent="0.25">
      <c r="B72" s="7" t="str">
        <f>Master[[#This Row],[Accession Prefix (NPGS)]]&amp;" "&amp;Master[[#This Row],[Accession Number -Assigned]]</f>
        <v>W6 59658</v>
      </c>
      <c r="C72" s="7" t="str">
        <f>Master[[#This Row],[Accession Prefix (NPGS)]]&amp;" "&amp;Master[[#This Row],[Accession Number -Assigned]]&amp;" "&amp;Master[[#This Row],[Inventory Suffix]]&amp;" "&amp;Master[[#This Row],[Inventory Type - Lookup Picker]]</f>
        <v>W6 59658  SD</v>
      </c>
      <c r="D72" s="7" t="str">
        <f>IF(Master[[#This Row],[Collector Voucher Number]]="","",Master[[#This Row],[Collector Voucher Number]])</f>
        <v>UT080-313</v>
      </c>
      <c r="E72" s="17" t="str">
        <f>IF(Master[[#This Row],[Voucher Location (3)]]="","",Master[[#This Row],[Voucher Location (3)]])</f>
        <v/>
      </c>
      <c r="F72" s="7" t="str">
        <f t="shared" si="2"/>
        <v>mm/dd/yyyy</v>
      </c>
      <c r="G72" s="2">
        <f>IF(Master[[#This Row],[Voucher Date]]="","",Master[[#This Row],[Voucher Date]])</f>
        <v>43998</v>
      </c>
      <c r="H72" s="17" t="str">
        <f>IF(Master[[#This Row],[Voucher Collector -name, organization]]="","",Master[[#This Row],[Voucher Collector -name, organization]])</f>
        <v/>
      </c>
      <c r="I72" s="7" t="str">
        <f>IF(Master[[#This Row],[Note (Voucher)]]="","",Master[[#This Row],[Note (Voucher)]])</f>
        <v/>
      </c>
    </row>
    <row r="73" spans="2:9" x14ac:dyDescent="0.25">
      <c r="B73" s="7" t="str">
        <f>Master[[#This Row],[Accession Prefix (NPGS)]]&amp;" "&amp;Master[[#This Row],[Accession Number -Assigned]]</f>
        <v>W6 59659</v>
      </c>
      <c r="C73" s="7" t="str">
        <f>Master[[#This Row],[Accession Prefix (NPGS)]]&amp;" "&amp;Master[[#This Row],[Accession Number -Assigned]]&amp;" "&amp;Master[[#This Row],[Inventory Suffix]]&amp;" "&amp;Master[[#This Row],[Inventory Type - Lookup Picker]]</f>
        <v>W6 59659  SD</v>
      </c>
      <c r="D73" s="7" t="str">
        <f>IF(Master[[#This Row],[Collector Voucher Number]]="","",Master[[#This Row],[Collector Voucher Number]])</f>
        <v>UT080-314</v>
      </c>
      <c r="E73" s="17" t="str">
        <f>IF(Master[[#This Row],[Voucher Location (3)]]="","",Master[[#This Row],[Voucher Location (3)]])</f>
        <v/>
      </c>
      <c r="F73" s="7" t="str">
        <f t="shared" si="2"/>
        <v>mm/dd/yyyy</v>
      </c>
      <c r="G73" s="2">
        <f>IF(Master[[#This Row],[Voucher Date]]="","",Master[[#This Row],[Voucher Date]])</f>
        <v>43999</v>
      </c>
      <c r="H73" s="17" t="str">
        <f>IF(Master[[#This Row],[Voucher Collector -name, organization]]="","",Master[[#This Row],[Voucher Collector -name, organization]])</f>
        <v/>
      </c>
      <c r="I73" s="7" t="str">
        <f>IF(Master[[#This Row],[Note (Voucher)]]="","",Master[[#This Row],[Note (Voucher)]])</f>
        <v/>
      </c>
    </row>
    <row r="74" spans="2:9" x14ac:dyDescent="0.25">
      <c r="B74" s="7" t="str">
        <f>Master[[#This Row],[Accession Prefix (NPGS)]]&amp;" "&amp;Master[[#This Row],[Accession Number -Assigned]]</f>
        <v>W6 59660</v>
      </c>
      <c r="C74" s="7" t="str">
        <f>Master[[#This Row],[Accession Prefix (NPGS)]]&amp;" "&amp;Master[[#This Row],[Accession Number -Assigned]]&amp;" "&amp;Master[[#This Row],[Inventory Suffix]]&amp;" "&amp;Master[[#This Row],[Inventory Type - Lookup Picker]]</f>
        <v>W6 59660  SD</v>
      </c>
      <c r="D74" s="7" t="str">
        <f>IF(Master[[#This Row],[Collector Voucher Number]]="","",Master[[#This Row],[Collector Voucher Number]])</f>
        <v>UT080-317</v>
      </c>
      <c r="E74" s="17" t="str">
        <f>IF(Master[[#This Row],[Voucher Location (3)]]="","",Master[[#This Row],[Voucher Location (3)]])</f>
        <v/>
      </c>
      <c r="F74" s="7" t="str">
        <f t="shared" si="2"/>
        <v>mm/dd/yyyy</v>
      </c>
      <c r="G74" s="2">
        <f>IF(Master[[#This Row],[Voucher Date]]="","",Master[[#This Row],[Voucher Date]])</f>
        <v>44006</v>
      </c>
      <c r="H74" s="17" t="str">
        <f>IF(Master[[#This Row],[Voucher Collector -name, organization]]="","",Master[[#This Row],[Voucher Collector -name, organization]])</f>
        <v/>
      </c>
      <c r="I74" s="7" t="str">
        <f>IF(Master[[#This Row],[Note (Voucher)]]="","",Master[[#This Row],[Note (Voucher)]])</f>
        <v/>
      </c>
    </row>
    <row r="75" spans="2:9" x14ac:dyDescent="0.25">
      <c r="B75" s="7" t="str">
        <f>Master[[#This Row],[Accession Prefix (NPGS)]]&amp;" "&amp;Master[[#This Row],[Accession Number -Assigned]]</f>
        <v>W6 59661</v>
      </c>
      <c r="C75" s="7" t="str">
        <f>Master[[#This Row],[Accession Prefix (NPGS)]]&amp;" "&amp;Master[[#This Row],[Accession Number -Assigned]]&amp;" "&amp;Master[[#This Row],[Inventory Suffix]]&amp;" "&amp;Master[[#This Row],[Inventory Type - Lookup Picker]]</f>
        <v>W6 59661  SD</v>
      </c>
      <c r="D75" s="7" t="str">
        <f>IF(Master[[#This Row],[Collector Voucher Number]]="","",Master[[#This Row],[Collector Voucher Number]])</f>
        <v>UT080-319</v>
      </c>
      <c r="E75" s="17" t="str">
        <f>IF(Master[[#This Row],[Voucher Location (3)]]="","",Master[[#This Row],[Voucher Location (3)]])</f>
        <v/>
      </c>
      <c r="F75" s="7" t="str">
        <f t="shared" si="2"/>
        <v>mm/dd/yyyy</v>
      </c>
      <c r="G75" s="2">
        <f>IF(Master[[#This Row],[Voucher Date]]="","",Master[[#This Row],[Voucher Date]])</f>
        <v>44006</v>
      </c>
      <c r="H75" s="17" t="str">
        <f>IF(Master[[#This Row],[Voucher Collector -name, organization]]="","",Master[[#This Row],[Voucher Collector -name, organization]])</f>
        <v/>
      </c>
      <c r="I75" s="7" t="str">
        <f>IF(Master[[#This Row],[Note (Voucher)]]="","",Master[[#This Row],[Note (Voucher)]])</f>
        <v/>
      </c>
    </row>
    <row r="76" spans="2:9" x14ac:dyDescent="0.25">
      <c r="B76" s="7" t="str">
        <f>Master[[#This Row],[Accession Prefix (NPGS)]]&amp;" "&amp;Master[[#This Row],[Accession Number -Assigned]]</f>
        <v>W6 59662</v>
      </c>
      <c r="C76" s="7" t="str">
        <f>Master[[#This Row],[Accession Prefix (NPGS)]]&amp;" "&amp;Master[[#This Row],[Accession Number -Assigned]]&amp;" "&amp;Master[[#This Row],[Inventory Suffix]]&amp;" "&amp;Master[[#This Row],[Inventory Type - Lookup Picker]]</f>
        <v>W6 59662  SD</v>
      </c>
      <c r="D76" s="7" t="str">
        <f>IF(Master[[#This Row],[Collector Voucher Number]]="","",Master[[#This Row],[Collector Voucher Number]])</f>
        <v>UT080-320</v>
      </c>
      <c r="E76" s="17" t="str">
        <f>IF(Master[[#This Row],[Voucher Location (3)]]="","",Master[[#This Row],[Voucher Location (3)]])</f>
        <v/>
      </c>
      <c r="F76" s="7" t="str">
        <f t="shared" si="2"/>
        <v>mm/dd/yyyy</v>
      </c>
      <c r="G76" s="2">
        <f>IF(Master[[#This Row],[Voucher Date]]="","",Master[[#This Row],[Voucher Date]])</f>
        <v>44007</v>
      </c>
      <c r="H76" s="17" t="str">
        <f>IF(Master[[#This Row],[Voucher Collector -name, organization]]="","",Master[[#This Row],[Voucher Collector -name, organization]])</f>
        <v/>
      </c>
      <c r="I76" s="7" t="str">
        <f>IF(Master[[#This Row],[Note (Voucher)]]="","",Master[[#This Row],[Note (Voucher)]])</f>
        <v/>
      </c>
    </row>
    <row r="77" spans="2:9" x14ac:dyDescent="0.25">
      <c r="B77" s="7" t="str">
        <f>Master[[#This Row],[Accession Prefix (NPGS)]]&amp;" "&amp;Master[[#This Row],[Accession Number -Assigned]]</f>
        <v>W6 59663</v>
      </c>
      <c r="C77" s="7" t="str">
        <f>Master[[#This Row],[Accession Prefix (NPGS)]]&amp;" "&amp;Master[[#This Row],[Accession Number -Assigned]]&amp;" "&amp;Master[[#This Row],[Inventory Suffix]]&amp;" "&amp;Master[[#This Row],[Inventory Type - Lookup Picker]]</f>
        <v>W6 59663  SD</v>
      </c>
      <c r="D77" s="7" t="str">
        <f>IF(Master[[#This Row],[Collector Voucher Number]]="","",Master[[#This Row],[Collector Voucher Number]])</f>
        <v>UT080-321</v>
      </c>
      <c r="E77" s="17" t="str">
        <f>IF(Master[[#This Row],[Voucher Location (3)]]="","",Master[[#This Row],[Voucher Location (3)]])</f>
        <v/>
      </c>
      <c r="F77" s="7" t="str">
        <f t="shared" si="2"/>
        <v>mm/dd/yyyy</v>
      </c>
      <c r="G77" s="2">
        <f>IF(Master[[#This Row],[Voucher Date]]="","",Master[[#This Row],[Voucher Date]])</f>
        <v>44007</v>
      </c>
      <c r="H77" s="17" t="str">
        <f>IF(Master[[#This Row],[Voucher Collector -name, organization]]="","",Master[[#This Row],[Voucher Collector -name, organization]])</f>
        <v/>
      </c>
      <c r="I77" s="7" t="str">
        <f>IF(Master[[#This Row],[Note (Voucher)]]="","",Master[[#This Row],[Note (Voucher)]])</f>
        <v/>
      </c>
    </row>
    <row r="78" spans="2:9" x14ac:dyDescent="0.25">
      <c r="B78" s="7" t="str">
        <f>Master[[#This Row],[Accession Prefix (NPGS)]]&amp;" "&amp;Master[[#This Row],[Accession Number -Assigned]]</f>
        <v>W6 59664</v>
      </c>
      <c r="C78" s="7" t="str">
        <f>Master[[#This Row],[Accession Prefix (NPGS)]]&amp;" "&amp;Master[[#This Row],[Accession Number -Assigned]]&amp;" "&amp;Master[[#This Row],[Inventory Suffix]]&amp;" "&amp;Master[[#This Row],[Inventory Type - Lookup Picker]]</f>
        <v>W6 59664  SD</v>
      </c>
      <c r="D78" s="7" t="str">
        <f>IF(Master[[#This Row],[Collector Voucher Number]]="","",Master[[#This Row],[Collector Voucher Number]])</f>
        <v>UT080-322</v>
      </c>
      <c r="E78" s="17" t="str">
        <f>IF(Master[[#This Row],[Voucher Location (3)]]="","",Master[[#This Row],[Voucher Location (3)]])</f>
        <v/>
      </c>
      <c r="F78" s="7" t="str">
        <f t="shared" si="2"/>
        <v>mm/dd/yyyy</v>
      </c>
      <c r="G78" s="2">
        <f>IF(Master[[#This Row],[Voucher Date]]="","",Master[[#This Row],[Voucher Date]])</f>
        <v>44075</v>
      </c>
      <c r="H78" s="17" t="str">
        <f>IF(Master[[#This Row],[Voucher Collector -name, organization]]="","",Master[[#This Row],[Voucher Collector -name, organization]])</f>
        <v/>
      </c>
      <c r="I78" s="7" t="str">
        <f>IF(Master[[#This Row],[Note (Voucher)]]="","",Master[[#This Row],[Note (Voucher)]])</f>
        <v/>
      </c>
    </row>
    <row r="79" spans="2:9" x14ac:dyDescent="0.25">
      <c r="B79" s="7" t="str">
        <f>Master[[#This Row],[Accession Prefix (NPGS)]]&amp;" "&amp;Master[[#This Row],[Accession Number -Assigned]]</f>
        <v>W6 59665</v>
      </c>
      <c r="C79" s="7" t="str">
        <f>Master[[#This Row],[Accession Prefix (NPGS)]]&amp;" "&amp;Master[[#This Row],[Accession Number -Assigned]]&amp;" "&amp;Master[[#This Row],[Inventory Suffix]]&amp;" "&amp;Master[[#This Row],[Inventory Type - Lookup Picker]]</f>
        <v>W6 59665  SD</v>
      </c>
      <c r="D79" s="7" t="str">
        <f>IF(Master[[#This Row],[Collector Voucher Number]]="","",Master[[#This Row],[Collector Voucher Number]])</f>
        <v>UT080-323</v>
      </c>
      <c r="E79" s="17" t="str">
        <f>IF(Master[[#This Row],[Voucher Location (3)]]="","",Master[[#This Row],[Voucher Location (3)]])</f>
        <v/>
      </c>
      <c r="F79" s="7" t="str">
        <f t="shared" si="2"/>
        <v>mm/dd/yyyy</v>
      </c>
      <c r="G79" s="2">
        <f>IF(Master[[#This Row],[Voucher Date]]="","",Master[[#This Row],[Voucher Date]])</f>
        <v>44011</v>
      </c>
      <c r="H79" s="17" t="str">
        <f>IF(Master[[#This Row],[Voucher Collector -name, organization]]="","",Master[[#This Row],[Voucher Collector -name, organization]])</f>
        <v/>
      </c>
      <c r="I79" s="7" t="str">
        <f>IF(Master[[#This Row],[Note (Voucher)]]="","",Master[[#This Row],[Note (Voucher)]])</f>
        <v/>
      </c>
    </row>
    <row r="80" spans="2:9" x14ac:dyDescent="0.25">
      <c r="B80" s="7" t="str">
        <f>Master[[#This Row],[Accession Prefix (NPGS)]]&amp;" "&amp;Master[[#This Row],[Accession Number -Assigned]]</f>
        <v>W6 59666</v>
      </c>
      <c r="C80" s="7" t="str">
        <f>Master[[#This Row],[Accession Prefix (NPGS)]]&amp;" "&amp;Master[[#This Row],[Accession Number -Assigned]]&amp;" "&amp;Master[[#This Row],[Inventory Suffix]]&amp;" "&amp;Master[[#This Row],[Inventory Type - Lookup Picker]]</f>
        <v>W6 59666  SD</v>
      </c>
      <c r="D80" s="7" t="str">
        <f>IF(Master[[#This Row],[Collector Voucher Number]]="","",Master[[#This Row],[Collector Voucher Number]])</f>
        <v>UT080-324</v>
      </c>
      <c r="E80" s="17" t="str">
        <f>IF(Master[[#This Row],[Voucher Location (3)]]="","",Master[[#This Row],[Voucher Location (3)]])</f>
        <v/>
      </c>
      <c r="F80" s="7" t="str">
        <f t="shared" si="2"/>
        <v>mm/dd/yyyy</v>
      </c>
      <c r="G80" s="2">
        <f>IF(Master[[#This Row],[Voucher Date]]="","",Master[[#This Row],[Voucher Date]])</f>
        <v>44012</v>
      </c>
      <c r="H80" s="17" t="str">
        <f>IF(Master[[#This Row],[Voucher Collector -name, organization]]="","",Master[[#This Row],[Voucher Collector -name, organization]])</f>
        <v/>
      </c>
      <c r="I80" s="7" t="str">
        <f>IF(Master[[#This Row],[Note (Voucher)]]="","",Master[[#This Row],[Note (Voucher)]])</f>
        <v/>
      </c>
    </row>
    <row r="81" spans="2:9" x14ac:dyDescent="0.25">
      <c r="B81" s="7" t="str">
        <f>Master[[#This Row],[Accession Prefix (NPGS)]]&amp;" "&amp;Master[[#This Row],[Accession Number -Assigned]]</f>
        <v>W6 59667</v>
      </c>
      <c r="C81" s="7" t="str">
        <f>Master[[#This Row],[Accession Prefix (NPGS)]]&amp;" "&amp;Master[[#This Row],[Accession Number -Assigned]]&amp;" "&amp;Master[[#This Row],[Inventory Suffix]]&amp;" "&amp;Master[[#This Row],[Inventory Type - Lookup Picker]]</f>
        <v>W6 59667  SD</v>
      </c>
      <c r="D81" s="7" t="str">
        <f>IF(Master[[#This Row],[Collector Voucher Number]]="","",Master[[#This Row],[Collector Voucher Number]])</f>
        <v>UT080-325</v>
      </c>
      <c r="E81" s="17" t="str">
        <f>IF(Master[[#This Row],[Voucher Location (3)]]="","",Master[[#This Row],[Voucher Location (3)]])</f>
        <v/>
      </c>
      <c r="F81" s="7" t="str">
        <f t="shared" si="2"/>
        <v>mm/dd/yyyy</v>
      </c>
      <c r="G81" s="2">
        <f>IF(Master[[#This Row],[Voucher Date]]="","",Master[[#This Row],[Voucher Date]])</f>
        <v>44012</v>
      </c>
      <c r="H81" s="17" t="str">
        <f>IF(Master[[#This Row],[Voucher Collector -name, organization]]="","",Master[[#This Row],[Voucher Collector -name, organization]])</f>
        <v/>
      </c>
      <c r="I81" s="7" t="str">
        <f>IF(Master[[#This Row],[Note (Voucher)]]="","",Master[[#This Row],[Note (Voucher)]])</f>
        <v/>
      </c>
    </row>
    <row r="82" spans="2:9" x14ac:dyDescent="0.25">
      <c r="B82" s="7" t="str">
        <f>Master[[#This Row],[Accession Prefix (NPGS)]]&amp;" "&amp;Master[[#This Row],[Accession Number -Assigned]]</f>
        <v>W6 59668</v>
      </c>
      <c r="C82" s="7" t="str">
        <f>Master[[#This Row],[Accession Prefix (NPGS)]]&amp;" "&amp;Master[[#This Row],[Accession Number -Assigned]]&amp;" "&amp;Master[[#This Row],[Inventory Suffix]]&amp;" "&amp;Master[[#This Row],[Inventory Type - Lookup Picker]]</f>
        <v>W6 59668  SD</v>
      </c>
      <c r="D82" s="7" t="str">
        <f>IF(Master[[#This Row],[Collector Voucher Number]]="","",Master[[#This Row],[Collector Voucher Number]])</f>
        <v>UT080-326</v>
      </c>
      <c r="E82" s="17" t="str">
        <f>IF(Master[[#This Row],[Voucher Location (3)]]="","",Master[[#This Row],[Voucher Location (3)]])</f>
        <v/>
      </c>
      <c r="F82" s="7" t="str">
        <f t="shared" si="2"/>
        <v>mm/dd/yyyy</v>
      </c>
      <c r="G82" s="2">
        <f>IF(Master[[#This Row],[Voucher Date]]="","",Master[[#This Row],[Voucher Date]])</f>
        <v>44019</v>
      </c>
      <c r="H82" s="17" t="str">
        <f>IF(Master[[#This Row],[Voucher Collector -name, organization]]="","",Master[[#This Row],[Voucher Collector -name, organization]])</f>
        <v/>
      </c>
      <c r="I82" s="7" t="str">
        <f>IF(Master[[#This Row],[Note (Voucher)]]="","",Master[[#This Row],[Note (Voucher)]])</f>
        <v/>
      </c>
    </row>
    <row r="83" spans="2:9" x14ac:dyDescent="0.25">
      <c r="B83" s="7" t="str">
        <f>Master[[#This Row],[Accession Prefix (NPGS)]]&amp;" "&amp;Master[[#This Row],[Accession Number -Assigned]]</f>
        <v>W6 59669</v>
      </c>
      <c r="C83" s="7" t="str">
        <f>Master[[#This Row],[Accession Prefix (NPGS)]]&amp;" "&amp;Master[[#This Row],[Accession Number -Assigned]]&amp;" "&amp;Master[[#This Row],[Inventory Suffix]]&amp;" "&amp;Master[[#This Row],[Inventory Type - Lookup Picker]]</f>
        <v>W6 59669  SD</v>
      </c>
      <c r="D83" s="7" t="str">
        <f>IF(Master[[#This Row],[Collector Voucher Number]]="","",Master[[#This Row],[Collector Voucher Number]])</f>
        <v>UT080-327</v>
      </c>
      <c r="E83" s="17" t="str">
        <f>IF(Master[[#This Row],[Voucher Location (3)]]="","",Master[[#This Row],[Voucher Location (3)]])</f>
        <v/>
      </c>
      <c r="F83" s="7" t="str">
        <f t="shared" si="2"/>
        <v>mm/dd/yyyy</v>
      </c>
      <c r="G83" s="2">
        <f>IF(Master[[#This Row],[Voucher Date]]="","",Master[[#This Row],[Voucher Date]])</f>
        <v>44053</v>
      </c>
      <c r="H83" s="17" t="str">
        <f>IF(Master[[#This Row],[Voucher Collector -name, organization]]="","",Master[[#This Row],[Voucher Collector -name, organization]])</f>
        <v/>
      </c>
      <c r="I83" s="7" t="str">
        <f>IF(Master[[#This Row],[Note (Voucher)]]="","",Master[[#This Row],[Note (Voucher)]])</f>
        <v/>
      </c>
    </row>
    <row r="84" spans="2:9" x14ac:dyDescent="0.25">
      <c r="B84" s="7" t="str">
        <f>Master[[#This Row],[Accession Prefix (NPGS)]]&amp;" "&amp;Master[[#This Row],[Accession Number -Assigned]]</f>
        <v>W6 59670</v>
      </c>
      <c r="C84" s="7" t="str">
        <f>Master[[#This Row],[Accession Prefix (NPGS)]]&amp;" "&amp;Master[[#This Row],[Accession Number -Assigned]]&amp;" "&amp;Master[[#This Row],[Inventory Suffix]]&amp;" "&amp;Master[[#This Row],[Inventory Type - Lookup Picker]]</f>
        <v>W6 59670  SD</v>
      </c>
      <c r="D84" s="7" t="str">
        <f>IF(Master[[#This Row],[Collector Voucher Number]]="","",Master[[#This Row],[Collector Voucher Number]])</f>
        <v>UT080-329</v>
      </c>
      <c r="E84" s="17" t="str">
        <f>IF(Master[[#This Row],[Voucher Location (3)]]="","",Master[[#This Row],[Voucher Location (3)]])</f>
        <v/>
      </c>
      <c r="F84" s="7" t="str">
        <f t="shared" si="2"/>
        <v>mm/dd/yyyy</v>
      </c>
      <c r="G84" s="2">
        <f>IF(Master[[#This Row],[Voucher Date]]="","",Master[[#This Row],[Voucher Date]])</f>
        <v>44075</v>
      </c>
      <c r="H84" s="17" t="str">
        <f>IF(Master[[#This Row],[Voucher Collector -name, organization]]="","",Master[[#This Row],[Voucher Collector -name, organization]])</f>
        <v/>
      </c>
      <c r="I84" s="7" t="str">
        <f>IF(Master[[#This Row],[Note (Voucher)]]="","",Master[[#This Row],[Note (Voucher)]])</f>
        <v/>
      </c>
    </row>
    <row r="85" spans="2:9" x14ac:dyDescent="0.25">
      <c r="B85" s="7" t="str">
        <f>Master[[#This Row],[Accession Prefix (NPGS)]]&amp;" "&amp;Master[[#This Row],[Accession Number -Assigned]]</f>
        <v>W6 59671</v>
      </c>
      <c r="C85" s="7" t="str">
        <f>Master[[#This Row],[Accession Prefix (NPGS)]]&amp;" "&amp;Master[[#This Row],[Accession Number -Assigned]]&amp;" "&amp;Master[[#This Row],[Inventory Suffix]]&amp;" "&amp;Master[[#This Row],[Inventory Type - Lookup Picker]]</f>
        <v>W6 59671  SD</v>
      </c>
      <c r="D85" s="7" t="str">
        <f>IF(Master[[#This Row],[Collector Voucher Number]]="","",Master[[#This Row],[Collector Voucher Number]])</f>
        <v>UT080-330</v>
      </c>
      <c r="E85" s="17" t="str">
        <f>IF(Master[[#This Row],[Voucher Location (3)]]="","",Master[[#This Row],[Voucher Location (3)]])</f>
        <v/>
      </c>
      <c r="F85" s="7" t="str">
        <f t="shared" si="2"/>
        <v>mm/dd/yyyy</v>
      </c>
      <c r="G85" s="2">
        <f>IF(Master[[#This Row],[Voucher Date]]="","",Master[[#This Row],[Voucher Date]])</f>
        <v>44075</v>
      </c>
      <c r="H85" s="17" t="str">
        <f>IF(Master[[#This Row],[Voucher Collector -name, organization]]="","",Master[[#This Row],[Voucher Collector -name, organization]])</f>
        <v/>
      </c>
      <c r="I85" s="7" t="str">
        <f>IF(Master[[#This Row],[Note (Voucher)]]="","",Master[[#This Row],[Note (Voucher)]])</f>
        <v/>
      </c>
    </row>
    <row r="86" spans="2:9" x14ac:dyDescent="0.25">
      <c r="B86" s="7" t="str">
        <f>Master[[#This Row],[Accession Prefix (NPGS)]]&amp;" "&amp;Master[[#This Row],[Accession Number -Assigned]]</f>
        <v>W6 59672</v>
      </c>
      <c r="C86" s="7" t="str">
        <f>Master[[#This Row],[Accession Prefix (NPGS)]]&amp;" "&amp;Master[[#This Row],[Accession Number -Assigned]]&amp;" "&amp;Master[[#This Row],[Inventory Suffix]]&amp;" "&amp;Master[[#This Row],[Inventory Type - Lookup Picker]]</f>
        <v>W6 59672  SD</v>
      </c>
      <c r="D86" s="7" t="str">
        <f>IF(Master[[#This Row],[Collector Voucher Number]]="","",Master[[#This Row],[Collector Voucher Number]])</f>
        <v>UT080-336</v>
      </c>
      <c r="E86" s="17" t="str">
        <f>IF(Master[[#This Row],[Voucher Location (3)]]="","",Master[[#This Row],[Voucher Location (3)]])</f>
        <v/>
      </c>
      <c r="F86" s="7" t="str">
        <f t="shared" ref="F86:F117" si="3">"mm/dd/yyyy"</f>
        <v>mm/dd/yyyy</v>
      </c>
      <c r="G86" s="2">
        <f>IF(Master[[#This Row],[Voucher Date]]="","",Master[[#This Row],[Voucher Date]])</f>
        <v>44028</v>
      </c>
      <c r="H86" s="17" t="str">
        <f>IF(Master[[#This Row],[Voucher Collector -name, organization]]="","",Master[[#This Row],[Voucher Collector -name, organization]])</f>
        <v/>
      </c>
      <c r="I86" s="7" t="str">
        <f>IF(Master[[#This Row],[Note (Voucher)]]="","",Master[[#This Row],[Note (Voucher)]])</f>
        <v/>
      </c>
    </row>
    <row r="87" spans="2:9" x14ac:dyDescent="0.25">
      <c r="B87" s="7" t="str">
        <f>Master[[#This Row],[Accession Prefix (NPGS)]]&amp;" "&amp;Master[[#This Row],[Accession Number -Assigned]]</f>
        <v>W6 59673</v>
      </c>
      <c r="C87" s="7" t="str">
        <f>Master[[#This Row],[Accession Prefix (NPGS)]]&amp;" "&amp;Master[[#This Row],[Accession Number -Assigned]]&amp;" "&amp;Master[[#This Row],[Inventory Suffix]]&amp;" "&amp;Master[[#This Row],[Inventory Type - Lookup Picker]]</f>
        <v>W6 59673  SD</v>
      </c>
      <c r="D87" s="7" t="str">
        <f>IF(Master[[#This Row],[Collector Voucher Number]]="","",Master[[#This Row],[Collector Voucher Number]])</f>
        <v>UT080-337</v>
      </c>
      <c r="E87" s="17" t="str">
        <f>IF(Master[[#This Row],[Voucher Location (3)]]="","",Master[[#This Row],[Voucher Location (3)]])</f>
        <v/>
      </c>
      <c r="F87" s="7" t="str">
        <f t="shared" si="3"/>
        <v>mm/dd/yyyy</v>
      </c>
      <c r="G87" s="2">
        <f>IF(Master[[#This Row],[Voucher Date]]="","",Master[[#This Row],[Voucher Date]])</f>
        <v>44063</v>
      </c>
      <c r="H87" s="17" t="str">
        <f>IF(Master[[#This Row],[Voucher Collector -name, organization]]="","",Master[[#This Row],[Voucher Collector -name, organization]])</f>
        <v/>
      </c>
      <c r="I87" s="7" t="str">
        <f>IF(Master[[#This Row],[Note (Voucher)]]="","",Master[[#This Row],[Note (Voucher)]])</f>
        <v/>
      </c>
    </row>
    <row r="88" spans="2:9" x14ac:dyDescent="0.25">
      <c r="B88" s="7" t="str">
        <f>Master[[#This Row],[Accession Prefix (NPGS)]]&amp;" "&amp;Master[[#This Row],[Accession Number -Assigned]]</f>
        <v>W6 59674</v>
      </c>
      <c r="C88" s="7" t="str">
        <f>Master[[#This Row],[Accession Prefix (NPGS)]]&amp;" "&amp;Master[[#This Row],[Accession Number -Assigned]]&amp;" "&amp;Master[[#This Row],[Inventory Suffix]]&amp;" "&amp;Master[[#This Row],[Inventory Type - Lookup Picker]]</f>
        <v>W6 59674  SD</v>
      </c>
      <c r="D88" s="7" t="str">
        <f>IF(Master[[#This Row],[Collector Voucher Number]]="","",Master[[#This Row],[Collector Voucher Number]])</f>
        <v>UT080-338</v>
      </c>
      <c r="E88" s="17" t="str">
        <f>IF(Master[[#This Row],[Voucher Location (3)]]="","",Master[[#This Row],[Voucher Location (3)]])</f>
        <v/>
      </c>
      <c r="F88" s="7" t="str">
        <f t="shared" si="3"/>
        <v>mm/dd/yyyy</v>
      </c>
      <c r="G88" s="2">
        <f>IF(Master[[#This Row],[Voucher Date]]="","",Master[[#This Row],[Voucher Date]])</f>
        <v>44040</v>
      </c>
      <c r="H88" s="17" t="str">
        <f>IF(Master[[#This Row],[Voucher Collector -name, organization]]="","",Master[[#This Row],[Voucher Collector -name, organization]])</f>
        <v/>
      </c>
      <c r="I88" s="7" t="str">
        <f>IF(Master[[#This Row],[Note (Voucher)]]="","",Master[[#This Row],[Note (Voucher)]])</f>
        <v/>
      </c>
    </row>
    <row r="89" spans="2:9" x14ac:dyDescent="0.25">
      <c r="B89" s="7" t="str">
        <f>Master[[#This Row],[Accession Prefix (NPGS)]]&amp;" "&amp;Master[[#This Row],[Accession Number -Assigned]]</f>
        <v>W6 59675</v>
      </c>
      <c r="C89" s="7" t="str">
        <f>Master[[#This Row],[Accession Prefix (NPGS)]]&amp;" "&amp;Master[[#This Row],[Accession Number -Assigned]]&amp;" "&amp;Master[[#This Row],[Inventory Suffix]]&amp;" "&amp;Master[[#This Row],[Inventory Type - Lookup Picker]]</f>
        <v>W6 59675  SD</v>
      </c>
      <c r="D89" s="7" t="str">
        <f>IF(Master[[#This Row],[Collector Voucher Number]]="","",Master[[#This Row],[Collector Voucher Number]])</f>
        <v>UT080-340</v>
      </c>
      <c r="E89" s="17" t="str">
        <f>IF(Master[[#This Row],[Voucher Location (3)]]="","",Master[[#This Row],[Voucher Location (3)]])</f>
        <v/>
      </c>
      <c r="F89" s="7" t="str">
        <f t="shared" si="3"/>
        <v>mm/dd/yyyy</v>
      </c>
      <c r="G89" s="2">
        <f>IF(Master[[#This Row],[Voucher Date]]="","",Master[[#This Row],[Voucher Date]])</f>
        <v>44063</v>
      </c>
      <c r="H89" s="17" t="str">
        <f>IF(Master[[#This Row],[Voucher Collector -name, organization]]="","",Master[[#This Row],[Voucher Collector -name, organization]])</f>
        <v/>
      </c>
      <c r="I89" s="7" t="str">
        <f>IF(Master[[#This Row],[Note (Voucher)]]="","",Master[[#This Row],[Note (Voucher)]])</f>
        <v/>
      </c>
    </row>
    <row r="90" spans="2:9" x14ac:dyDescent="0.25">
      <c r="B90" s="7" t="str">
        <f>Master[[#This Row],[Accession Prefix (NPGS)]]&amp;" "&amp;Master[[#This Row],[Accession Number -Assigned]]</f>
        <v>W6 59676</v>
      </c>
      <c r="C90" s="7" t="str">
        <f>Master[[#This Row],[Accession Prefix (NPGS)]]&amp;" "&amp;Master[[#This Row],[Accession Number -Assigned]]&amp;" "&amp;Master[[#This Row],[Inventory Suffix]]&amp;" "&amp;Master[[#This Row],[Inventory Type - Lookup Picker]]</f>
        <v>W6 59676  SD</v>
      </c>
      <c r="D90" s="7" t="str">
        <f>IF(Master[[#This Row],[Collector Voucher Number]]="","",Master[[#This Row],[Collector Voucher Number]])</f>
        <v>UT080-342</v>
      </c>
      <c r="E90" s="17" t="str">
        <f>IF(Master[[#This Row],[Voucher Location (3)]]="","",Master[[#This Row],[Voucher Location (3)]])</f>
        <v/>
      </c>
      <c r="F90" s="7" t="str">
        <f t="shared" si="3"/>
        <v>mm/dd/yyyy</v>
      </c>
      <c r="G90" s="2">
        <f>IF(Master[[#This Row],[Voucher Date]]="","",Master[[#This Row],[Voucher Date]])</f>
        <v>44063</v>
      </c>
      <c r="H90" s="17" t="str">
        <f>IF(Master[[#This Row],[Voucher Collector -name, organization]]="","",Master[[#This Row],[Voucher Collector -name, organization]])</f>
        <v/>
      </c>
      <c r="I90" s="7" t="str">
        <f>IF(Master[[#This Row],[Note (Voucher)]]="","",Master[[#This Row],[Note (Voucher)]])</f>
        <v/>
      </c>
    </row>
    <row r="91" spans="2:9" x14ac:dyDescent="0.25">
      <c r="B91" s="7" t="str">
        <f>Master[[#This Row],[Accession Prefix (NPGS)]]&amp;" "&amp;Master[[#This Row],[Accession Number -Assigned]]</f>
        <v>W6 59677</v>
      </c>
      <c r="C91" s="7" t="str">
        <f>Master[[#This Row],[Accession Prefix (NPGS)]]&amp;" "&amp;Master[[#This Row],[Accession Number -Assigned]]&amp;" "&amp;Master[[#This Row],[Inventory Suffix]]&amp;" "&amp;Master[[#This Row],[Inventory Type - Lookup Picker]]</f>
        <v>W6 59677  SD</v>
      </c>
      <c r="D91" s="7" t="str">
        <f>IF(Master[[#This Row],[Collector Voucher Number]]="","",Master[[#This Row],[Collector Voucher Number]])</f>
        <v>UT080-343</v>
      </c>
      <c r="E91" s="17" t="str">
        <f>IF(Master[[#This Row],[Voucher Location (3)]]="","",Master[[#This Row],[Voucher Location (3)]])</f>
        <v/>
      </c>
      <c r="F91" s="7" t="str">
        <f t="shared" si="3"/>
        <v>mm/dd/yyyy</v>
      </c>
      <c r="G91" s="2">
        <f>IF(Master[[#This Row],[Voucher Date]]="","",Master[[#This Row],[Voucher Date]])</f>
        <v>44063</v>
      </c>
      <c r="H91" s="17" t="str">
        <f>IF(Master[[#This Row],[Voucher Collector -name, organization]]="","",Master[[#This Row],[Voucher Collector -name, organization]])</f>
        <v/>
      </c>
      <c r="I91" s="7" t="str">
        <f>IF(Master[[#This Row],[Note (Voucher)]]="","",Master[[#This Row],[Note (Voucher)]])</f>
        <v/>
      </c>
    </row>
    <row r="92" spans="2:9" x14ac:dyDescent="0.25">
      <c r="B92" s="7" t="str">
        <f>Master[[#This Row],[Accession Prefix (NPGS)]]&amp;" "&amp;Master[[#This Row],[Accession Number -Assigned]]</f>
        <v>W6 59678</v>
      </c>
      <c r="C92" s="7" t="str">
        <f>Master[[#This Row],[Accession Prefix (NPGS)]]&amp;" "&amp;Master[[#This Row],[Accession Number -Assigned]]&amp;" "&amp;Master[[#This Row],[Inventory Suffix]]&amp;" "&amp;Master[[#This Row],[Inventory Type - Lookup Picker]]</f>
        <v>W6 59678  SD</v>
      </c>
      <c r="D92" s="7" t="str">
        <f>IF(Master[[#This Row],[Collector Voucher Number]]="","",Master[[#This Row],[Collector Voucher Number]])</f>
        <v>UT080-344</v>
      </c>
      <c r="E92" s="17" t="str">
        <f>IF(Master[[#This Row],[Voucher Location (3)]]="","",Master[[#This Row],[Voucher Location (3)]])</f>
        <v/>
      </c>
      <c r="F92" s="7" t="str">
        <f t="shared" si="3"/>
        <v>mm/dd/yyyy</v>
      </c>
      <c r="G92" s="2">
        <f>IF(Master[[#This Row],[Voucher Date]]="","",Master[[#This Row],[Voucher Date]])</f>
        <v>44109</v>
      </c>
      <c r="H92" s="17" t="str">
        <f>IF(Master[[#This Row],[Voucher Collector -name, organization]]="","",Master[[#This Row],[Voucher Collector -name, organization]])</f>
        <v/>
      </c>
      <c r="I92" s="7" t="str">
        <f>IF(Master[[#This Row],[Note (Voucher)]]="","",Master[[#This Row],[Note (Voucher)]])</f>
        <v/>
      </c>
    </row>
    <row r="93" spans="2:9" x14ac:dyDescent="0.25">
      <c r="B93" s="7" t="str">
        <f>Master[[#This Row],[Accession Prefix (NPGS)]]&amp;" "&amp;Master[[#This Row],[Accession Number -Assigned]]</f>
        <v>W6 59679</v>
      </c>
      <c r="C93" s="7" t="str">
        <f>Master[[#This Row],[Accession Prefix (NPGS)]]&amp;" "&amp;Master[[#This Row],[Accession Number -Assigned]]&amp;" "&amp;Master[[#This Row],[Inventory Suffix]]&amp;" "&amp;Master[[#This Row],[Inventory Type - Lookup Picker]]</f>
        <v>W6 59679  SD</v>
      </c>
      <c r="D93" s="7" t="str">
        <f>IF(Master[[#This Row],[Collector Voucher Number]]="","",Master[[#This Row],[Collector Voucher Number]])</f>
        <v>UT080-345</v>
      </c>
      <c r="E93" s="17" t="str">
        <f>IF(Master[[#This Row],[Voucher Location (3)]]="","",Master[[#This Row],[Voucher Location (3)]])</f>
        <v/>
      </c>
      <c r="F93" s="7" t="str">
        <f t="shared" si="3"/>
        <v>mm/dd/yyyy</v>
      </c>
      <c r="G93" s="2">
        <f>IF(Master[[#This Row],[Voucher Date]]="","",Master[[#This Row],[Voucher Date]])</f>
        <v>44085</v>
      </c>
      <c r="H93" s="17" t="str">
        <f>IF(Master[[#This Row],[Voucher Collector -name, organization]]="","",Master[[#This Row],[Voucher Collector -name, organization]])</f>
        <v/>
      </c>
      <c r="I93" s="7" t="str">
        <f>IF(Master[[#This Row],[Note (Voucher)]]="","",Master[[#This Row],[Note (Voucher)]])</f>
        <v/>
      </c>
    </row>
    <row r="94" spans="2:9" x14ac:dyDescent="0.25">
      <c r="B94" s="7" t="str">
        <f>Master[[#This Row],[Accession Prefix (NPGS)]]&amp;" "&amp;Master[[#This Row],[Accession Number -Assigned]]</f>
        <v>W6 59680</v>
      </c>
      <c r="C94" s="7" t="str">
        <f>Master[[#This Row],[Accession Prefix (NPGS)]]&amp;" "&amp;Master[[#This Row],[Accession Number -Assigned]]&amp;" "&amp;Master[[#This Row],[Inventory Suffix]]&amp;" "&amp;Master[[#This Row],[Inventory Type - Lookup Picker]]</f>
        <v>W6 59680  SD</v>
      </c>
      <c r="D94" s="7" t="str">
        <f>IF(Master[[#This Row],[Collector Voucher Number]]="","",Master[[#This Row],[Collector Voucher Number]])</f>
        <v>UT080-348</v>
      </c>
      <c r="E94" s="17" t="str">
        <f>IF(Master[[#This Row],[Voucher Location (3)]]="","",Master[[#This Row],[Voucher Location (3)]])</f>
        <v/>
      </c>
      <c r="F94" s="7" t="str">
        <f t="shared" si="3"/>
        <v>mm/dd/yyyy</v>
      </c>
      <c r="G94" s="2">
        <f>IF(Master[[#This Row],[Voucher Date]]="","",Master[[#This Row],[Voucher Date]])</f>
        <v>44089</v>
      </c>
      <c r="H94" s="17" t="str">
        <f>IF(Master[[#This Row],[Voucher Collector -name, organization]]="","",Master[[#This Row],[Voucher Collector -name, organization]])</f>
        <v/>
      </c>
      <c r="I94" s="7" t="str">
        <f>IF(Master[[#This Row],[Note (Voucher)]]="","",Master[[#This Row],[Note (Voucher)]])</f>
        <v/>
      </c>
    </row>
    <row r="95" spans="2:9" x14ac:dyDescent="0.25">
      <c r="B95" s="7" t="str">
        <f>Master[[#This Row],[Accession Prefix (NPGS)]]&amp;" "&amp;Master[[#This Row],[Accession Number -Assigned]]</f>
        <v>W6 59681</v>
      </c>
      <c r="C95" s="7" t="str">
        <f>Master[[#This Row],[Accession Prefix (NPGS)]]&amp;" "&amp;Master[[#This Row],[Accession Number -Assigned]]&amp;" "&amp;Master[[#This Row],[Inventory Suffix]]&amp;" "&amp;Master[[#This Row],[Inventory Type - Lookup Picker]]</f>
        <v>W6 59681  SD</v>
      </c>
      <c r="D95" s="7" t="str">
        <f>IF(Master[[#This Row],[Collector Voucher Number]]="","",Master[[#This Row],[Collector Voucher Number]])</f>
        <v>UT080-351</v>
      </c>
      <c r="E95" s="17" t="str">
        <f>IF(Master[[#This Row],[Voucher Location (3)]]="","",Master[[#This Row],[Voucher Location (3)]])</f>
        <v/>
      </c>
      <c r="F95" s="7" t="str">
        <f t="shared" si="3"/>
        <v>mm/dd/yyyy</v>
      </c>
      <c r="G95" s="2">
        <f>IF(Master[[#This Row],[Voucher Date]]="","",Master[[#This Row],[Voucher Date]])</f>
        <v>44063</v>
      </c>
      <c r="H95" s="17" t="str">
        <f>IF(Master[[#This Row],[Voucher Collector -name, organization]]="","",Master[[#This Row],[Voucher Collector -name, organization]])</f>
        <v/>
      </c>
      <c r="I95" s="7" t="str">
        <f>IF(Master[[#This Row],[Note (Voucher)]]="","",Master[[#This Row],[Note (Voucher)]])</f>
        <v/>
      </c>
    </row>
    <row r="96" spans="2:9" x14ac:dyDescent="0.25">
      <c r="B96" s="7" t="str">
        <f>Master[[#This Row],[Accession Prefix (NPGS)]]&amp;" "&amp;Master[[#This Row],[Accession Number -Assigned]]</f>
        <v>W6 59682</v>
      </c>
      <c r="C96" s="7" t="str">
        <f>Master[[#This Row],[Accession Prefix (NPGS)]]&amp;" "&amp;Master[[#This Row],[Accession Number -Assigned]]&amp;" "&amp;Master[[#This Row],[Inventory Suffix]]&amp;" "&amp;Master[[#This Row],[Inventory Type - Lookup Picker]]</f>
        <v>W6 59682  SD</v>
      </c>
      <c r="D96" s="7" t="str">
        <f>IF(Master[[#This Row],[Collector Voucher Number]]="","",Master[[#This Row],[Collector Voucher Number]])</f>
        <v>UT080-352</v>
      </c>
      <c r="E96" s="17" t="str">
        <f>IF(Master[[#This Row],[Voucher Location (3)]]="","",Master[[#This Row],[Voucher Location (3)]])</f>
        <v/>
      </c>
      <c r="F96" s="7" t="str">
        <f t="shared" si="3"/>
        <v>mm/dd/yyyy</v>
      </c>
      <c r="G96" s="2">
        <f>IF(Master[[#This Row],[Voucher Date]]="","",Master[[#This Row],[Voucher Date]])</f>
        <v>44104</v>
      </c>
      <c r="H96" s="17" t="str">
        <f>IF(Master[[#This Row],[Voucher Collector -name, organization]]="","",Master[[#This Row],[Voucher Collector -name, organization]])</f>
        <v/>
      </c>
      <c r="I96" s="7" t="str">
        <f>IF(Master[[#This Row],[Note (Voucher)]]="","",Master[[#This Row],[Note (Voucher)]])</f>
        <v/>
      </c>
    </row>
    <row r="97" spans="2:9" x14ac:dyDescent="0.25">
      <c r="B97" s="7" t="str">
        <f>Master[[#This Row],[Accession Prefix (NPGS)]]&amp;" "&amp;Master[[#This Row],[Accession Number -Assigned]]</f>
        <v>W6 59683</v>
      </c>
      <c r="C97" s="7" t="str">
        <f>Master[[#This Row],[Accession Prefix (NPGS)]]&amp;" "&amp;Master[[#This Row],[Accession Number -Assigned]]&amp;" "&amp;Master[[#This Row],[Inventory Suffix]]&amp;" "&amp;Master[[#This Row],[Inventory Type - Lookup Picker]]</f>
        <v>W6 59683  SD</v>
      </c>
      <c r="D97" s="7" t="str">
        <f>IF(Master[[#This Row],[Collector Voucher Number]]="","",Master[[#This Row],[Collector Voucher Number]])</f>
        <v>WY050-229</v>
      </c>
      <c r="E97" s="17" t="str">
        <f>IF(Master[[#This Row],[Voucher Location (3)]]="","",Master[[#This Row],[Voucher Location (3)]])</f>
        <v/>
      </c>
      <c r="F97" s="7" t="str">
        <f t="shared" si="3"/>
        <v>mm/dd/yyyy</v>
      </c>
      <c r="G97" s="2" t="str">
        <f>IF(Master[[#This Row],[Voucher Date]]="","",Master[[#This Row],[Voucher Date]])</f>
        <v/>
      </c>
      <c r="H97" s="17" t="str">
        <f>IF(Master[[#This Row],[Voucher Collector -name, organization]]="","",Master[[#This Row],[Voucher Collector -name, organization]])</f>
        <v>Emma Freeland, BLM Natural Resources Specialist:In Field:08 JUL 2020</v>
      </c>
      <c r="I97" s="7" t="str">
        <f>IF(Master[[#This Row],[Note (Voucher)]]="","",Master[[#This Row],[Note (Voucher)]])</f>
        <v/>
      </c>
    </row>
    <row r="98" spans="2:9" x14ac:dyDescent="0.25">
      <c r="B98" s="7" t="str">
        <f>Master[[#This Row],[Accession Prefix (NPGS)]]&amp;" "&amp;Master[[#This Row],[Accession Number -Assigned]]</f>
        <v>W6 59684</v>
      </c>
      <c r="C98" s="7" t="str">
        <f>Master[[#This Row],[Accession Prefix (NPGS)]]&amp;" "&amp;Master[[#This Row],[Accession Number -Assigned]]&amp;" "&amp;Master[[#This Row],[Inventory Suffix]]&amp;" "&amp;Master[[#This Row],[Inventory Type - Lookup Picker]]</f>
        <v>W6 59684  SD</v>
      </c>
      <c r="D98" s="7" t="str">
        <f>IF(Master[[#This Row],[Collector Voucher Number]]="","",Master[[#This Row],[Collector Voucher Number]])</f>
        <v>WY070-76</v>
      </c>
      <c r="E98" s="17" t="str">
        <f>IF(Master[[#This Row],[Voucher Location (3)]]="","",Master[[#This Row],[Voucher Location (3)]])</f>
        <v>Buffalo WY BLM Field Office</v>
      </c>
      <c r="F98" s="7" t="str">
        <f t="shared" si="3"/>
        <v>mm/dd/yyyy</v>
      </c>
      <c r="G98" s="2">
        <f>IF(Master[[#This Row],[Voucher Date]]="","",Master[[#This Row],[Voucher Date]])</f>
        <v>43997</v>
      </c>
      <c r="H98" s="17" t="str">
        <f>IF(Master[[#This Row],[Voucher Collector -name, organization]]="","",Master[[#This Row],[Voucher Collector -name, organization]])</f>
        <v>SOS Field Crew - Buffalo, WY:In Field:15 JUN 2020</v>
      </c>
      <c r="I98" s="7" t="str">
        <f>IF(Master[[#This Row],[Note (Voucher)]]="","",Master[[#This Row],[Note (Voucher)]])</f>
        <v/>
      </c>
    </row>
    <row r="99" spans="2:9" x14ac:dyDescent="0.25">
      <c r="B99" s="7" t="str">
        <f>Master[[#This Row],[Accession Prefix (NPGS)]]&amp;" "&amp;Master[[#This Row],[Accession Number -Assigned]]</f>
        <v>W6 59685</v>
      </c>
      <c r="C99" s="7" t="str">
        <f>Master[[#This Row],[Accession Prefix (NPGS)]]&amp;" "&amp;Master[[#This Row],[Accession Number -Assigned]]&amp;" "&amp;Master[[#This Row],[Inventory Suffix]]&amp;" "&amp;Master[[#This Row],[Inventory Type - Lookup Picker]]</f>
        <v>W6 59685  SD</v>
      </c>
      <c r="D99" s="7" t="str">
        <f>IF(Master[[#This Row],[Collector Voucher Number]]="","",Master[[#This Row],[Collector Voucher Number]])</f>
        <v>WY070-77</v>
      </c>
      <c r="E99" s="17" t="str">
        <f>IF(Master[[#This Row],[Voucher Location (3)]]="","",Master[[#This Row],[Voucher Location (3)]])</f>
        <v>Buffalo WY BLM Field Office</v>
      </c>
      <c r="F99" s="7" t="str">
        <f t="shared" si="3"/>
        <v>mm/dd/yyyy</v>
      </c>
      <c r="G99" s="2">
        <f>IF(Master[[#This Row],[Voucher Date]]="","",Master[[#This Row],[Voucher Date]])</f>
        <v>43998</v>
      </c>
      <c r="H99" s="17" t="str">
        <f>IF(Master[[#This Row],[Voucher Collector -name, organization]]="","",Master[[#This Row],[Voucher Collector -name, organization]])</f>
        <v>SOS Field Crew-Buffalo, WY:In Field:16 JUN 2020</v>
      </c>
      <c r="I99" s="7" t="str">
        <f>IF(Master[[#This Row],[Note (Voucher)]]="","",Master[[#This Row],[Note (Voucher)]])</f>
        <v/>
      </c>
    </row>
    <row r="100" spans="2:9" x14ac:dyDescent="0.25">
      <c r="B100" s="7" t="str">
        <f>Master[[#This Row],[Accession Prefix (NPGS)]]&amp;" "&amp;Master[[#This Row],[Accession Number -Assigned]]</f>
        <v>W6 59686</v>
      </c>
      <c r="C100" s="7" t="str">
        <f>Master[[#This Row],[Accession Prefix (NPGS)]]&amp;" "&amp;Master[[#This Row],[Accession Number -Assigned]]&amp;" "&amp;Master[[#This Row],[Inventory Suffix]]&amp;" "&amp;Master[[#This Row],[Inventory Type - Lookup Picker]]</f>
        <v>W6 59686  SD</v>
      </c>
      <c r="D100" s="7" t="str">
        <f>IF(Master[[#This Row],[Collector Voucher Number]]="","",Master[[#This Row],[Collector Voucher Number]])</f>
        <v>WY070-78</v>
      </c>
      <c r="E100" s="17" t="str">
        <f>IF(Master[[#This Row],[Voucher Location (3)]]="","",Master[[#This Row],[Voucher Location (3)]])</f>
        <v>Buffalo WY BLM Field Office</v>
      </c>
      <c r="F100" s="7" t="str">
        <f t="shared" si="3"/>
        <v>mm/dd/yyyy</v>
      </c>
      <c r="G100" s="2">
        <f>IF(Master[[#This Row],[Voucher Date]]="","",Master[[#This Row],[Voucher Date]])</f>
        <v>43991</v>
      </c>
      <c r="H100" s="17" t="str">
        <f>IF(Master[[#This Row],[Voucher Collector -name, organization]]="","",Master[[#This Row],[Voucher Collector -name, organization]])</f>
        <v>SOS Field Crew-Buffalo, WY:In Field:09 JUN 2020</v>
      </c>
      <c r="I100" s="7" t="str">
        <f>IF(Master[[#This Row],[Note (Voucher)]]="","",Master[[#This Row],[Note (Voucher)]])</f>
        <v/>
      </c>
    </row>
    <row r="101" spans="2:9" x14ac:dyDescent="0.25">
      <c r="B101" s="7" t="str">
        <f>Master[[#This Row],[Accession Prefix (NPGS)]]&amp;" "&amp;Master[[#This Row],[Accession Number -Assigned]]</f>
        <v>W6 59687</v>
      </c>
      <c r="C101" s="7" t="str">
        <f>Master[[#This Row],[Accession Prefix (NPGS)]]&amp;" "&amp;Master[[#This Row],[Accession Number -Assigned]]&amp;" "&amp;Master[[#This Row],[Inventory Suffix]]&amp;" "&amp;Master[[#This Row],[Inventory Type - Lookup Picker]]</f>
        <v>W6 59687  SD</v>
      </c>
      <c r="D101" s="7" t="str">
        <f>IF(Master[[#This Row],[Collector Voucher Number]]="","",Master[[#This Row],[Collector Voucher Number]])</f>
        <v>WY070-79</v>
      </c>
      <c r="E101" s="17" t="str">
        <f>IF(Master[[#This Row],[Voucher Location (3)]]="","",Master[[#This Row],[Voucher Location (3)]])</f>
        <v>Buffalo WY BLM Field Office</v>
      </c>
      <c r="F101" s="7" t="str">
        <f t="shared" si="3"/>
        <v>mm/dd/yyyy</v>
      </c>
      <c r="G101" s="2">
        <f>IF(Master[[#This Row],[Voucher Date]]="","",Master[[#This Row],[Voucher Date]])</f>
        <v>44005</v>
      </c>
      <c r="H101" s="17" t="str">
        <f>IF(Master[[#This Row],[Voucher Collector -name, organization]]="","",Master[[#This Row],[Voucher Collector -name, organization]])</f>
        <v>SOS Field Crew-Buffalo, WY:In Field:23 JUN 2020</v>
      </c>
      <c r="I101" s="7" t="str">
        <f>IF(Master[[#This Row],[Note (Voucher)]]="","",Master[[#This Row],[Note (Voucher)]])</f>
        <v/>
      </c>
    </row>
    <row r="102" spans="2:9" x14ac:dyDescent="0.25">
      <c r="B102" s="7" t="str">
        <f>Master[[#This Row],[Accession Prefix (NPGS)]]&amp;" "&amp;Master[[#This Row],[Accession Number -Assigned]]</f>
        <v>W6 59688</v>
      </c>
      <c r="C102" s="7" t="str">
        <f>Master[[#This Row],[Accession Prefix (NPGS)]]&amp;" "&amp;Master[[#This Row],[Accession Number -Assigned]]&amp;" "&amp;Master[[#This Row],[Inventory Suffix]]&amp;" "&amp;Master[[#This Row],[Inventory Type - Lookup Picker]]</f>
        <v>W6 59688  SD</v>
      </c>
      <c r="D102" s="7" t="str">
        <f>IF(Master[[#This Row],[Collector Voucher Number]]="","",Master[[#This Row],[Collector Voucher Number]])</f>
        <v>WY070-80</v>
      </c>
      <c r="E102" s="17" t="str">
        <f>IF(Master[[#This Row],[Voucher Location (3)]]="","",Master[[#This Row],[Voucher Location (3)]])</f>
        <v>Buffalo WY BLM Field Office</v>
      </c>
      <c r="F102" s="7" t="str">
        <f t="shared" si="3"/>
        <v>mm/dd/yyyy</v>
      </c>
      <c r="G102" s="2">
        <f>IF(Master[[#This Row],[Voucher Date]]="","",Master[[#This Row],[Voucher Date]])</f>
        <v>43986</v>
      </c>
      <c r="H102" s="17" t="str">
        <f>IF(Master[[#This Row],[Voucher Collector -name, organization]]="","",Master[[#This Row],[Voucher Collector -name, organization]])</f>
        <v>SOS Field Crew-Buffalo, WY:In Field:04 JUN 2020</v>
      </c>
      <c r="I102" s="7" t="str">
        <f>IF(Master[[#This Row],[Note (Voucher)]]="","",Master[[#This Row],[Note (Voucher)]])</f>
        <v/>
      </c>
    </row>
    <row r="103" spans="2:9" x14ac:dyDescent="0.25">
      <c r="B103" s="7" t="str">
        <f>Master[[#This Row],[Accession Prefix (NPGS)]]&amp;" "&amp;Master[[#This Row],[Accession Number -Assigned]]</f>
        <v>W6 59689</v>
      </c>
      <c r="C103" s="7" t="str">
        <f>Master[[#This Row],[Accession Prefix (NPGS)]]&amp;" "&amp;Master[[#This Row],[Accession Number -Assigned]]&amp;" "&amp;Master[[#This Row],[Inventory Suffix]]&amp;" "&amp;Master[[#This Row],[Inventory Type - Lookup Picker]]</f>
        <v>W6 59689  SD</v>
      </c>
      <c r="D103" s="7" t="str">
        <f>IF(Master[[#This Row],[Collector Voucher Number]]="","",Master[[#This Row],[Collector Voucher Number]])</f>
        <v>WY070-81</v>
      </c>
      <c r="E103" s="17" t="str">
        <f>IF(Master[[#This Row],[Voucher Location (3)]]="","",Master[[#This Row],[Voucher Location (3)]])</f>
        <v>Buffalo WY BLM Field Office</v>
      </c>
      <c r="F103" s="7" t="str">
        <f t="shared" si="3"/>
        <v>mm/dd/yyyy</v>
      </c>
      <c r="G103" s="2">
        <f>IF(Master[[#This Row],[Voucher Date]]="","",Master[[#This Row],[Voucher Date]])</f>
        <v>43991</v>
      </c>
      <c r="H103" s="17" t="str">
        <f>IF(Master[[#This Row],[Voucher Collector -name, organization]]="","",Master[[#This Row],[Voucher Collector -name, organization]])</f>
        <v>Buffalo SOS Field Crew:In Field:09 JUN 2020</v>
      </c>
      <c r="I103" s="7" t="str">
        <f>IF(Master[[#This Row],[Note (Voucher)]]="","",Master[[#This Row],[Note (Voucher)]])</f>
        <v/>
      </c>
    </row>
    <row r="104" spans="2:9" x14ac:dyDescent="0.25">
      <c r="B104" s="7" t="str">
        <f>Master[[#This Row],[Accession Prefix (NPGS)]]&amp;" "&amp;Master[[#This Row],[Accession Number -Assigned]]</f>
        <v>W6 59690</v>
      </c>
      <c r="C104" s="7" t="str">
        <f>Master[[#This Row],[Accession Prefix (NPGS)]]&amp;" "&amp;Master[[#This Row],[Accession Number -Assigned]]&amp;" "&amp;Master[[#This Row],[Inventory Suffix]]&amp;" "&amp;Master[[#This Row],[Inventory Type - Lookup Picker]]</f>
        <v>W6 59690  SD</v>
      </c>
      <c r="D104" s="7" t="str">
        <f>IF(Master[[#This Row],[Collector Voucher Number]]="","",Master[[#This Row],[Collector Voucher Number]])</f>
        <v>WY070-82</v>
      </c>
      <c r="E104" s="17" t="str">
        <f>IF(Master[[#This Row],[Voucher Location (3)]]="","",Master[[#This Row],[Voucher Location (3)]])</f>
        <v>Buffalo WY BLM Field Office</v>
      </c>
      <c r="F104" s="7" t="str">
        <f t="shared" si="3"/>
        <v>mm/dd/yyyy</v>
      </c>
      <c r="G104" s="2">
        <f>IF(Master[[#This Row],[Voucher Date]]="","",Master[[#This Row],[Voucher Date]])</f>
        <v>43991</v>
      </c>
      <c r="H104" s="17" t="str">
        <f>IF(Master[[#This Row],[Voucher Collector -name, organization]]="","",Master[[#This Row],[Voucher Collector -name, organization]])</f>
        <v>SOS Field Crew-Buffalo:In Field:09 JUN 2020</v>
      </c>
      <c r="I104" s="7" t="str">
        <f>IF(Master[[#This Row],[Note (Voucher)]]="","",Master[[#This Row],[Note (Voucher)]])</f>
        <v/>
      </c>
    </row>
    <row r="105" spans="2:9" x14ac:dyDescent="0.25">
      <c r="B105" s="7" t="str">
        <f>Master[[#This Row],[Accession Prefix (NPGS)]]&amp;" "&amp;Master[[#This Row],[Accession Number -Assigned]]</f>
        <v>W6 59691</v>
      </c>
      <c r="C105" s="7" t="str">
        <f>Master[[#This Row],[Accession Prefix (NPGS)]]&amp;" "&amp;Master[[#This Row],[Accession Number -Assigned]]&amp;" "&amp;Master[[#This Row],[Inventory Suffix]]&amp;" "&amp;Master[[#This Row],[Inventory Type - Lookup Picker]]</f>
        <v>W6 59691  SD</v>
      </c>
      <c r="D105" s="7" t="str">
        <f>IF(Master[[#This Row],[Collector Voucher Number]]="","",Master[[#This Row],[Collector Voucher Number]])</f>
        <v>WY070-83</v>
      </c>
      <c r="E105" s="17" t="str">
        <f>IF(Master[[#This Row],[Voucher Location (3)]]="","",Master[[#This Row],[Voucher Location (3)]])</f>
        <v>Buffalo WY BLM Field Office</v>
      </c>
      <c r="F105" s="7" t="str">
        <f t="shared" si="3"/>
        <v>mm/dd/yyyy</v>
      </c>
      <c r="G105" s="2">
        <f>IF(Master[[#This Row],[Voucher Date]]="","",Master[[#This Row],[Voucher Date]])</f>
        <v>43999</v>
      </c>
      <c r="H105" s="17" t="str">
        <f>IF(Master[[#This Row],[Voucher Collector -name, organization]]="","",Master[[#This Row],[Voucher Collector -name, organization]])</f>
        <v>SOS Field Crew- Buffalo, WY:In Field:17 JUN 2020</v>
      </c>
      <c r="I105" s="7" t="str">
        <f>IF(Master[[#This Row],[Note (Voucher)]]="","",Master[[#This Row],[Note (Voucher)]])</f>
        <v/>
      </c>
    </row>
    <row r="106" spans="2:9" x14ac:dyDescent="0.25">
      <c r="B106" s="7" t="str">
        <f>Master[[#This Row],[Accession Prefix (NPGS)]]&amp;" "&amp;Master[[#This Row],[Accession Number -Assigned]]</f>
        <v>W6 59692</v>
      </c>
      <c r="C106" s="7" t="str">
        <f>Master[[#This Row],[Accession Prefix (NPGS)]]&amp;" "&amp;Master[[#This Row],[Accession Number -Assigned]]&amp;" "&amp;Master[[#This Row],[Inventory Suffix]]&amp;" "&amp;Master[[#This Row],[Inventory Type - Lookup Picker]]</f>
        <v>W6 59692  SD</v>
      </c>
      <c r="D106" s="7" t="str">
        <f>IF(Master[[#This Row],[Collector Voucher Number]]="","",Master[[#This Row],[Collector Voucher Number]])</f>
        <v>WY070-84</v>
      </c>
      <c r="E106" s="17" t="str">
        <f>IF(Master[[#This Row],[Voucher Location (3)]]="","",Master[[#This Row],[Voucher Location (3)]])</f>
        <v>Buffalo WY BLM Field Office</v>
      </c>
      <c r="F106" s="7" t="str">
        <f t="shared" si="3"/>
        <v>mm/dd/yyyy</v>
      </c>
      <c r="G106" s="2">
        <f>IF(Master[[#This Row],[Voucher Date]]="","",Master[[#This Row],[Voucher Date]])</f>
        <v>43992</v>
      </c>
      <c r="H106" s="17" t="str">
        <f>IF(Master[[#This Row],[Voucher Collector -name, organization]]="","",Master[[#This Row],[Voucher Collector -name, organization]])</f>
        <v>SOS Field Crew - Buffalo, WY:In Field:10 JUN 2020</v>
      </c>
      <c r="I106" s="7" t="str">
        <f>IF(Master[[#This Row],[Note (Voucher)]]="","",Master[[#This Row],[Note (Voucher)]])</f>
        <v/>
      </c>
    </row>
    <row r="107" spans="2:9" x14ac:dyDescent="0.25">
      <c r="B107" s="7" t="str">
        <f>Master[[#This Row],[Accession Prefix (NPGS)]]&amp;" "&amp;Master[[#This Row],[Accession Number -Assigned]]</f>
        <v>W6 59693</v>
      </c>
      <c r="C107" s="7" t="str">
        <f>Master[[#This Row],[Accession Prefix (NPGS)]]&amp;" "&amp;Master[[#This Row],[Accession Number -Assigned]]&amp;" "&amp;Master[[#This Row],[Inventory Suffix]]&amp;" "&amp;Master[[#This Row],[Inventory Type - Lookup Picker]]</f>
        <v>W6 59693  SD</v>
      </c>
      <c r="D107" s="7" t="str">
        <f>IF(Master[[#This Row],[Collector Voucher Number]]="","",Master[[#This Row],[Collector Voucher Number]])</f>
        <v>WY070-85</v>
      </c>
      <c r="E107" s="17" t="str">
        <f>IF(Master[[#This Row],[Voucher Location (3)]]="","",Master[[#This Row],[Voucher Location (3)]])</f>
        <v>Buffalo WY BLM Field Office</v>
      </c>
      <c r="F107" s="7" t="str">
        <f t="shared" si="3"/>
        <v>mm/dd/yyyy</v>
      </c>
      <c r="G107" s="2">
        <f>IF(Master[[#This Row],[Voucher Date]]="","",Master[[#This Row],[Voucher Date]])</f>
        <v>43986</v>
      </c>
      <c r="H107" s="17" t="str">
        <f>IF(Master[[#This Row],[Voucher Collector -name, organization]]="","",Master[[#This Row],[Voucher Collector -name, organization]])</f>
        <v>SOS Field Crew-Buffalo, WY:In Field:04 JUN 2020</v>
      </c>
      <c r="I107" s="7" t="str">
        <f>IF(Master[[#This Row],[Note (Voucher)]]="","",Master[[#This Row],[Note (Voucher)]])</f>
        <v/>
      </c>
    </row>
    <row r="108" spans="2:9" x14ac:dyDescent="0.25">
      <c r="B108" s="7" t="str">
        <f>Master[[#This Row],[Accession Prefix (NPGS)]]&amp;" "&amp;Master[[#This Row],[Accession Number -Assigned]]</f>
        <v>W6 59694</v>
      </c>
      <c r="C108" s="7" t="str">
        <f>Master[[#This Row],[Accession Prefix (NPGS)]]&amp;" "&amp;Master[[#This Row],[Accession Number -Assigned]]&amp;" "&amp;Master[[#This Row],[Inventory Suffix]]&amp;" "&amp;Master[[#This Row],[Inventory Type - Lookup Picker]]</f>
        <v>W6 59694  SD</v>
      </c>
      <c r="D108" s="7" t="str">
        <f>IF(Master[[#This Row],[Collector Voucher Number]]="","",Master[[#This Row],[Collector Voucher Number]])</f>
        <v>WY070-86</v>
      </c>
      <c r="E108" s="17" t="str">
        <f>IF(Master[[#This Row],[Voucher Location (3)]]="","",Master[[#This Row],[Voucher Location (3)]])</f>
        <v>Buffalo WY BLM Field Office</v>
      </c>
      <c r="F108" s="7" t="str">
        <f t="shared" si="3"/>
        <v>mm/dd/yyyy</v>
      </c>
      <c r="G108" s="2">
        <f>IF(Master[[#This Row],[Voucher Date]]="","",Master[[#This Row],[Voucher Date]])</f>
        <v>44012</v>
      </c>
      <c r="H108" s="17" t="str">
        <f>IF(Master[[#This Row],[Voucher Collector -name, organization]]="","",Master[[#This Row],[Voucher Collector -name, organization]])</f>
        <v>SOS Field Crew - Buffalo WY:In Field:30 JUN 2020</v>
      </c>
      <c r="I108" s="7" t="str">
        <f>IF(Master[[#This Row],[Note (Voucher)]]="","",Master[[#This Row],[Note (Voucher)]])</f>
        <v/>
      </c>
    </row>
    <row r="109" spans="2:9" x14ac:dyDescent="0.25">
      <c r="B109" s="7" t="str">
        <f>Master[[#This Row],[Accession Prefix (NPGS)]]&amp;" "&amp;Master[[#This Row],[Accession Number -Assigned]]</f>
        <v>W6 59695</v>
      </c>
      <c r="C109" s="7" t="str">
        <f>Master[[#This Row],[Accession Prefix (NPGS)]]&amp;" "&amp;Master[[#This Row],[Accession Number -Assigned]]&amp;" "&amp;Master[[#This Row],[Inventory Suffix]]&amp;" "&amp;Master[[#This Row],[Inventory Type - Lookup Picker]]</f>
        <v>W6 59695  SD</v>
      </c>
      <c r="D109" s="7" t="str">
        <f>IF(Master[[#This Row],[Collector Voucher Number]]="","",Master[[#This Row],[Collector Voucher Number]])</f>
        <v>WY070-87</v>
      </c>
      <c r="E109" s="17" t="str">
        <f>IF(Master[[#This Row],[Voucher Location (3)]]="","",Master[[#This Row],[Voucher Location (3)]])</f>
        <v>Buffalo WY BLM Field Office</v>
      </c>
      <c r="F109" s="7" t="str">
        <f t="shared" si="3"/>
        <v>mm/dd/yyyy</v>
      </c>
      <c r="G109" s="2">
        <f>IF(Master[[#This Row],[Voucher Date]]="","",Master[[#This Row],[Voucher Date]])</f>
        <v>44005</v>
      </c>
      <c r="H109" s="17" t="str">
        <f>IF(Master[[#This Row],[Voucher Collector -name, organization]]="","",Master[[#This Row],[Voucher Collector -name, organization]])</f>
        <v>SOS Field Crew-Buffalo, WY:In Field:23 JUN 2020</v>
      </c>
      <c r="I109" s="7" t="str">
        <f>IF(Master[[#This Row],[Note (Voucher)]]="","",Master[[#This Row],[Note (Voucher)]])</f>
        <v/>
      </c>
    </row>
    <row r="110" spans="2:9" x14ac:dyDescent="0.25">
      <c r="B110" s="7" t="str">
        <f>Master[[#This Row],[Accession Prefix (NPGS)]]&amp;" "&amp;Master[[#This Row],[Accession Number -Assigned]]</f>
        <v>W6 59696</v>
      </c>
      <c r="C110" s="7" t="str">
        <f>Master[[#This Row],[Accession Prefix (NPGS)]]&amp;" "&amp;Master[[#This Row],[Accession Number -Assigned]]&amp;" "&amp;Master[[#This Row],[Inventory Suffix]]&amp;" "&amp;Master[[#This Row],[Inventory Type - Lookup Picker]]</f>
        <v>W6 59696  SD</v>
      </c>
      <c r="D110" s="7" t="str">
        <f>IF(Master[[#This Row],[Collector Voucher Number]]="","",Master[[#This Row],[Collector Voucher Number]])</f>
        <v>WY070-88</v>
      </c>
      <c r="E110" s="17" t="str">
        <f>IF(Master[[#This Row],[Voucher Location (3)]]="","",Master[[#This Row],[Voucher Location (3)]])</f>
        <v>Buffalo WY BLM Field Office</v>
      </c>
      <c r="F110" s="7" t="str">
        <f t="shared" si="3"/>
        <v>mm/dd/yyyy</v>
      </c>
      <c r="G110" s="2">
        <f>IF(Master[[#This Row],[Voucher Date]]="","",Master[[#This Row],[Voucher Date]])</f>
        <v>44006</v>
      </c>
      <c r="H110" s="17" t="str">
        <f>IF(Master[[#This Row],[Voucher Collector -name, organization]]="","",Master[[#This Row],[Voucher Collector -name, organization]])</f>
        <v>Buffalo SOS Field Crew:In Field:24 JUN 2020</v>
      </c>
      <c r="I110" s="7" t="str">
        <f>IF(Master[[#This Row],[Note (Voucher)]]="","",Master[[#This Row],[Note (Voucher)]])</f>
        <v/>
      </c>
    </row>
    <row r="111" spans="2:9" x14ac:dyDescent="0.25">
      <c r="B111" s="7" t="str">
        <f>Master[[#This Row],[Accession Prefix (NPGS)]]&amp;" "&amp;Master[[#This Row],[Accession Number -Assigned]]</f>
        <v>W6 59697</v>
      </c>
      <c r="C111" s="7" t="str">
        <f>Master[[#This Row],[Accession Prefix (NPGS)]]&amp;" "&amp;Master[[#This Row],[Accession Number -Assigned]]&amp;" "&amp;Master[[#This Row],[Inventory Suffix]]&amp;" "&amp;Master[[#This Row],[Inventory Type - Lookup Picker]]</f>
        <v>W6 59697  SD</v>
      </c>
      <c r="D111" s="7" t="str">
        <f>IF(Master[[#This Row],[Collector Voucher Number]]="","",Master[[#This Row],[Collector Voucher Number]])</f>
        <v>WY070-89</v>
      </c>
      <c r="E111" s="17" t="str">
        <f>IF(Master[[#This Row],[Voucher Location (3)]]="","",Master[[#This Row],[Voucher Location (3)]])</f>
        <v>Buffalo WY BLM Field Office</v>
      </c>
      <c r="F111" s="7" t="str">
        <f t="shared" si="3"/>
        <v>mm/dd/yyyy</v>
      </c>
      <c r="G111" s="2">
        <f>IF(Master[[#This Row],[Voucher Date]]="","",Master[[#This Row],[Voucher Date]])</f>
        <v>44006</v>
      </c>
      <c r="H111" s="17" t="str">
        <f>IF(Master[[#This Row],[Voucher Collector -name, organization]]="","",Master[[#This Row],[Voucher Collector -name, organization]])</f>
        <v>Buffalo SOS Field Crew:From pressed specimen on day of collection:24 JUN 2020</v>
      </c>
      <c r="I111" s="7" t="str">
        <f>IF(Master[[#This Row],[Note (Voucher)]]="","",Master[[#This Row],[Note (Voucher)]])</f>
        <v/>
      </c>
    </row>
    <row r="112" spans="2:9" x14ac:dyDescent="0.25">
      <c r="B112" s="7" t="str">
        <f>Master[[#This Row],[Accession Prefix (NPGS)]]&amp;" "&amp;Master[[#This Row],[Accession Number -Assigned]]</f>
        <v>W6 59698</v>
      </c>
      <c r="C112" s="7" t="str">
        <f>Master[[#This Row],[Accession Prefix (NPGS)]]&amp;" "&amp;Master[[#This Row],[Accession Number -Assigned]]&amp;" "&amp;Master[[#This Row],[Inventory Suffix]]&amp;" "&amp;Master[[#This Row],[Inventory Type - Lookup Picker]]</f>
        <v>W6 59698  SD</v>
      </c>
      <c r="D112" s="7" t="str">
        <f>IF(Master[[#This Row],[Collector Voucher Number]]="","",Master[[#This Row],[Collector Voucher Number]])</f>
        <v>WY070-90</v>
      </c>
      <c r="E112" s="17" t="str">
        <f>IF(Master[[#This Row],[Voucher Location (3)]]="","",Master[[#This Row],[Voucher Location (3)]])</f>
        <v>Buffalo WY BLM Field Office</v>
      </c>
      <c r="F112" s="7" t="str">
        <f t="shared" si="3"/>
        <v>mm/dd/yyyy</v>
      </c>
      <c r="G112" s="2">
        <f>IF(Master[[#This Row],[Voucher Date]]="","",Master[[#This Row],[Voucher Date]])</f>
        <v>43992</v>
      </c>
      <c r="H112" s="17" t="str">
        <f>IF(Master[[#This Row],[Voucher Collector -name, organization]]="","",Master[[#This Row],[Voucher Collector -name, organization]])</f>
        <v>SOS Field Crew-Buffalo, WY:In Field:10 JUN 2020</v>
      </c>
      <c r="I112" s="7" t="str">
        <f>IF(Master[[#This Row],[Note (Voucher)]]="","",Master[[#This Row],[Note (Voucher)]])</f>
        <v/>
      </c>
    </row>
    <row r="113" spans="2:9" x14ac:dyDescent="0.25">
      <c r="B113" s="7" t="str">
        <f>Master[[#This Row],[Accession Prefix (NPGS)]]&amp;" "&amp;Master[[#This Row],[Accession Number -Assigned]]</f>
        <v>W6 59699</v>
      </c>
      <c r="C113" s="7" t="str">
        <f>Master[[#This Row],[Accession Prefix (NPGS)]]&amp;" "&amp;Master[[#This Row],[Accession Number -Assigned]]&amp;" "&amp;Master[[#This Row],[Inventory Suffix]]&amp;" "&amp;Master[[#This Row],[Inventory Type - Lookup Picker]]</f>
        <v>W6 59699  SD</v>
      </c>
      <c r="D113" s="7" t="str">
        <f>IF(Master[[#This Row],[Collector Voucher Number]]="","",Master[[#This Row],[Collector Voucher Number]])</f>
        <v>WY070-92</v>
      </c>
      <c r="E113" s="17" t="str">
        <f>IF(Master[[#This Row],[Voucher Location (3)]]="","",Master[[#This Row],[Voucher Location (3)]])</f>
        <v/>
      </c>
      <c r="F113" s="7" t="str">
        <f t="shared" si="3"/>
        <v>mm/dd/yyyy</v>
      </c>
      <c r="G113" s="2" t="str">
        <f>IF(Master[[#This Row],[Voucher Date]]="","",Master[[#This Row],[Voucher Date]])</f>
        <v/>
      </c>
      <c r="H113" s="17" t="str">
        <f>IF(Master[[#This Row],[Voucher Collector -name, organization]]="","",Master[[#This Row],[Voucher Collector -name, organization]])</f>
        <v>Buffalo SOS Field Crew:In Field:27 JUL 2020</v>
      </c>
      <c r="I113" s="7" t="str">
        <f>IF(Master[[#This Row],[Note (Voucher)]]="","",Master[[#This Row],[Note (Voucher)]])</f>
        <v/>
      </c>
    </row>
    <row r="114" spans="2:9" x14ac:dyDescent="0.25">
      <c r="B114" s="7" t="str">
        <f>Master[[#This Row],[Accession Prefix (NPGS)]]&amp;" "&amp;Master[[#This Row],[Accession Number -Assigned]]</f>
        <v>W6 59700</v>
      </c>
      <c r="C114" s="7" t="str">
        <f>Master[[#This Row],[Accession Prefix (NPGS)]]&amp;" "&amp;Master[[#This Row],[Accession Number -Assigned]]&amp;" "&amp;Master[[#This Row],[Inventory Suffix]]&amp;" "&amp;Master[[#This Row],[Inventory Type - Lookup Picker]]</f>
        <v>W6 59700  SD</v>
      </c>
      <c r="D114" s="7" t="str">
        <f>IF(Master[[#This Row],[Collector Voucher Number]]="","",Master[[#This Row],[Collector Voucher Number]])</f>
        <v>WY070-93</v>
      </c>
      <c r="E114" s="17" t="str">
        <f>IF(Master[[#This Row],[Voucher Location (3)]]="","",Master[[#This Row],[Voucher Location (3)]])</f>
        <v/>
      </c>
      <c r="F114" s="7" t="str">
        <f t="shared" si="3"/>
        <v>mm/dd/yyyy</v>
      </c>
      <c r="G114" s="2" t="str">
        <f>IF(Master[[#This Row],[Voucher Date]]="","",Master[[#This Row],[Voucher Date]])</f>
        <v/>
      </c>
      <c r="H114" s="17" t="str">
        <f>IF(Master[[#This Row],[Voucher Collector -name, organization]]="","",Master[[#This Row],[Voucher Collector -name, organization]])</f>
        <v>Buffalo SOS Field Crew:In Field:03 AUG 0202</v>
      </c>
      <c r="I114" s="7" t="str">
        <f>IF(Master[[#This Row],[Note (Voucher)]]="","",Master[[#This Row],[Note (Voucher)]])</f>
        <v/>
      </c>
    </row>
    <row r="115" spans="2:9" x14ac:dyDescent="0.25">
      <c r="B115" s="7" t="str">
        <f>Master[[#This Row],[Accession Prefix (NPGS)]]&amp;" "&amp;Master[[#This Row],[Accession Number -Assigned]]</f>
        <v>W6 59701</v>
      </c>
      <c r="C115" s="7" t="str">
        <f>Master[[#This Row],[Accession Prefix (NPGS)]]&amp;" "&amp;Master[[#This Row],[Accession Number -Assigned]]&amp;" "&amp;Master[[#This Row],[Inventory Suffix]]&amp;" "&amp;Master[[#This Row],[Inventory Type - Lookup Picker]]</f>
        <v>W6 59701  SD</v>
      </c>
      <c r="D115" s="7" t="str">
        <f>IF(Master[[#This Row],[Collector Voucher Number]]="","",Master[[#This Row],[Collector Voucher Number]])</f>
        <v>WY070-94</v>
      </c>
      <c r="E115" s="17" t="str">
        <f>IF(Master[[#This Row],[Voucher Location (3)]]="","",Master[[#This Row],[Voucher Location (3)]])</f>
        <v>Buffalo WY BLM Field Office</v>
      </c>
      <c r="F115" s="7" t="str">
        <f t="shared" si="3"/>
        <v>mm/dd/yyyy</v>
      </c>
      <c r="G115" s="2">
        <f>IF(Master[[#This Row],[Voucher Date]]="","",Master[[#This Row],[Voucher Date]])</f>
        <v>44048</v>
      </c>
      <c r="H115" s="17" t="str">
        <f>IF(Master[[#This Row],[Voucher Collector -name, organization]]="","",Master[[#This Row],[Voucher Collector -name, organization]])</f>
        <v>Buffalo SOS Field Crew:In Field:05 AUG 2020</v>
      </c>
      <c r="I115" s="7" t="str">
        <f>IF(Master[[#This Row],[Note (Voucher)]]="","",Master[[#This Row],[Note (Voucher)]])</f>
        <v/>
      </c>
    </row>
    <row r="116" spans="2:9" x14ac:dyDescent="0.25">
      <c r="B116" s="7" t="str">
        <f>Master[[#This Row],[Accession Prefix (NPGS)]]&amp;" "&amp;Master[[#This Row],[Accession Number -Assigned]]</f>
        <v>W6 59702</v>
      </c>
      <c r="C116" s="7" t="str">
        <f>Master[[#This Row],[Accession Prefix (NPGS)]]&amp;" "&amp;Master[[#This Row],[Accession Number -Assigned]]&amp;" "&amp;Master[[#This Row],[Inventory Suffix]]&amp;" "&amp;Master[[#This Row],[Inventory Type - Lookup Picker]]</f>
        <v>W6 59702  SD</v>
      </c>
      <c r="D116" s="7" t="str">
        <f>IF(Master[[#This Row],[Collector Voucher Number]]="","",Master[[#This Row],[Collector Voucher Number]])</f>
        <v>WY070-95</v>
      </c>
      <c r="E116" s="17" t="str">
        <f>IF(Master[[#This Row],[Voucher Location (3)]]="","",Master[[#This Row],[Voucher Location (3)]])</f>
        <v/>
      </c>
      <c r="F116" s="7" t="str">
        <f t="shared" si="3"/>
        <v>mm/dd/yyyy</v>
      </c>
      <c r="G116" s="2" t="str">
        <f>IF(Master[[#This Row],[Voucher Date]]="","",Master[[#This Row],[Voucher Date]])</f>
        <v/>
      </c>
      <c r="H116" s="17" t="str">
        <f>IF(Master[[#This Row],[Voucher Collector -name, organization]]="","",Master[[#This Row],[Voucher Collector -name, organization]])</f>
        <v>Buffalo SOS Field Crew:In Field:05 AUG 2020</v>
      </c>
      <c r="I116" s="7" t="str">
        <f>IF(Master[[#This Row],[Note (Voucher)]]="","",Master[[#This Row],[Note (Voucher)]])</f>
        <v/>
      </c>
    </row>
    <row r="117" spans="2:9" x14ac:dyDescent="0.25">
      <c r="B117" s="7" t="str">
        <f>Master[[#This Row],[Accession Prefix (NPGS)]]&amp;" "&amp;Master[[#This Row],[Accession Number -Assigned]]</f>
        <v>W6 59703</v>
      </c>
      <c r="C117" s="7" t="str">
        <f>Master[[#This Row],[Accession Prefix (NPGS)]]&amp;" "&amp;Master[[#This Row],[Accession Number -Assigned]]&amp;" "&amp;Master[[#This Row],[Inventory Suffix]]&amp;" "&amp;Master[[#This Row],[Inventory Type - Lookup Picker]]</f>
        <v>W6 59703  SD</v>
      </c>
      <c r="D117" s="7" t="str">
        <f>IF(Master[[#This Row],[Collector Voucher Number]]="","",Master[[#This Row],[Collector Voucher Number]])</f>
        <v>WY070-96</v>
      </c>
      <c r="E117" s="17" t="str">
        <f>IF(Master[[#This Row],[Voucher Location (3)]]="","",Master[[#This Row],[Voucher Location (3)]])</f>
        <v>Buffalo WY BLM Field Office</v>
      </c>
      <c r="F117" s="7" t="str">
        <f t="shared" si="3"/>
        <v>mm/dd/yyyy</v>
      </c>
      <c r="G117" s="2">
        <f>IF(Master[[#This Row],[Voucher Date]]="","",Master[[#This Row],[Voucher Date]])</f>
        <v>44049</v>
      </c>
      <c r="H117" s="17" t="str">
        <f>IF(Master[[#This Row],[Voucher Collector -name, organization]]="","",Master[[#This Row],[Voucher Collector -name, organization]])</f>
        <v>Buffalo SOS Field Crew:In Field:06 AUG 2020</v>
      </c>
      <c r="I117" s="7" t="str">
        <f>IF(Master[[#This Row],[Note (Voucher)]]="","",Master[[#This Row],[Note (Voucher)]])</f>
        <v/>
      </c>
    </row>
    <row r="118" spans="2:9" x14ac:dyDescent="0.25">
      <c r="B118" s="7" t="str">
        <f>Master[[#This Row],[Accession Prefix (NPGS)]]&amp;" "&amp;Master[[#This Row],[Accession Number -Assigned]]</f>
        <v>W6 59704</v>
      </c>
      <c r="C118" s="7" t="str">
        <f>Master[[#This Row],[Accession Prefix (NPGS)]]&amp;" "&amp;Master[[#This Row],[Accession Number -Assigned]]&amp;" "&amp;Master[[#This Row],[Inventory Suffix]]&amp;" "&amp;Master[[#This Row],[Inventory Type - Lookup Picker]]</f>
        <v>W6 59704  SD</v>
      </c>
      <c r="D118" s="7" t="str">
        <f>IF(Master[[#This Row],[Collector Voucher Number]]="","",Master[[#This Row],[Collector Voucher Number]])</f>
        <v>WY070-97</v>
      </c>
      <c r="E118" s="17" t="str">
        <f>IF(Master[[#This Row],[Voucher Location (3)]]="","",Master[[#This Row],[Voucher Location (3)]])</f>
        <v>Buffalo WY BLM Field Office</v>
      </c>
      <c r="F118" s="7" t="str">
        <f t="shared" ref="F118:F149" si="4">"mm/dd/yyyy"</f>
        <v>mm/dd/yyyy</v>
      </c>
      <c r="G118" s="2">
        <f>IF(Master[[#This Row],[Voucher Date]]="","",Master[[#This Row],[Voucher Date]])</f>
        <v>44042</v>
      </c>
      <c r="H118" s="17" t="str">
        <f>IF(Master[[#This Row],[Voucher Collector -name, organization]]="","",Master[[#This Row],[Voucher Collector -name, organization]])</f>
        <v>Buffalo SOS Field Crew:In Field:30 JUL 2020</v>
      </c>
      <c r="I118" s="7" t="str">
        <f>IF(Master[[#This Row],[Note (Voucher)]]="","",Master[[#This Row],[Note (Voucher)]])</f>
        <v/>
      </c>
    </row>
    <row r="119" spans="2:9" x14ac:dyDescent="0.25">
      <c r="B119" s="7" t="str">
        <f>Master[[#This Row],[Accession Prefix (NPGS)]]&amp;" "&amp;Master[[#This Row],[Accession Number -Assigned]]</f>
        <v>W6 59705</v>
      </c>
      <c r="C119" s="7" t="str">
        <f>Master[[#This Row],[Accession Prefix (NPGS)]]&amp;" "&amp;Master[[#This Row],[Accession Number -Assigned]]&amp;" "&amp;Master[[#This Row],[Inventory Suffix]]&amp;" "&amp;Master[[#This Row],[Inventory Type - Lookup Picker]]</f>
        <v>W6 59705  SD</v>
      </c>
      <c r="D119" s="7" t="str">
        <f>IF(Master[[#This Row],[Collector Voucher Number]]="","",Master[[#This Row],[Collector Voucher Number]])</f>
        <v>WY070-98</v>
      </c>
      <c r="E119" s="17" t="str">
        <f>IF(Master[[#This Row],[Voucher Location (3)]]="","",Master[[#This Row],[Voucher Location (3)]])</f>
        <v>Buffalo WY BLM Field Office</v>
      </c>
      <c r="F119" s="7" t="str">
        <f t="shared" si="4"/>
        <v>mm/dd/yyyy</v>
      </c>
      <c r="G119" s="2">
        <f>IF(Master[[#This Row],[Voucher Date]]="","",Master[[#This Row],[Voucher Date]])</f>
        <v>44056</v>
      </c>
      <c r="H119" s="17" t="str">
        <f>IF(Master[[#This Row],[Voucher Collector -name, organization]]="","",Master[[#This Row],[Voucher Collector -name, organization]])</f>
        <v>SOS Field Crew-Buffalo, WY:In Field:13 AUG 2020</v>
      </c>
      <c r="I119" s="7" t="str">
        <f>IF(Master[[#This Row],[Note (Voucher)]]="","",Master[[#This Row],[Note (Voucher)]])</f>
        <v/>
      </c>
    </row>
    <row r="120" spans="2:9" x14ac:dyDescent="0.25">
      <c r="B120" s="7" t="str">
        <f>Master[[#This Row],[Accession Prefix (NPGS)]]&amp;" "&amp;Master[[#This Row],[Accession Number -Assigned]]</f>
        <v>W6 59706</v>
      </c>
      <c r="C120" s="7" t="str">
        <f>Master[[#This Row],[Accession Prefix (NPGS)]]&amp;" "&amp;Master[[#This Row],[Accession Number -Assigned]]&amp;" "&amp;Master[[#This Row],[Inventory Suffix]]&amp;" "&amp;Master[[#This Row],[Inventory Type - Lookup Picker]]</f>
        <v>W6 59706  SD</v>
      </c>
      <c r="D120" s="7" t="str">
        <f>IF(Master[[#This Row],[Collector Voucher Number]]="","",Master[[#This Row],[Collector Voucher Number]])</f>
        <v>WY070-99</v>
      </c>
      <c r="E120" s="17" t="str">
        <f>IF(Master[[#This Row],[Voucher Location (3)]]="","",Master[[#This Row],[Voucher Location (3)]])</f>
        <v>Buffalo WY BLM Field Office</v>
      </c>
      <c r="F120" s="7" t="str">
        <f t="shared" si="4"/>
        <v>mm/dd/yyyy</v>
      </c>
      <c r="G120" s="2">
        <f>IF(Master[[#This Row],[Voucher Date]]="","",Master[[#This Row],[Voucher Date]])</f>
        <v>44060</v>
      </c>
      <c r="H120" s="17" t="str">
        <f>IF(Master[[#This Row],[Voucher Collector -name, organization]]="","",Master[[#This Row],[Voucher Collector -name, organization]])</f>
        <v>SOS Field Crew-Buffalo, WY:In Field:17 AUG 2020</v>
      </c>
      <c r="I120" s="7" t="str">
        <f>IF(Master[[#This Row],[Note (Voucher)]]="","",Master[[#This Row],[Note (Voucher)]])</f>
        <v/>
      </c>
    </row>
    <row r="121" spans="2:9" x14ac:dyDescent="0.25">
      <c r="B121" s="7" t="str">
        <f>Master[[#This Row],[Accession Prefix (NPGS)]]&amp;" "&amp;Master[[#This Row],[Accession Number -Assigned]]</f>
        <v>W6 59707</v>
      </c>
      <c r="C121" s="7" t="str">
        <f>Master[[#This Row],[Accession Prefix (NPGS)]]&amp;" "&amp;Master[[#This Row],[Accession Number -Assigned]]&amp;" "&amp;Master[[#This Row],[Inventory Suffix]]&amp;" "&amp;Master[[#This Row],[Inventory Type - Lookup Picker]]</f>
        <v>W6 59707  SD</v>
      </c>
      <c r="D121" s="7" t="str">
        <f>IF(Master[[#This Row],[Collector Voucher Number]]="","",Master[[#This Row],[Collector Voucher Number]])</f>
        <v>WY070-100</v>
      </c>
      <c r="E121" s="17" t="str">
        <f>IF(Master[[#This Row],[Voucher Location (3)]]="","",Master[[#This Row],[Voucher Location (3)]])</f>
        <v>Buffalo WY BLM Field Office</v>
      </c>
      <c r="F121" s="7" t="str">
        <f t="shared" si="4"/>
        <v>mm/dd/yyyy</v>
      </c>
      <c r="G121" s="2">
        <f>IF(Master[[#This Row],[Voucher Date]]="","",Master[[#This Row],[Voucher Date]])</f>
        <v>44039</v>
      </c>
      <c r="H121" s="17" t="str">
        <f>IF(Master[[#This Row],[Voucher Collector -name, organization]]="","",Master[[#This Row],[Voucher Collector -name, organization]])</f>
        <v>SOS Field Crew-Buffalo, WY:In Field:27 JUL 2020</v>
      </c>
      <c r="I121" s="7" t="str">
        <f>IF(Master[[#This Row],[Note (Voucher)]]="","",Master[[#This Row],[Note (Voucher)]])</f>
        <v/>
      </c>
    </row>
    <row r="122" spans="2:9" x14ac:dyDescent="0.25">
      <c r="B122" s="7" t="str">
        <f>Master[[#This Row],[Accession Prefix (NPGS)]]&amp;" "&amp;Master[[#This Row],[Accession Number -Assigned]]</f>
        <v>W6 59708</v>
      </c>
      <c r="C122" s="7" t="str">
        <f>Master[[#This Row],[Accession Prefix (NPGS)]]&amp;" "&amp;Master[[#This Row],[Accession Number -Assigned]]&amp;" "&amp;Master[[#This Row],[Inventory Suffix]]&amp;" "&amp;Master[[#This Row],[Inventory Type - Lookup Picker]]</f>
        <v>W6 59708  SD</v>
      </c>
      <c r="D122" s="7" t="str">
        <f>IF(Master[[#This Row],[Collector Voucher Number]]="","",Master[[#This Row],[Collector Voucher Number]])</f>
        <v>WY070-101</v>
      </c>
      <c r="E122" s="17" t="str">
        <f>IF(Master[[#This Row],[Voucher Location (3)]]="","",Master[[#This Row],[Voucher Location (3)]])</f>
        <v>Buffalo WY BLM Field Office</v>
      </c>
      <c r="F122" s="7" t="str">
        <f t="shared" si="4"/>
        <v>mm/dd/yyyy</v>
      </c>
      <c r="G122" s="2">
        <f>IF(Master[[#This Row],[Voucher Date]]="","",Master[[#This Row],[Voucher Date]])</f>
        <v>44061</v>
      </c>
      <c r="H122" s="17" t="str">
        <f>IF(Master[[#This Row],[Voucher Collector -name, organization]]="","",Master[[#This Row],[Voucher Collector -name, organization]])</f>
        <v>SOS Field Crew-Buffalo, WY:In Field:18 AUG 2020</v>
      </c>
      <c r="I122" s="7" t="str">
        <f>IF(Master[[#This Row],[Note (Voucher)]]="","",Master[[#This Row],[Note (Voucher)]])</f>
        <v/>
      </c>
    </row>
    <row r="123" spans="2:9" x14ac:dyDescent="0.25">
      <c r="B123" s="7" t="str">
        <f>Master[[#This Row],[Accession Prefix (NPGS)]]&amp;" "&amp;Master[[#This Row],[Accession Number -Assigned]]</f>
        <v>W6 59709</v>
      </c>
      <c r="C123" s="7" t="str">
        <f>Master[[#This Row],[Accession Prefix (NPGS)]]&amp;" "&amp;Master[[#This Row],[Accession Number -Assigned]]&amp;" "&amp;Master[[#This Row],[Inventory Suffix]]&amp;" "&amp;Master[[#This Row],[Inventory Type - Lookup Picker]]</f>
        <v>W6 59709  SD</v>
      </c>
      <c r="D123" s="7" t="str">
        <f>IF(Master[[#This Row],[Collector Voucher Number]]="","",Master[[#This Row],[Collector Voucher Number]])</f>
        <v>WY070-102</v>
      </c>
      <c r="E123" s="17" t="str">
        <f>IF(Master[[#This Row],[Voucher Location (3)]]="","",Master[[#This Row],[Voucher Location (3)]])</f>
        <v>Buffalo WY BLM Field Office</v>
      </c>
      <c r="F123" s="7" t="str">
        <f t="shared" si="4"/>
        <v>mm/dd/yyyy</v>
      </c>
      <c r="G123" s="2">
        <f>IF(Master[[#This Row],[Voucher Date]]="","",Master[[#This Row],[Voucher Date]])</f>
        <v>44054</v>
      </c>
      <c r="H123" s="17" t="str">
        <f>IF(Master[[#This Row],[Voucher Collector -name, organization]]="","",Master[[#This Row],[Voucher Collector -name, organization]])</f>
        <v>SOS Field Crew-Buffalo, WY:In Field:11 AUG 2020</v>
      </c>
      <c r="I123" s="7" t="str">
        <f>IF(Master[[#This Row],[Note (Voucher)]]="","",Master[[#This Row],[Note (Voucher)]])</f>
        <v/>
      </c>
    </row>
    <row r="124" spans="2:9" x14ac:dyDescent="0.25">
      <c r="B124" s="7" t="str">
        <f>Master[[#This Row],[Accession Prefix (NPGS)]]&amp;" "&amp;Master[[#This Row],[Accession Number -Assigned]]</f>
        <v>W6 59710</v>
      </c>
      <c r="C124" s="7" t="str">
        <f>Master[[#This Row],[Accession Prefix (NPGS)]]&amp;" "&amp;Master[[#This Row],[Accession Number -Assigned]]&amp;" "&amp;Master[[#This Row],[Inventory Suffix]]&amp;" "&amp;Master[[#This Row],[Inventory Type - Lookup Picker]]</f>
        <v>W6 59710  SD</v>
      </c>
      <c r="D124" s="7" t="str">
        <f>IF(Master[[#This Row],[Collector Voucher Number]]="","",Master[[#This Row],[Collector Voucher Number]])</f>
        <v>WY070-103</v>
      </c>
      <c r="E124" s="17" t="str">
        <f>IF(Master[[#This Row],[Voucher Location (3)]]="","",Master[[#This Row],[Voucher Location (3)]])</f>
        <v>Buffalo WY BLM Field Office</v>
      </c>
      <c r="F124" s="7" t="str">
        <f t="shared" si="4"/>
        <v>mm/dd/yyyy</v>
      </c>
      <c r="G124" s="2">
        <f>IF(Master[[#This Row],[Voucher Date]]="","",Master[[#This Row],[Voucher Date]])</f>
        <v>44068</v>
      </c>
      <c r="H124" s="17" t="str">
        <f>IF(Master[[#This Row],[Voucher Collector -name, organization]]="","",Master[[#This Row],[Voucher Collector -name, organization]])</f>
        <v>Buffalo SOS Field Crew:In Field:25 AUG 2020</v>
      </c>
      <c r="I124" s="7" t="str">
        <f>IF(Master[[#This Row],[Note (Voucher)]]="","",Master[[#This Row],[Note (Voucher)]])</f>
        <v/>
      </c>
    </row>
    <row r="125" spans="2:9" x14ac:dyDescent="0.25">
      <c r="B125" s="7" t="str">
        <f>Master[[#This Row],[Accession Prefix (NPGS)]]&amp;" "&amp;Master[[#This Row],[Accession Number -Assigned]]</f>
        <v>W6 59711</v>
      </c>
      <c r="C125" s="7" t="str">
        <f>Master[[#This Row],[Accession Prefix (NPGS)]]&amp;" "&amp;Master[[#This Row],[Accession Number -Assigned]]&amp;" "&amp;Master[[#This Row],[Inventory Suffix]]&amp;" "&amp;Master[[#This Row],[Inventory Type - Lookup Picker]]</f>
        <v>W6 59711  SD</v>
      </c>
      <c r="D125" s="7" t="str">
        <f>IF(Master[[#This Row],[Collector Voucher Number]]="","",Master[[#This Row],[Collector Voucher Number]])</f>
        <v>WY070-104</v>
      </c>
      <c r="E125" s="17" t="str">
        <f>IF(Master[[#This Row],[Voucher Location (3)]]="","",Master[[#This Row],[Voucher Location (3)]])</f>
        <v>Buffalo WY BLM Field Office</v>
      </c>
      <c r="F125" s="7" t="str">
        <f t="shared" si="4"/>
        <v>mm/dd/yyyy</v>
      </c>
      <c r="G125" s="2">
        <f>IF(Master[[#This Row],[Voucher Date]]="","",Master[[#This Row],[Voucher Date]])</f>
        <v>44070</v>
      </c>
      <c r="H125" s="17" t="str">
        <f>IF(Master[[#This Row],[Voucher Collector -name, organization]]="","",Master[[#This Row],[Voucher Collector -name, organization]])</f>
        <v>Buffalo SOS Field Crew:In Field:27 AUG 2020</v>
      </c>
      <c r="I125" s="7" t="str">
        <f>IF(Master[[#This Row],[Note (Voucher)]]="","",Master[[#This Row],[Note (Voucher)]])</f>
        <v/>
      </c>
    </row>
    <row r="126" spans="2:9" x14ac:dyDescent="0.25">
      <c r="B126" s="7" t="str">
        <f>Master[[#This Row],[Accession Prefix (NPGS)]]&amp;" "&amp;Master[[#This Row],[Accession Number -Assigned]]</f>
        <v>W6 59712</v>
      </c>
      <c r="C126" s="7" t="str">
        <f>Master[[#This Row],[Accession Prefix (NPGS)]]&amp;" "&amp;Master[[#This Row],[Accession Number -Assigned]]&amp;" "&amp;Master[[#This Row],[Inventory Suffix]]&amp;" "&amp;Master[[#This Row],[Inventory Type - Lookup Picker]]</f>
        <v>W6 59712  SD</v>
      </c>
      <c r="D126" s="7" t="str">
        <f>IF(Master[[#This Row],[Collector Voucher Number]]="","",Master[[#This Row],[Collector Voucher Number]])</f>
        <v>WY070-105</v>
      </c>
      <c r="E126" s="17" t="str">
        <f>IF(Master[[#This Row],[Voucher Location (3)]]="","",Master[[#This Row],[Voucher Location (3)]])</f>
        <v>Buffalo WY BLM Field Office</v>
      </c>
      <c r="F126" s="7" t="str">
        <f t="shared" si="4"/>
        <v>mm/dd/yyyy</v>
      </c>
      <c r="G126" s="2">
        <f>IF(Master[[#This Row],[Voucher Date]]="","",Master[[#This Row],[Voucher Date]])</f>
        <v>44068</v>
      </c>
      <c r="H126" s="17" t="str">
        <f>IF(Master[[#This Row],[Voucher Collector -name, organization]]="","",Master[[#This Row],[Voucher Collector -name, organization]])</f>
        <v>Buffalo SOS Field Crew:In Field:25 AUG 2020</v>
      </c>
      <c r="I126" s="7" t="str">
        <f>IF(Master[[#This Row],[Note (Voucher)]]="","",Master[[#This Row],[Note (Voucher)]])</f>
        <v/>
      </c>
    </row>
    <row r="127" spans="2:9" x14ac:dyDescent="0.25">
      <c r="B127" s="7" t="str">
        <f>Master[[#This Row],[Accession Prefix (NPGS)]]&amp;" "&amp;Master[[#This Row],[Accession Number -Assigned]]</f>
        <v>W6 59713</v>
      </c>
      <c r="C127" s="7" t="str">
        <f>Master[[#This Row],[Accession Prefix (NPGS)]]&amp;" "&amp;Master[[#This Row],[Accession Number -Assigned]]&amp;" "&amp;Master[[#This Row],[Inventory Suffix]]&amp;" "&amp;Master[[#This Row],[Inventory Type - Lookup Picker]]</f>
        <v>W6 59713  SD</v>
      </c>
      <c r="D127" s="7" t="str">
        <f>IF(Master[[#This Row],[Collector Voucher Number]]="","",Master[[#This Row],[Collector Voucher Number]])</f>
        <v>WY090-173</v>
      </c>
      <c r="E127" s="17" t="str">
        <f>IF(Master[[#This Row],[Voucher Location (3)]]="","",Master[[#This Row],[Voucher Location (3)]])</f>
        <v>Kemmerer Field Office</v>
      </c>
      <c r="F127" s="7" t="str">
        <f t="shared" si="4"/>
        <v>mm/dd/yyyy</v>
      </c>
      <c r="G127" s="2">
        <f>IF(Master[[#This Row],[Voucher Date]]="","",Master[[#This Row],[Voucher Date]])</f>
        <v>44047</v>
      </c>
      <c r="H127" s="17" t="str">
        <f>IF(Master[[#This Row],[Voucher Collector -name, organization]]="","",Master[[#This Row],[Voucher Collector -name, organization]])</f>
        <v>Boies, A., Grelecki, A.:In Field:03 AUG 2020</v>
      </c>
      <c r="I127" s="7" t="str">
        <f>IF(Master[[#This Row],[Note (Voucher)]]="","",Master[[#This Row],[Note (Voucher)]])</f>
        <v/>
      </c>
    </row>
    <row r="128" spans="2:9" x14ac:dyDescent="0.25">
      <c r="B128" s="7" t="str">
        <f>Master[[#This Row],[Accession Prefix (NPGS)]]&amp;" "&amp;Master[[#This Row],[Accession Number -Assigned]]</f>
        <v>W6 59714</v>
      </c>
      <c r="C128" s="7" t="str">
        <f>Master[[#This Row],[Accession Prefix (NPGS)]]&amp;" "&amp;Master[[#This Row],[Accession Number -Assigned]]&amp;" "&amp;Master[[#This Row],[Inventory Suffix]]&amp;" "&amp;Master[[#This Row],[Inventory Type - Lookup Picker]]</f>
        <v>W6 59714  SD</v>
      </c>
      <c r="D128" s="7" t="str">
        <f>IF(Master[[#This Row],[Collector Voucher Number]]="","",Master[[#This Row],[Collector Voucher Number]])</f>
        <v>WY090-175</v>
      </c>
      <c r="E128" s="17" t="str">
        <f>IF(Master[[#This Row],[Voucher Location (3)]]="","",Master[[#This Row],[Voucher Location (3)]])</f>
        <v>Kemmerer Field Office</v>
      </c>
      <c r="F128" s="7" t="str">
        <f t="shared" si="4"/>
        <v>mm/dd/yyyy</v>
      </c>
      <c r="G128" s="2">
        <f>IF(Master[[#This Row],[Voucher Date]]="","",Master[[#This Row],[Voucher Date]])</f>
        <v>44005</v>
      </c>
      <c r="H128" s="17" t="str">
        <f>IF(Master[[#This Row],[Voucher Collector -name, organization]]="","",Master[[#This Row],[Voucher Collector -name, organization]])</f>
        <v>Boies, A., Grelecki, A.:In Field:23 JUN 2020</v>
      </c>
      <c r="I128" s="7" t="str">
        <f>IF(Master[[#This Row],[Note (Voucher)]]="","",Master[[#This Row],[Note (Voucher)]])</f>
        <v/>
      </c>
    </row>
    <row r="129" spans="2:9" x14ac:dyDescent="0.25">
      <c r="B129" s="7" t="str">
        <f>Master[[#This Row],[Accession Prefix (NPGS)]]&amp;" "&amp;Master[[#This Row],[Accession Number -Assigned]]</f>
        <v>W6 59715</v>
      </c>
      <c r="C129" s="7" t="str">
        <f>Master[[#This Row],[Accession Prefix (NPGS)]]&amp;" "&amp;Master[[#This Row],[Accession Number -Assigned]]&amp;" "&amp;Master[[#This Row],[Inventory Suffix]]&amp;" "&amp;Master[[#This Row],[Inventory Type - Lookup Picker]]</f>
        <v>W6 59715  SD</v>
      </c>
      <c r="D129" s="7" t="str">
        <f>IF(Master[[#This Row],[Collector Voucher Number]]="","",Master[[#This Row],[Collector Voucher Number]])</f>
        <v>WY090-176</v>
      </c>
      <c r="E129" s="17" t="str">
        <f>IF(Master[[#This Row],[Voucher Location (3)]]="","",Master[[#This Row],[Voucher Location (3)]])</f>
        <v>Kemmerer Field Office</v>
      </c>
      <c r="F129" s="7" t="str">
        <f t="shared" si="4"/>
        <v>mm/dd/yyyy</v>
      </c>
      <c r="G129" s="2">
        <f>IF(Master[[#This Row],[Voucher Date]]="","",Master[[#This Row],[Voucher Date]])</f>
        <v>44055</v>
      </c>
      <c r="H129" s="17" t="str">
        <f>IF(Master[[#This Row],[Voucher Collector -name, organization]]="","",Master[[#This Row],[Voucher Collector -name, organization]])</f>
        <v>Boies, A., Grelecki, A.:In Field:12 AUG 2020</v>
      </c>
      <c r="I129" s="7" t="str">
        <f>IF(Master[[#This Row],[Note (Voucher)]]="","",Master[[#This Row],[Note (Voucher)]])</f>
        <v/>
      </c>
    </row>
    <row r="130" spans="2:9" x14ac:dyDescent="0.25">
      <c r="B130" s="7" t="str">
        <f>Master[[#This Row],[Accession Prefix (NPGS)]]&amp;" "&amp;Master[[#This Row],[Accession Number -Assigned]]</f>
        <v>W6 59716</v>
      </c>
      <c r="C130" s="7" t="str">
        <f>Master[[#This Row],[Accession Prefix (NPGS)]]&amp;" "&amp;Master[[#This Row],[Accession Number -Assigned]]&amp;" "&amp;Master[[#This Row],[Inventory Suffix]]&amp;" "&amp;Master[[#This Row],[Inventory Type - Lookup Picker]]</f>
        <v>W6 59716  SD</v>
      </c>
      <c r="D130" s="7" t="str">
        <f>IF(Master[[#This Row],[Collector Voucher Number]]="","",Master[[#This Row],[Collector Voucher Number]])</f>
        <v>WY090-178</v>
      </c>
      <c r="E130" s="17" t="str">
        <f>IF(Master[[#This Row],[Voucher Location (3)]]="","",Master[[#This Row],[Voucher Location (3)]])</f>
        <v>Kemmerer Field Office</v>
      </c>
      <c r="F130" s="7" t="str">
        <f t="shared" si="4"/>
        <v>mm/dd/yyyy</v>
      </c>
      <c r="G130" s="2">
        <f>IF(Master[[#This Row],[Voucher Date]]="","",Master[[#This Row],[Voucher Date]])</f>
        <v>44000</v>
      </c>
      <c r="H130" s="17" t="str">
        <f>IF(Master[[#This Row],[Voucher Collector -name, organization]]="","",Master[[#This Row],[Voucher Collector -name, organization]])</f>
        <v>Boies, A., Grelecki, A.:In Field:18 JUN 2020</v>
      </c>
      <c r="I130" s="7" t="str">
        <f>IF(Master[[#This Row],[Note (Voucher)]]="","",Master[[#This Row],[Note (Voucher)]])</f>
        <v/>
      </c>
    </row>
    <row r="131" spans="2:9" x14ac:dyDescent="0.25">
      <c r="B131" s="7" t="str">
        <f>Master[[#This Row],[Accession Prefix (NPGS)]]&amp;" "&amp;Master[[#This Row],[Accession Number -Assigned]]</f>
        <v>W6 59717</v>
      </c>
      <c r="C131" s="7" t="str">
        <f>Master[[#This Row],[Accession Prefix (NPGS)]]&amp;" "&amp;Master[[#This Row],[Accession Number -Assigned]]&amp;" "&amp;Master[[#This Row],[Inventory Suffix]]&amp;" "&amp;Master[[#This Row],[Inventory Type - Lookup Picker]]</f>
        <v>W6 59717  SD</v>
      </c>
      <c r="D131" s="7" t="str">
        <f>IF(Master[[#This Row],[Collector Voucher Number]]="","",Master[[#This Row],[Collector Voucher Number]])</f>
        <v>WY090-179</v>
      </c>
      <c r="E131" s="17" t="str">
        <f>IF(Master[[#This Row],[Voucher Location (3)]]="","",Master[[#This Row],[Voucher Location (3)]])</f>
        <v>Kemmerer Field Office</v>
      </c>
      <c r="F131" s="7" t="str">
        <f t="shared" si="4"/>
        <v>mm/dd/yyyy</v>
      </c>
      <c r="G131" s="2">
        <f>IF(Master[[#This Row],[Voucher Date]]="","",Master[[#This Row],[Voucher Date]])</f>
        <v>44046</v>
      </c>
      <c r="H131" s="17" t="str">
        <f>IF(Master[[#This Row],[Voucher Collector -name, organization]]="","",Master[[#This Row],[Voucher Collector -name, organization]])</f>
        <v>Boies, A., Grelecki, A.:In Field:03 AUG 2020</v>
      </c>
      <c r="I131" s="7" t="str">
        <f>IF(Master[[#This Row],[Note (Voucher)]]="","",Master[[#This Row],[Note (Voucher)]])</f>
        <v/>
      </c>
    </row>
    <row r="132" spans="2:9" x14ac:dyDescent="0.25">
      <c r="B132" s="7" t="str">
        <f>Master[[#This Row],[Accession Prefix (NPGS)]]&amp;" "&amp;Master[[#This Row],[Accession Number -Assigned]]</f>
        <v>W6 59718</v>
      </c>
      <c r="C132" s="7" t="str">
        <f>Master[[#This Row],[Accession Prefix (NPGS)]]&amp;" "&amp;Master[[#This Row],[Accession Number -Assigned]]&amp;" "&amp;Master[[#This Row],[Inventory Suffix]]&amp;" "&amp;Master[[#This Row],[Inventory Type - Lookup Picker]]</f>
        <v>W6 59718  SD</v>
      </c>
      <c r="D132" s="7" t="str">
        <f>IF(Master[[#This Row],[Collector Voucher Number]]="","",Master[[#This Row],[Collector Voucher Number]])</f>
        <v>WY090-180</v>
      </c>
      <c r="E132" s="17" t="str">
        <f>IF(Master[[#This Row],[Voucher Location (3)]]="","",Master[[#This Row],[Voucher Location (3)]])</f>
        <v>Kemmerer Field Office</v>
      </c>
      <c r="F132" s="7" t="str">
        <f t="shared" si="4"/>
        <v>mm/dd/yyyy</v>
      </c>
      <c r="G132" s="2">
        <f>IF(Master[[#This Row],[Voucher Date]]="","",Master[[#This Row],[Voucher Date]])</f>
        <v>44006</v>
      </c>
      <c r="H132" s="17" t="str">
        <f>IF(Master[[#This Row],[Voucher Collector -name, organization]]="","",Master[[#This Row],[Voucher Collector -name, organization]])</f>
        <v>Boies, A., Grelecki, A.:In Field:24 JUN 2020</v>
      </c>
      <c r="I132" s="7" t="str">
        <f>IF(Master[[#This Row],[Note (Voucher)]]="","",Master[[#This Row],[Note (Voucher)]])</f>
        <v/>
      </c>
    </row>
    <row r="133" spans="2:9" x14ac:dyDescent="0.25">
      <c r="B133" s="7" t="str">
        <f>Master[[#This Row],[Accession Prefix (NPGS)]]&amp;" "&amp;Master[[#This Row],[Accession Number -Assigned]]</f>
        <v>W6 59719</v>
      </c>
      <c r="C133" s="7" t="str">
        <f>Master[[#This Row],[Accession Prefix (NPGS)]]&amp;" "&amp;Master[[#This Row],[Accession Number -Assigned]]&amp;" "&amp;Master[[#This Row],[Inventory Suffix]]&amp;" "&amp;Master[[#This Row],[Inventory Type - Lookup Picker]]</f>
        <v>W6 59719  SD</v>
      </c>
      <c r="D133" s="7" t="str">
        <f>IF(Master[[#This Row],[Collector Voucher Number]]="","",Master[[#This Row],[Collector Voucher Number]])</f>
        <v>WY090-183</v>
      </c>
      <c r="E133" s="17" t="str">
        <f>IF(Master[[#This Row],[Voucher Location (3)]]="","",Master[[#This Row],[Voucher Location (3)]])</f>
        <v>Kemmerer Field Office</v>
      </c>
      <c r="F133" s="7" t="str">
        <f t="shared" si="4"/>
        <v>mm/dd/yyyy</v>
      </c>
      <c r="G133" s="2">
        <f>IF(Master[[#This Row],[Voucher Date]]="","",Master[[#This Row],[Voucher Date]])</f>
        <v>44046</v>
      </c>
      <c r="H133" s="17" t="str">
        <f>IF(Master[[#This Row],[Voucher Collector -name, organization]]="","",Master[[#This Row],[Voucher Collector -name, organization]])</f>
        <v>Boies, A., Grelecki, A.:In Field:17 JUN 2020</v>
      </c>
      <c r="I133" s="7" t="str">
        <f>IF(Master[[#This Row],[Note (Voucher)]]="","",Master[[#This Row],[Note (Voucher)]])</f>
        <v/>
      </c>
    </row>
    <row r="134" spans="2:9" x14ac:dyDescent="0.25">
      <c r="B134" s="7" t="str">
        <f>Master[[#This Row],[Accession Prefix (NPGS)]]&amp;" "&amp;Master[[#This Row],[Accession Number -Assigned]]</f>
        <v>W6 59720</v>
      </c>
      <c r="C134" s="7" t="str">
        <f>Master[[#This Row],[Accession Prefix (NPGS)]]&amp;" "&amp;Master[[#This Row],[Accession Number -Assigned]]&amp;" "&amp;Master[[#This Row],[Inventory Suffix]]&amp;" "&amp;Master[[#This Row],[Inventory Type - Lookup Picker]]</f>
        <v>W6 59720  SD</v>
      </c>
      <c r="D134" s="7" t="str">
        <f>IF(Master[[#This Row],[Collector Voucher Number]]="","",Master[[#This Row],[Collector Voucher Number]])</f>
        <v>WY090-184</v>
      </c>
      <c r="E134" s="17" t="str">
        <f>IF(Master[[#This Row],[Voucher Location (3)]]="","",Master[[#This Row],[Voucher Location (3)]])</f>
        <v>Kemmerer Field Office</v>
      </c>
      <c r="F134" s="7" t="str">
        <f t="shared" si="4"/>
        <v>mm/dd/yyyy</v>
      </c>
      <c r="G134" s="2">
        <f>IF(Master[[#This Row],[Voucher Date]]="","",Master[[#This Row],[Voucher Date]])</f>
        <v>44033</v>
      </c>
      <c r="H134" s="17" t="str">
        <f>IF(Master[[#This Row],[Voucher Collector -name, organization]]="","",Master[[#This Row],[Voucher Collector -name, organization]])</f>
        <v>Boies, A., Grelecki, A.:In Field:21 JUL 2020</v>
      </c>
      <c r="I134" s="7" t="str">
        <f>IF(Master[[#This Row],[Note (Voucher)]]="","",Master[[#This Row],[Note (Voucher)]])</f>
        <v/>
      </c>
    </row>
    <row r="135" spans="2:9" x14ac:dyDescent="0.25">
      <c r="B135" s="7" t="str">
        <f>Master[[#This Row],[Accession Prefix (NPGS)]]&amp;" "&amp;Master[[#This Row],[Accession Number -Assigned]]</f>
        <v>W6 59721</v>
      </c>
      <c r="C135" s="7" t="str">
        <f>Master[[#This Row],[Accession Prefix (NPGS)]]&amp;" "&amp;Master[[#This Row],[Accession Number -Assigned]]&amp;" "&amp;Master[[#This Row],[Inventory Suffix]]&amp;" "&amp;Master[[#This Row],[Inventory Type - Lookup Picker]]</f>
        <v>W6 59721  SD</v>
      </c>
      <c r="D135" s="7" t="str">
        <f>IF(Master[[#This Row],[Collector Voucher Number]]="","",Master[[#This Row],[Collector Voucher Number]])</f>
        <v>WY090-185</v>
      </c>
      <c r="E135" s="17" t="str">
        <f>IF(Master[[#This Row],[Voucher Location (3)]]="","",Master[[#This Row],[Voucher Location (3)]])</f>
        <v>Kemmerer Field Office</v>
      </c>
      <c r="F135" s="7" t="str">
        <f t="shared" si="4"/>
        <v>mm/dd/yyyy</v>
      </c>
      <c r="G135" s="2">
        <f>IF(Master[[#This Row],[Voucher Date]]="","",Master[[#This Row],[Voucher Date]])</f>
        <v>44046</v>
      </c>
      <c r="H135" s="17" t="str">
        <f>IF(Master[[#This Row],[Voucher Collector -name, organization]]="","",Master[[#This Row],[Voucher Collector -name, organization]])</f>
        <v>Boies, A., Grelecki, A.::03 AUG 2020</v>
      </c>
      <c r="I135" s="7" t="str">
        <f>IF(Master[[#This Row],[Note (Voucher)]]="","",Master[[#This Row],[Note (Voucher)]])</f>
        <v/>
      </c>
    </row>
    <row r="136" spans="2:9" x14ac:dyDescent="0.25">
      <c r="B136" s="7" t="str">
        <f>Master[[#This Row],[Accession Prefix (NPGS)]]&amp;" "&amp;Master[[#This Row],[Accession Number -Assigned]]</f>
        <v>W6 59722</v>
      </c>
      <c r="C136" s="7" t="str">
        <f>Master[[#This Row],[Accession Prefix (NPGS)]]&amp;" "&amp;Master[[#This Row],[Accession Number -Assigned]]&amp;" "&amp;Master[[#This Row],[Inventory Suffix]]&amp;" "&amp;Master[[#This Row],[Inventory Type - Lookup Picker]]</f>
        <v>W6 59722  SD</v>
      </c>
      <c r="D136" s="7" t="str">
        <f>IF(Master[[#This Row],[Collector Voucher Number]]="","",Master[[#This Row],[Collector Voucher Number]])</f>
        <v>WY090-186</v>
      </c>
      <c r="E136" s="17" t="str">
        <f>IF(Master[[#This Row],[Voucher Location (3)]]="","",Master[[#This Row],[Voucher Location (3)]])</f>
        <v/>
      </c>
      <c r="F136" s="7" t="str">
        <f t="shared" si="4"/>
        <v>mm/dd/yyyy</v>
      </c>
      <c r="G136" s="2" t="str">
        <f>IF(Master[[#This Row],[Voucher Date]]="","",Master[[#This Row],[Voucher Date]])</f>
        <v/>
      </c>
      <c r="H136" s="17" t="str">
        <f>IF(Master[[#This Row],[Voucher Collector -name, organization]]="","",Master[[#This Row],[Voucher Collector -name, organization]])</f>
        <v>Boies, A., Grelecki, A.:In Field:21 JUL 2020</v>
      </c>
      <c r="I136" s="7" t="str">
        <f>IF(Master[[#This Row],[Note (Voucher)]]="","",Master[[#This Row],[Note (Voucher)]])</f>
        <v/>
      </c>
    </row>
    <row r="137" spans="2:9" x14ac:dyDescent="0.25">
      <c r="B137" s="7" t="str">
        <f>Master[[#This Row],[Accession Prefix (NPGS)]]&amp;" "&amp;Master[[#This Row],[Accession Number -Assigned]]</f>
        <v>W6 59723</v>
      </c>
      <c r="C137" s="7" t="str">
        <f>Master[[#This Row],[Accession Prefix (NPGS)]]&amp;" "&amp;Master[[#This Row],[Accession Number -Assigned]]&amp;" "&amp;Master[[#This Row],[Inventory Suffix]]&amp;" "&amp;Master[[#This Row],[Inventory Type - Lookup Picker]]</f>
        <v>W6 59723  SD</v>
      </c>
      <c r="D137" s="7" t="str">
        <f>IF(Master[[#This Row],[Collector Voucher Number]]="","",Master[[#This Row],[Collector Voucher Number]])</f>
        <v>WY090-187</v>
      </c>
      <c r="E137" s="17" t="str">
        <f>IF(Master[[#This Row],[Voucher Location (3)]]="","",Master[[#This Row],[Voucher Location (3)]])</f>
        <v/>
      </c>
      <c r="F137" s="7" t="str">
        <f t="shared" si="4"/>
        <v>mm/dd/yyyy</v>
      </c>
      <c r="G137" s="2" t="str">
        <f>IF(Master[[#This Row],[Voucher Date]]="","",Master[[#This Row],[Voucher Date]])</f>
        <v/>
      </c>
      <c r="H137" s="17" t="str">
        <f>IF(Master[[#This Row],[Voucher Collector -name, organization]]="","",Master[[#This Row],[Voucher Collector -name, organization]])</f>
        <v>Boies, A., Grelecki, A.:In Field:20 AUG 2020</v>
      </c>
      <c r="I137" s="7" t="str">
        <f>IF(Master[[#This Row],[Note (Voucher)]]="","",Master[[#This Row],[Note (Voucher)]])</f>
        <v/>
      </c>
    </row>
    <row r="138" spans="2:9" x14ac:dyDescent="0.25">
      <c r="B138" s="7" t="str">
        <f>Master[[#This Row],[Accession Prefix (NPGS)]]&amp;" "&amp;Master[[#This Row],[Accession Number -Assigned]]</f>
        <v>W6 59724</v>
      </c>
      <c r="C138" s="7" t="str">
        <f>Master[[#This Row],[Accession Prefix (NPGS)]]&amp;" "&amp;Master[[#This Row],[Accession Number -Assigned]]&amp;" "&amp;Master[[#This Row],[Inventory Suffix]]&amp;" "&amp;Master[[#This Row],[Inventory Type - Lookup Picker]]</f>
        <v>W6 59724  SD</v>
      </c>
      <c r="D138" s="7" t="str">
        <f>IF(Master[[#This Row],[Collector Voucher Number]]="","",Master[[#This Row],[Collector Voucher Number]])</f>
        <v>WY090-188</v>
      </c>
      <c r="E138" s="17" t="str">
        <f>IF(Master[[#This Row],[Voucher Location (3)]]="","",Master[[#This Row],[Voucher Location (3)]])</f>
        <v/>
      </c>
      <c r="F138" s="7" t="str">
        <f t="shared" si="4"/>
        <v>mm/dd/yyyy</v>
      </c>
      <c r="G138" s="2" t="str">
        <f>IF(Master[[#This Row],[Voucher Date]]="","",Master[[#This Row],[Voucher Date]])</f>
        <v/>
      </c>
      <c r="H138" s="17" t="str">
        <f>IF(Master[[#This Row],[Voucher Collector -name, organization]]="","",Master[[#This Row],[Voucher Collector -name, organization]])</f>
        <v>Boies, A., Grelecki, A.:In Field:09 JUL 2020</v>
      </c>
      <c r="I138" s="7" t="str">
        <f>IF(Master[[#This Row],[Note (Voucher)]]="","",Master[[#This Row],[Note (Voucher)]])</f>
        <v/>
      </c>
    </row>
    <row r="139" spans="2:9" x14ac:dyDescent="0.25">
      <c r="B139" s="7" t="str">
        <f>Master[[#This Row],[Accession Prefix (NPGS)]]&amp;" "&amp;Master[[#This Row],[Accession Number -Assigned]]</f>
        <v>W6 59725</v>
      </c>
      <c r="C139" s="7" t="str">
        <f>Master[[#This Row],[Accession Prefix (NPGS)]]&amp;" "&amp;Master[[#This Row],[Accession Number -Assigned]]&amp;" "&amp;Master[[#This Row],[Inventory Suffix]]&amp;" "&amp;Master[[#This Row],[Inventory Type - Lookup Picker]]</f>
        <v>W6 59725  SD</v>
      </c>
      <c r="D139" s="7" t="str">
        <f>IF(Master[[#This Row],[Collector Voucher Number]]="","",Master[[#This Row],[Collector Voucher Number]])</f>
        <v>WY090-189</v>
      </c>
      <c r="E139" s="17" t="str">
        <f>IF(Master[[#This Row],[Voucher Location (3)]]="","",Master[[#This Row],[Voucher Location (3)]])</f>
        <v/>
      </c>
      <c r="F139" s="7" t="str">
        <f t="shared" si="4"/>
        <v>mm/dd/yyyy</v>
      </c>
      <c r="G139" s="2" t="str">
        <f>IF(Master[[#This Row],[Voucher Date]]="","",Master[[#This Row],[Voucher Date]])</f>
        <v/>
      </c>
      <c r="H139" s="17" t="str">
        <f>IF(Master[[#This Row],[Voucher Collector -name, organization]]="","",Master[[#This Row],[Voucher Collector -name, organization]])</f>
        <v>Boies, A., Grelecki, A.:In Field:09 JUL 2020</v>
      </c>
      <c r="I139" s="7" t="str">
        <f>IF(Master[[#This Row],[Note (Voucher)]]="","",Master[[#This Row],[Note (Voucher)]])</f>
        <v/>
      </c>
    </row>
    <row r="140" spans="2:9" x14ac:dyDescent="0.25">
      <c r="B140" s="7" t="str">
        <f>Master[[#This Row],[Accession Prefix (NPGS)]]&amp;" "&amp;Master[[#This Row],[Accession Number -Assigned]]</f>
        <v>W6 59726</v>
      </c>
      <c r="C140" s="7" t="str">
        <f>Master[[#This Row],[Accession Prefix (NPGS)]]&amp;" "&amp;Master[[#This Row],[Accession Number -Assigned]]&amp;" "&amp;Master[[#This Row],[Inventory Suffix]]&amp;" "&amp;Master[[#This Row],[Inventory Type - Lookup Picker]]</f>
        <v>W6 59726  SD</v>
      </c>
      <c r="D140" s="7" t="str">
        <f>IF(Master[[#This Row],[Collector Voucher Number]]="","",Master[[#This Row],[Collector Voucher Number]])</f>
        <v>WY090-190</v>
      </c>
      <c r="E140" s="17" t="str">
        <f>IF(Master[[#This Row],[Voucher Location (3)]]="","",Master[[#This Row],[Voucher Location (3)]])</f>
        <v/>
      </c>
      <c r="F140" s="7" t="str">
        <f t="shared" si="4"/>
        <v>mm/dd/yyyy</v>
      </c>
      <c r="G140" s="2" t="str">
        <f>IF(Master[[#This Row],[Voucher Date]]="","",Master[[#This Row],[Voucher Date]])</f>
        <v/>
      </c>
      <c r="H140" s="17" t="str">
        <f>IF(Master[[#This Row],[Voucher Collector -name, organization]]="","",Master[[#This Row],[Voucher Collector -name, organization]])</f>
        <v>Boies, A., Grelecki, A.:In Field:17 SEP 2020</v>
      </c>
      <c r="I140" s="7" t="str">
        <f>IF(Master[[#This Row],[Note (Voucher)]]="","",Master[[#This Row],[Note (Voucher)]])</f>
        <v/>
      </c>
    </row>
    <row r="141" spans="2:9" x14ac:dyDescent="0.25">
      <c r="B141" s="7" t="str">
        <f>Master[[#This Row],[Accession Prefix (NPGS)]]&amp;" "&amp;Master[[#This Row],[Accession Number -Assigned]]</f>
        <v>W6 59727</v>
      </c>
      <c r="C141" s="7" t="str">
        <f>Master[[#This Row],[Accession Prefix (NPGS)]]&amp;" "&amp;Master[[#This Row],[Accession Number -Assigned]]&amp;" "&amp;Master[[#This Row],[Inventory Suffix]]&amp;" "&amp;Master[[#This Row],[Inventory Type - Lookup Picker]]</f>
        <v>W6 59727  SD</v>
      </c>
      <c r="D141" s="7" t="str">
        <f>IF(Master[[#This Row],[Collector Voucher Number]]="","",Master[[#This Row],[Collector Voucher Number]])</f>
        <v>WY090-191</v>
      </c>
      <c r="E141" s="17" t="str">
        <f>IF(Master[[#This Row],[Voucher Location (3)]]="","",Master[[#This Row],[Voucher Location (3)]])</f>
        <v/>
      </c>
      <c r="F141" s="7" t="str">
        <f t="shared" si="4"/>
        <v>mm/dd/yyyy</v>
      </c>
      <c r="G141" s="2" t="str">
        <f>IF(Master[[#This Row],[Voucher Date]]="","",Master[[#This Row],[Voucher Date]])</f>
        <v/>
      </c>
      <c r="H141" s="17" t="str">
        <f>IF(Master[[#This Row],[Voucher Collector -name, organization]]="","",Master[[#This Row],[Voucher Collector -name, organization]])</f>
        <v>Boies, A., Grelecki, A.:In Field:17 SEP 2020</v>
      </c>
      <c r="I141" s="7" t="str">
        <f>IF(Master[[#This Row],[Note (Voucher)]]="","",Master[[#This Row],[Note (Voucher)]])</f>
        <v/>
      </c>
    </row>
    <row r="142" spans="2:9" x14ac:dyDescent="0.25">
      <c r="B142" s="7" t="str">
        <f>Master[[#This Row],[Accession Prefix (NPGS)]]&amp;" "&amp;Master[[#This Row],[Accession Number -Assigned]]</f>
        <v>W6 59728</v>
      </c>
      <c r="C142" s="7" t="str">
        <f>Master[[#This Row],[Accession Prefix (NPGS)]]&amp;" "&amp;Master[[#This Row],[Accession Number -Assigned]]&amp;" "&amp;Master[[#This Row],[Inventory Suffix]]&amp;" "&amp;Master[[#This Row],[Inventory Type - Lookup Picker]]</f>
        <v>W6 59728  SD</v>
      </c>
      <c r="D142" s="7" t="str">
        <f>IF(Master[[#This Row],[Collector Voucher Number]]="","",Master[[#This Row],[Collector Voucher Number]])</f>
        <v>WY090-192</v>
      </c>
      <c r="E142" s="17" t="str">
        <f>IF(Master[[#This Row],[Voucher Location (3)]]="","",Master[[#This Row],[Voucher Location (3)]])</f>
        <v/>
      </c>
      <c r="F142" s="7" t="str">
        <f t="shared" si="4"/>
        <v>mm/dd/yyyy</v>
      </c>
      <c r="G142" s="2" t="str">
        <f>IF(Master[[#This Row],[Voucher Date]]="","",Master[[#This Row],[Voucher Date]])</f>
        <v/>
      </c>
      <c r="H142" s="17" t="str">
        <f>IF(Master[[#This Row],[Voucher Collector -name, organization]]="","",Master[[#This Row],[Voucher Collector -name, organization]])</f>
        <v>Boies, A., Grelecki, A.:In Field:10 SEP 2020</v>
      </c>
      <c r="I142" s="7" t="str">
        <f>IF(Master[[#This Row],[Note (Voucher)]]="","",Master[[#This Row],[Note (Voucher)]])</f>
        <v/>
      </c>
    </row>
    <row r="143" spans="2:9" x14ac:dyDescent="0.25">
      <c r="B143" s="7" t="str">
        <f>Master[[#This Row],[Accession Prefix (NPGS)]]&amp;" "&amp;Master[[#This Row],[Accession Number -Assigned]]</f>
        <v>W6 59729</v>
      </c>
      <c r="C143" s="7" t="str">
        <f>Master[[#This Row],[Accession Prefix (NPGS)]]&amp;" "&amp;Master[[#This Row],[Accession Number -Assigned]]&amp;" "&amp;Master[[#This Row],[Inventory Suffix]]&amp;" "&amp;Master[[#This Row],[Inventory Type - Lookup Picker]]</f>
        <v>W6 59729  SD</v>
      </c>
      <c r="D143" s="7" t="str">
        <f>IF(Master[[#This Row],[Collector Voucher Number]]="","",Master[[#This Row],[Collector Voucher Number]])</f>
        <v>WY090-193</v>
      </c>
      <c r="E143" s="17" t="str">
        <f>IF(Master[[#This Row],[Voucher Location (3)]]="","",Master[[#This Row],[Voucher Location (3)]])</f>
        <v/>
      </c>
      <c r="F143" s="7" t="str">
        <f t="shared" si="4"/>
        <v>mm/dd/yyyy</v>
      </c>
      <c r="G143" s="2" t="str">
        <f>IF(Master[[#This Row],[Voucher Date]]="","",Master[[#This Row],[Voucher Date]])</f>
        <v/>
      </c>
      <c r="H143" s="17" t="str">
        <f>IF(Master[[#This Row],[Voucher Collector -name, organization]]="","",Master[[#This Row],[Voucher Collector -name, organization]])</f>
        <v>Boies, A., Grelecki, A.:From pressed specimen on day of collection:22 SEP 2020</v>
      </c>
      <c r="I143" s="7" t="str">
        <f>IF(Master[[#This Row],[Note (Voucher)]]="","",Master[[#This Row],[Note (Voucher)]])</f>
        <v/>
      </c>
    </row>
    <row r="144" spans="2:9" x14ac:dyDescent="0.25">
      <c r="B144" s="7" t="str">
        <f>Master[[#This Row],[Accession Prefix (NPGS)]]&amp;" "&amp;Master[[#This Row],[Accession Number -Assigned]]</f>
        <v>W6 59730</v>
      </c>
      <c r="C144" s="7" t="str">
        <f>Master[[#This Row],[Accession Prefix (NPGS)]]&amp;" "&amp;Master[[#This Row],[Accession Number -Assigned]]&amp;" "&amp;Master[[#This Row],[Inventory Suffix]]&amp;" "&amp;Master[[#This Row],[Inventory Type - Lookup Picker]]</f>
        <v>W6 59730  SD</v>
      </c>
      <c r="D144" s="7" t="str">
        <f>IF(Master[[#This Row],[Collector Voucher Number]]="","",Master[[#This Row],[Collector Voucher Number]])</f>
        <v>WY090-194</v>
      </c>
      <c r="E144" s="17" t="str">
        <f>IF(Master[[#This Row],[Voucher Location (3)]]="","",Master[[#This Row],[Voucher Location (3)]])</f>
        <v/>
      </c>
      <c r="F144" s="7" t="str">
        <f t="shared" si="4"/>
        <v>mm/dd/yyyy</v>
      </c>
      <c r="G144" s="2" t="str">
        <f>IF(Master[[#This Row],[Voucher Date]]="","",Master[[#This Row],[Voucher Date]])</f>
        <v/>
      </c>
      <c r="H144" s="17" t="str">
        <f>IF(Master[[#This Row],[Voucher Collector -name, organization]]="","",Master[[#This Row],[Voucher Collector -name, organization]])</f>
        <v>Boies, A., Grelecki, A.:In Field:23 SEP 2020</v>
      </c>
      <c r="I144" s="7" t="str">
        <f>IF(Master[[#This Row],[Note (Voucher)]]="","",Master[[#This Row],[Note (Voucher)]])</f>
        <v/>
      </c>
    </row>
    <row r="145" spans="2:9" x14ac:dyDescent="0.25">
      <c r="B145" s="7" t="str">
        <f>Master[[#This Row],[Accession Prefix (NPGS)]]&amp;" "&amp;Master[[#This Row],[Accession Number -Assigned]]</f>
        <v>W6 59731</v>
      </c>
      <c r="C145" s="7" t="str">
        <f>Master[[#This Row],[Accession Prefix (NPGS)]]&amp;" "&amp;Master[[#This Row],[Accession Number -Assigned]]&amp;" "&amp;Master[[#This Row],[Inventory Suffix]]&amp;" "&amp;Master[[#This Row],[Inventory Type - Lookup Picker]]</f>
        <v>W6 59731  SD</v>
      </c>
      <c r="D145" s="7" t="str">
        <f>IF(Master[[#This Row],[Collector Voucher Number]]="","",Master[[#This Row],[Collector Voucher Number]])</f>
        <v>WY090-196</v>
      </c>
      <c r="E145" s="17" t="str">
        <f>IF(Master[[#This Row],[Voucher Location (3)]]="","",Master[[#This Row],[Voucher Location (3)]])</f>
        <v/>
      </c>
      <c r="F145" s="7" t="str">
        <f t="shared" si="4"/>
        <v>mm/dd/yyyy</v>
      </c>
      <c r="G145" s="2" t="str">
        <f>IF(Master[[#This Row],[Voucher Date]]="","",Master[[#This Row],[Voucher Date]])</f>
        <v/>
      </c>
      <c r="H145" s="17" t="str">
        <f>IF(Master[[#This Row],[Voucher Collector -name, organization]]="","",Master[[#This Row],[Voucher Collector -name, organization]])</f>
        <v>Boies, A., Grelecki, A.:In Field:23 SEP 2020</v>
      </c>
      <c r="I145" s="7" t="str">
        <f>IF(Master[[#This Row],[Note (Voucher)]]="","",Master[[#This Row],[Note (Voucher)]])</f>
        <v/>
      </c>
    </row>
    <row r="146" spans="2:9" x14ac:dyDescent="0.25">
      <c r="B146" s="7" t="str">
        <f>Master[[#This Row],[Accession Prefix (NPGS)]]&amp;" "&amp;Master[[#This Row],[Accession Number -Assigned]]</f>
        <v>W6 59732</v>
      </c>
      <c r="C146" s="7" t="str">
        <f>Master[[#This Row],[Accession Prefix (NPGS)]]&amp;" "&amp;Master[[#This Row],[Accession Number -Assigned]]&amp;" "&amp;Master[[#This Row],[Inventory Suffix]]&amp;" "&amp;Master[[#This Row],[Inventory Type - Lookup Picker]]</f>
        <v>W6 59732  SD</v>
      </c>
      <c r="D146" s="7" t="str">
        <f>IF(Master[[#This Row],[Collector Voucher Number]]="","",Master[[#This Row],[Collector Voucher Number]])</f>
        <v>WY090-197</v>
      </c>
      <c r="E146" s="17" t="str">
        <f>IF(Master[[#This Row],[Voucher Location (3)]]="","",Master[[#This Row],[Voucher Location (3)]])</f>
        <v/>
      </c>
      <c r="F146" s="7" t="str">
        <f t="shared" si="4"/>
        <v>mm/dd/yyyy</v>
      </c>
      <c r="G146" s="2" t="str">
        <f>IF(Master[[#This Row],[Voucher Date]]="","",Master[[#This Row],[Voucher Date]])</f>
        <v/>
      </c>
      <c r="H146" s="17" t="str">
        <f>IF(Master[[#This Row],[Voucher Collector -name, organization]]="","",Master[[#This Row],[Voucher Collector -name, organization]])</f>
        <v>Boies, A., Grelecki, A.:In Field:02 OCT 2020</v>
      </c>
      <c r="I146" s="7" t="str">
        <f>IF(Master[[#This Row],[Note (Voucher)]]="","",Master[[#This Row],[Note (Voucher)]])</f>
        <v/>
      </c>
    </row>
    <row r="147" spans="2:9" x14ac:dyDescent="0.25">
      <c r="B147" s="7" t="str">
        <f>Master[[#This Row],[Accession Prefix (NPGS)]]&amp;" "&amp;Master[[#This Row],[Accession Number -Assigned]]</f>
        <v>W6 59733</v>
      </c>
      <c r="C147" s="7" t="str">
        <f>Master[[#This Row],[Accession Prefix (NPGS)]]&amp;" "&amp;Master[[#This Row],[Accession Number -Assigned]]&amp;" "&amp;Master[[#This Row],[Inventory Suffix]]&amp;" "&amp;Master[[#This Row],[Inventory Type - Lookup Picker]]</f>
        <v>W6 59733  SD</v>
      </c>
      <c r="D147" s="7" t="str">
        <f>IF(Master[[#This Row],[Collector Voucher Number]]="","",Master[[#This Row],[Collector Voucher Number]])</f>
        <v>WY090-198</v>
      </c>
      <c r="E147" s="17" t="str">
        <f>IF(Master[[#This Row],[Voucher Location (3)]]="","",Master[[#This Row],[Voucher Location (3)]])</f>
        <v/>
      </c>
      <c r="F147" s="7" t="str">
        <f t="shared" si="4"/>
        <v>mm/dd/yyyy</v>
      </c>
      <c r="G147" s="2" t="str">
        <f>IF(Master[[#This Row],[Voucher Date]]="","",Master[[#This Row],[Voucher Date]])</f>
        <v/>
      </c>
      <c r="H147" s="17" t="str">
        <f>IF(Master[[#This Row],[Voucher Collector -name, organization]]="","",Master[[#This Row],[Voucher Collector -name, organization]])</f>
        <v>Boies, A., Grelecki, A.:In Field:05 OCT 2020</v>
      </c>
      <c r="I147" s="7" t="str">
        <f>IF(Master[[#This Row],[Note (Voucher)]]="","",Master[[#This Row],[Note (Voucher)]])</f>
        <v/>
      </c>
    </row>
    <row r="148" spans="2:9" x14ac:dyDescent="0.25">
      <c r="B148" s="7" t="str">
        <f>Master[[#This Row],[Accession Prefix (NPGS)]]&amp;" "&amp;Master[[#This Row],[Accession Number -Assigned]]</f>
        <v>W6 59734</v>
      </c>
      <c r="C148" s="7" t="str">
        <f>Master[[#This Row],[Accession Prefix (NPGS)]]&amp;" "&amp;Master[[#This Row],[Accession Number -Assigned]]&amp;" "&amp;Master[[#This Row],[Inventory Suffix]]&amp;" "&amp;Master[[#This Row],[Inventory Type - Lookup Picker]]</f>
        <v>W6 59734  SD</v>
      </c>
      <c r="D148" s="7" t="str">
        <f>IF(Master[[#This Row],[Collector Voucher Number]]="","",Master[[#This Row],[Collector Voucher Number]])</f>
        <v>WY090-199</v>
      </c>
      <c r="E148" s="17" t="str">
        <f>IF(Master[[#This Row],[Voucher Location (3)]]="","",Master[[#This Row],[Voucher Location (3)]])</f>
        <v/>
      </c>
      <c r="F148" s="7" t="str">
        <f t="shared" si="4"/>
        <v>mm/dd/yyyy</v>
      </c>
      <c r="G148" s="2" t="str">
        <f>IF(Master[[#This Row],[Voucher Date]]="","",Master[[#This Row],[Voucher Date]])</f>
        <v/>
      </c>
      <c r="H148" s="17" t="str">
        <f>IF(Master[[#This Row],[Voucher Collector -name, organization]]="","",Master[[#This Row],[Voucher Collector -name, organization]])</f>
        <v>Boies, A., Grelecki, A.:In Field:05 OCT 2020</v>
      </c>
      <c r="I148" s="7" t="str">
        <f>IF(Master[[#This Row],[Note (Voucher)]]="","",Master[[#This Row],[Note (Voucher)]])</f>
        <v/>
      </c>
    </row>
    <row r="149" spans="2:9" x14ac:dyDescent="0.25">
      <c r="B149" s="7" t="str">
        <f>Master[[#This Row],[Accession Prefix (NPGS)]]&amp;" "&amp;Master[[#This Row],[Accession Number -Assigned]]</f>
        <v>W6 59735</v>
      </c>
      <c r="C149" s="7" t="str">
        <f>Master[[#This Row],[Accession Prefix (NPGS)]]&amp;" "&amp;Master[[#This Row],[Accession Number -Assigned]]&amp;" "&amp;Master[[#This Row],[Inventory Suffix]]&amp;" "&amp;Master[[#This Row],[Inventory Type - Lookup Picker]]</f>
        <v>W6 59735  SD</v>
      </c>
      <c r="D149" s="7" t="str">
        <f>IF(Master[[#This Row],[Collector Voucher Number]]="","",Master[[#This Row],[Collector Voucher Number]])</f>
        <v>WY090-200</v>
      </c>
      <c r="E149" s="17" t="str">
        <f>IF(Master[[#This Row],[Voucher Location (3)]]="","",Master[[#This Row],[Voucher Location (3)]])</f>
        <v/>
      </c>
      <c r="F149" s="7" t="str">
        <f t="shared" si="4"/>
        <v>mm/dd/yyyy</v>
      </c>
      <c r="G149" s="2" t="str">
        <f>IF(Master[[#This Row],[Voucher Date]]="","",Master[[#This Row],[Voucher Date]])</f>
        <v/>
      </c>
      <c r="H149" s="17" t="str">
        <f>IF(Master[[#This Row],[Voucher Collector -name, organization]]="","",Master[[#This Row],[Voucher Collector -name, organization]])</f>
        <v>Boies, A., Grelecki, A.:From pressed specimen on day of collection:07 JUL 2020</v>
      </c>
      <c r="I149" s="7" t="str">
        <f>IF(Master[[#This Row],[Note (Voucher)]]="","",Master[[#This Row],[Note (Voucher)]])</f>
        <v/>
      </c>
    </row>
    <row r="150" spans="2:9" x14ac:dyDescent="0.25">
      <c r="B150" s="7" t="str">
        <f>Master[[#This Row],[Accession Prefix (NPGS)]]&amp;" "&amp;Master[[#This Row],[Accession Number -Assigned]]</f>
        <v>W6 59736</v>
      </c>
      <c r="C150" s="7" t="str">
        <f>Master[[#This Row],[Accession Prefix (NPGS)]]&amp;" "&amp;Master[[#This Row],[Accession Number -Assigned]]&amp;" "&amp;Master[[#This Row],[Inventory Suffix]]&amp;" "&amp;Master[[#This Row],[Inventory Type - Lookup Picker]]</f>
        <v>W6 59736  SD</v>
      </c>
      <c r="D150" s="7" t="str">
        <f>IF(Master[[#This Row],[Collector Voucher Number]]="","",Master[[#This Row],[Collector Voucher Number]])</f>
        <v>WY090-201</v>
      </c>
      <c r="E150" s="17" t="str">
        <f>IF(Master[[#This Row],[Voucher Location (3)]]="","",Master[[#This Row],[Voucher Location (3)]])</f>
        <v/>
      </c>
      <c r="F150" s="7" t="str">
        <f t="shared" ref="F150:F181" si="5">"mm/dd/yyyy"</f>
        <v>mm/dd/yyyy</v>
      </c>
      <c r="G150" s="2" t="str">
        <f>IF(Master[[#This Row],[Voucher Date]]="","",Master[[#This Row],[Voucher Date]])</f>
        <v/>
      </c>
      <c r="H150" s="17" t="str">
        <f>IF(Master[[#This Row],[Voucher Collector -name, organization]]="","",Master[[#This Row],[Voucher Collector -name, organization]])</f>
        <v>Boies, A., Grelecki, A.:In Field:07 OCT 2020</v>
      </c>
      <c r="I150" s="7" t="str">
        <f>IF(Master[[#This Row],[Note (Voucher)]]="","",Master[[#This Row],[Note (Voucher)]])</f>
        <v/>
      </c>
    </row>
    <row r="151" spans="2:9" x14ac:dyDescent="0.25">
      <c r="B151" s="7" t="str">
        <f>Master[[#This Row],[Accession Prefix (NPGS)]]&amp;" "&amp;Master[[#This Row],[Accession Number -Assigned]]</f>
        <v>W6 59737</v>
      </c>
      <c r="C151" s="7" t="str">
        <f>Master[[#This Row],[Accession Prefix (NPGS)]]&amp;" "&amp;Master[[#This Row],[Accession Number -Assigned]]&amp;" "&amp;Master[[#This Row],[Inventory Suffix]]&amp;" "&amp;Master[[#This Row],[Inventory Type - Lookup Picker]]</f>
        <v>W6 59737  SD</v>
      </c>
      <c r="D151" s="7" t="str">
        <f>IF(Master[[#This Row],[Collector Voucher Number]]="","",Master[[#This Row],[Collector Voucher Number]])</f>
        <v>WY090-202</v>
      </c>
      <c r="E151" s="17" t="str">
        <f>IF(Master[[#This Row],[Voucher Location (3)]]="","",Master[[#This Row],[Voucher Location (3)]])</f>
        <v>Kemmerer Field Office</v>
      </c>
      <c r="F151" s="7" t="str">
        <f t="shared" si="5"/>
        <v>mm/dd/yyyy</v>
      </c>
      <c r="G151" s="2">
        <f>IF(Master[[#This Row],[Voucher Date]]="","",Master[[#This Row],[Voucher Date]])</f>
        <v>44000</v>
      </c>
      <c r="H151" s="17" t="str">
        <f>IF(Master[[#This Row],[Voucher Collector -name, organization]]="","",Master[[#This Row],[Voucher Collector -name, organization]])</f>
        <v>Boies, A., Grelecki, A.:In Field:18 JUN 2020</v>
      </c>
      <c r="I151" s="7" t="str">
        <f>IF(Master[[#This Row],[Note (Voucher)]]="","",Master[[#This Row],[Note (Voucher)]])</f>
        <v/>
      </c>
    </row>
    <row r="152" spans="2:9" x14ac:dyDescent="0.2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17" t="str">
        <f>IF(Master[[#This Row],[Voucher Location (3)]]="","",Master[[#This Row],[Voucher Location (3)]])</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2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17" t="str">
        <f>IF(Master[[#This Row],[Voucher Location (3)]]="","",Master[[#This Row],[Voucher Location (3)]])</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2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17" t="str">
        <f>IF(Master[[#This Row],[Voucher Location (3)]]="","",Master[[#This Row],[Voucher Location (3)]])</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2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17" t="str">
        <f>IF(Master[[#This Row],[Voucher Location (3)]]="","",Master[[#This Row],[Voucher Location (3)]])</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2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17" t="str">
        <f>IF(Master[[#This Row],[Voucher Location (3)]]="","",Master[[#This Row],[Voucher Location (3)]])</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2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17" t="str">
        <f>IF(Master[[#This Row],[Voucher Location (3)]]="","",Master[[#This Row],[Voucher Location (3)]])</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2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17" t="str">
        <f>IF(Master[[#This Row],[Voucher Location (3)]]="","",Master[[#This Row],[Voucher Location (3)]])</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2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17" t="str">
        <f>IF(Master[[#This Row],[Voucher Location (3)]]="","",Master[[#This Row],[Voucher Location (3)]])</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2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17" t="str">
        <f>IF(Master[[#This Row],[Voucher Location (3)]]="","",Master[[#This Row],[Voucher Location (3)]])</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2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17" t="str">
        <f>IF(Master[[#This Row],[Voucher Location (3)]]="","",Master[[#This Row],[Voucher Location (3)]])</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2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17" t="str">
        <f>IF(Master[[#This Row],[Voucher Location (3)]]="","",Master[[#This Row],[Voucher Location (3)]])</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2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17" t="str">
        <f>IF(Master[[#This Row],[Voucher Location (3)]]="","",Master[[#This Row],[Voucher Location (3)]])</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2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17" t="str">
        <f>IF(Master[[#This Row],[Voucher Location (3)]]="","",Master[[#This Row],[Voucher Location (3)]])</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2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17" t="str">
        <f>IF(Master[[#This Row],[Voucher Location (3)]]="","",Master[[#This Row],[Voucher Location (3)]])</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2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17" t="str">
        <f>IF(Master[[#This Row],[Voucher Location (3)]]="","",Master[[#This Row],[Voucher Location (3)]])</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2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17" t="str">
        <f>IF(Master[[#This Row],[Voucher Location (3)]]="","",Master[[#This Row],[Voucher Location (3)]])</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2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17" t="str">
        <f>IF(Master[[#This Row],[Voucher Location (3)]]="","",Master[[#This Row],[Voucher Location (3)]])</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2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17" t="str">
        <f>IF(Master[[#This Row],[Voucher Location (3)]]="","",Master[[#This Row],[Voucher Location (3)]])</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2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17" t="str">
        <f>IF(Master[[#This Row],[Voucher Location (3)]]="","",Master[[#This Row],[Voucher Location (3)]])</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2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17" t="str">
        <f>IF(Master[[#This Row],[Voucher Location (3)]]="","",Master[[#This Row],[Voucher Location (3)]])</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2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17" t="str">
        <f>IF(Master[[#This Row],[Voucher Location (3)]]="","",Master[[#This Row],[Voucher Location (3)]])</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2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17" t="str">
        <f>IF(Master[[#This Row],[Voucher Location (3)]]="","",Master[[#This Row],[Voucher Location (3)]])</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2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17" t="str">
        <f>IF(Master[[#This Row],[Voucher Location (3)]]="","",Master[[#This Row],[Voucher Location (3)]])</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2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17" t="str">
        <f>IF(Master[[#This Row],[Voucher Location (3)]]="","",Master[[#This Row],[Voucher Location (3)]])</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2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17" t="str">
        <f>IF(Master[[#This Row],[Voucher Location (3)]]="","",Master[[#This Row],[Voucher Location (3)]])</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2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17" t="str">
        <f>IF(Master[[#This Row],[Voucher Location (3)]]="","",Master[[#This Row],[Voucher Location (3)]])</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2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17" t="str">
        <f>IF(Master[[#This Row],[Voucher Location (3)]]="","",Master[[#This Row],[Voucher Location (3)]])</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2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17" t="str">
        <f>IF(Master[[#This Row],[Voucher Location (3)]]="","",Master[[#This Row],[Voucher Location (3)]])</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2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17" t="str">
        <f>IF(Master[[#This Row],[Voucher Location (3)]]="","",Master[[#This Row],[Voucher Location (3)]])</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2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17" t="str">
        <f>IF(Master[[#This Row],[Voucher Location (3)]]="","",Master[[#This Row],[Voucher Location (3)]])</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2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17" t="str">
        <f>IF(Master[[#This Row],[Voucher Location (3)]]="","",Master[[#This Row],[Voucher Location (3)]])</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2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17" t="str">
        <f>IF(Master[[#This Row],[Voucher Location (3)]]="","",Master[[#This Row],[Voucher Location (3)]])</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2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17" t="str">
        <f>IF(Master[[#This Row],[Voucher Location (3)]]="","",Master[[#This Row],[Voucher Location (3)]])</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2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17" t="str">
        <f>IF(Master[[#This Row],[Voucher Location (3)]]="","",Master[[#This Row],[Voucher Location (3)]])</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2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17" t="str">
        <f>IF(Master[[#This Row],[Voucher Location (3)]]="","",Master[[#This Row],[Voucher Location (3)]])</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2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17" t="str">
        <f>IF(Master[[#This Row],[Voucher Location (3)]]="","",Master[[#This Row],[Voucher Location (3)]])</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2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17" t="str">
        <f>IF(Master[[#This Row],[Voucher Location (3)]]="","",Master[[#This Row],[Voucher Location (3)]])</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2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17" t="str">
        <f>IF(Master[[#This Row],[Voucher Location (3)]]="","",Master[[#This Row],[Voucher Location (3)]])</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2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17" t="str">
        <f>IF(Master[[#This Row],[Voucher Location (3)]]="","",Master[[#This Row],[Voucher Location (3)]])</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2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17" t="str">
        <f>IF(Master[[#This Row],[Voucher Location (3)]]="","",Master[[#This Row],[Voucher Location (3)]])</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2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17" t="str">
        <f>IF(Master[[#This Row],[Voucher Location (3)]]="","",Master[[#This Row],[Voucher Location (3)]])</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2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17" t="str">
        <f>IF(Master[[#This Row],[Voucher Location (3)]]="","",Master[[#This Row],[Voucher Location (3)]])</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2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17" t="str">
        <f>IF(Master[[#This Row],[Voucher Location (3)]]="","",Master[[#This Row],[Voucher Location (3)]])</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2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17" t="str">
        <f>IF(Master[[#This Row],[Voucher Location (3)]]="","",Master[[#This Row],[Voucher Location (3)]])</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2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17" t="str">
        <f>IF(Master[[#This Row],[Voucher Location (3)]]="","",Master[[#This Row],[Voucher Location (3)]])</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2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17" t="str">
        <f>IF(Master[[#This Row],[Voucher Location (3)]]="","",Master[[#This Row],[Voucher Location (3)]])</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2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17" t="str">
        <f>IF(Master[[#This Row],[Voucher Location (3)]]="","",Master[[#This Row],[Voucher Location (3)]])</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2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17" t="str">
        <f>IF(Master[[#This Row],[Voucher Location (3)]]="","",Master[[#This Row],[Voucher Location (3)]])</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2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17" t="str">
        <f>IF(Master[[#This Row],[Voucher Location (3)]]="","",Master[[#This Row],[Voucher Location (3)]])</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2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17" t="str">
        <f>IF(Master[[#This Row],[Voucher Location (3)]]="","",Master[[#This Row],[Voucher Location (3)]])</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P673"/>
  <sheetViews>
    <sheetView topLeftCell="N1" workbookViewId="0">
      <selection activeCell="Q8" sqref="Q8"/>
    </sheetView>
  </sheetViews>
  <sheetFormatPr defaultColWidth="15" defaultRowHeight="15" x14ac:dyDescent="0.25"/>
  <cols>
    <col min="1" max="1" width="3" customWidth="1"/>
    <col min="2" max="2" width="16.42578125" customWidth="1"/>
    <col min="3" max="3" width="31.5703125" bestFit="1" customWidth="1"/>
    <col min="4" max="4" width="22.7109375" customWidth="1"/>
    <col min="5" max="5" width="25.140625" customWidth="1"/>
    <col min="6" max="6" width="39.42578125" bestFit="1" customWidth="1"/>
    <col min="7" max="7" width="38.140625" bestFit="1" customWidth="1"/>
    <col min="8" max="8" width="50" customWidth="1"/>
    <col min="9" max="9" width="32.5703125" style="9" customWidth="1"/>
    <col min="10" max="10" width="9.5703125" customWidth="1"/>
    <col min="11" max="11" width="40.85546875" bestFit="1" customWidth="1"/>
    <col min="12" max="12" width="34.28515625" customWidth="1"/>
    <col min="13" max="13" width="48.7109375" customWidth="1"/>
    <col min="14" max="14" width="42.5703125" customWidth="1"/>
    <col min="15" max="15" width="77.28515625" customWidth="1"/>
    <col min="16" max="17" width="89.140625" bestFit="1" customWidth="1"/>
  </cols>
  <sheetData>
    <row r="1" spans="2:16" s="6" customFormat="1" ht="15.75" x14ac:dyDescent="0.25">
      <c r="B1" s="198" t="s">
        <v>19</v>
      </c>
      <c r="C1" s="198" t="s">
        <v>4</v>
      </c>
      <c r="D1" s="198" t="s">
        <v>521</v>
      </c>
      <c r="E1" s="198" t="s">
        <v>6</v>
      </c>
      <c r="F1" s="198" t="s">
        <v>522</v>
      </c>
      <c r="G1" s="198" t="s">
        <v>38</v>
      </c>
      <c r="H1" s="199" t="s">
        <v>227</v>
      </c>
      <c r="I1" s="199" t="s">
        <v>279</v>
      </c>
      <c r="J1" s="199" t="s">
        <v>280</v>
      </c>
      <c r="K1" s="199" t="s">
        <v>380</v>
      </c>
      <c r="L1" s="199" t="s">
        <v>408</v>
      </c>
      <c r="M1" s="199" t="s">
        <v>440</v>
      </c>
      <c r="N1" s="199" t="s">
        <v>465</v>
      </c>
      <c r="O1" s="133" t="s">
        <v>783</v>
      </c>
      <c r="P1" s="133" t="s">
        <v>98</v>
      </c>
    </row>
    <row r="2" spans="2:16" x14ac:dyDescent="0.25">
      <c r="B2" t="s">
        <v>275</v>
      </c>
      <c r="C2" t="s">
        <v>162</v>
      </c>
      <c r="D2" s="53" t="s">
        <v>159</v>
      </c>
      <c r="E2" t="s">
        <v>174</v>
      </c>
      <c r="F2" t="s">
        <v>194</v>
      </c>
      <c r="G2" t="s">
        <v>212</v>
      </c>
      <c r="H2" t="s">
        <v>409</v>
      </c>
      <c r="I2" s="195" t="s">
        <v>570</v>
      </c>
      <c r="J2" t="s">
        <v>282</v>
      </c>
      <c r="K2" t="s">
        <v>350</v>
      </c>
      <c r="L2" s="7" t="s">
        <v>394</v>
      </c>
      <c r="M2" s="7" t="s">
        <v>441</v>
      </c>
      <c r="N2" s="141" t="s">
        <v>466</v>
      </c>
      <c r="O2" s="206" t="s">
        <v>608</v>
      </c>
      <c r="P2" s="209" t="s">
        <v>797</v>
      </c>
    </row>
    <row r="3" spans="2:16" x14ac:dyDescent="0.25">
      <c r="B3" t="s">
        <v>241</v>
      </c>
      <c r="C3" t="s">
        <v>163</v>
      </c>
      <c r="D3" s="7" t="s">
        <v>170</v>
      </c>
      <c r="E3" t="s">
        <v>175</v>
      </c>
      <c r="F3" t="s">
        <v>195</v>
      </c>
      <c r="G3" t="s">
        <v>213</v>
      </c>
      <c r="H3" t="s">
        <v>87</v>
      </c>
      <c r="I3" s="40" t="s">
        <v>571</v>
      </c>
      <c r="J3" t="s">
        <v>309</v>
      </c>
      <c r="K3" t="s">
        <v>351</v>
      </c>
      <c r="L3" s="7" t="s">
        <v>397</v>
      </c>
      <c r="M3" s="7" t="s">
        <v>442</v>
      </c>
      <c r="N3" s="141" t="s">
        <v>467</v>
      </c>
      <c r="O3" s="206" t="s">
        <v>609</v>
      </c>
      <c r="P3" s="206" t="s">
        <v>99</v>
      </c>
    </row>
    <row r="4" spans="2:16" x14ac:dyDescent="0.25">
      <c r="B4" t="s">
        <v>242</v>
      </c>
      <c r="C4" t="s">
        <v>164</v>
      </c>
      <c r="D4" s="7" t="s">
        <v>171</v>
      </c>
      <c r="E4" t="s">
        <v>176</v>
      </c>
      <c r="F4" t="s">
        <v>196</v>
      </c>
      <c r="G4" t="s">
        <v>214</v>
      </c>
      <c r="H4" t="s">
        <v>410</v>
      </c>
      <c r="I4" s="40" t="s">
        <v>572</v>
      </c>
      <c r="J4" t="s">
        <v>283</v>
      </c>
      <c r="K4" t="s">
        <v>352</v>
      </c>
      <c r="L4" s="7" t="s">
        <v>393</v>
      </c>
      <c r="M4" s="7" t="s">
        <v>443</v>
      </c>
      <c r="N4" s="141" t="s">
        <v>468</v>
      </c>
      <c r="O4" s="206" t="s">
        <v>610</v>
      </c>
      <c r="P4" s="206" t="s">
        <v>798</v>
      </c>
    </row>
    <row r="5" spans="2:16" x14ac:dyDescent="0.25">
      <c r="B5" t="s">
        <v>243</v>
      </c>
      <c r="C5" t="s">
        <v>165</v>
      </c>
      <c r="D5" s="7" t="s">
        <v>172</v>
      </c>
      <c r="E5" t="s">
        <v>177</v>
      </c>
      <c r="F5" t="s">
        <v>197</v>
      </c>
      <c r="G5" t="s">
        <v>215</v>
      </c>
      <c r="H5" t="s">
        <v>411</v>
      </c>
      <c r="I5" s="40" t="s">
        <v>573</v>
      </c>
      <c r="J5" t="s">
        <v>281</v>
      </c>
      <c r="K5" t="s">
        <v>353</v>
      </c>
      <c r="L5" s="7" t="s">
        <v>398</v>
      </c>
      <c r="M5" s="7" t="s">
        <v>444</v>
      </c>
      <c r="N5" s="141" t="s">
        <v>469</v>
      </c>
      <c r="O5" s="206" t="s">
        <v>611</v>
      </c>
      <c r="P5" s="206" t="s">
        <v>799</v>
      </c>
    </row>
    <row r="6" spans="2:16" x14ac:dyDescent="0.25">
      <c r="B6" t="s">
        <v>244</v>
      </c>
      <c r="C6" t="s">
        <v>166</v>
      </c>
      <c r="D6" s="7" t="s">
        <v>169</v>
      </c>
      <c r="E6" t="s">
        <v>178</v>
      </c>
      <c r="F6" t="s">
        <v>198</v>
      </c>
      <c r="G6" t="s">
        <v>216</v>
      </c>
      <c r="H6" t="s">
        <v>412</v>
      </c>
      <c r="I6" s="40" t="s">
        <v>574</v>
      </c>
      <c r="J6" t="s">
        <v>284</v>
      </c>
      <c r="K6" t="s">
        <v>354</v>
      </c>
      <c r="L6" s="7" t="s">
        <v>387</v>
      </c>
      <c r="M6" s="7" t="s">
        <v>445</v>
      </c>
      <c r="N6" s="141" t="s">
        <v>470</v>
      </c>
      <c r="O6" s="206" t="s">
        <v>612</v>
      </c>
      <c r="P6" s="206" t="s">
        <v>800</v>
      </c>
    </row>
    <row r="7" spans="2:16" x14ac:dyDescent="0.25">
      <c r="B7" t="s">
        <v>245</v>
      </c>
      <c r="C7" t="s">
        <v>167</v>
      </c>
      <c r="D7" s="7" t="s">
        <v>185</v>
      </c>
      <c r="E7" t="s">
        <v>179</v>
      </c>
      <c r="F7" t="s">
        <v>199</v>
      </c>
      <c r="G7" t="s">
        <v>217</v>
      </c>
      <c r="H7" t="s">
        <v>413</v>
      </c>
      <c r="I7" s="40" t="s">
        <v>575</v>
      </c>
      <c r="J7" t="s">
        <v>290</v>
      </c>
      <c r="K7" t="s">
        <v>333</v>
      </c>
      <c r="L7" s="7" t="s">
        <v>400</v>
      </c>
      <c r="M7" s="7" t="s">
        <v>446</v>
      </c>
      <c r="N7" s="141" t="s">
        <v>471</v>
      </c>
      <c r="O7" s="206" t="s">
        <v>613</v>
      </c>
      <c r="P7" s="206" t="s">
        <v>801</v>
      </c>
    </row>
    <row r="8" spans="2:16" x14ac:dyDescent="0.25">
      <c r="B8" t="s">
        <v>246</v>
      </c>
      <c r="C8" t="s">
        <v>187</v>
      </c>
      <c r="D8" t="s">
        <v>168</v>
      </c>
      <c r="E8" t="s">
        <v>180</v>
      </c>
      <c r="F8" t="s">
        <v>200</v>
      </c>
      <c r="G8" t="s">
        <v>218</v>
      </c>
      <c r="H8" t="s">
        <v>414</v>
      </c>
      <c r="I8" s="40" t="s">
        <v>576</v>
      </c>
      <c r="J8" t="s">
        <v>312</v>
      </c>
      <c r="K8" t="s">
        <v>355</v>
      </c>
      <c r="L8" s="7" t="s">
        <v>395</v>
      </c>
      <c r="M8" s="7" t="s">
        <v>447</v>
      </c>
      <c r="N8" s="141" t="s">
        <v>435</v>
      </c>
      <c r="O8" s="206" t="s">
        <v>614</v>
      </c>
      <c r="P8" s="206" t="s">
        <v>802</v>
      </c>
    </row>
    <row r="9" spans="2:16" x14ac:dyDescent="0.25">
      <c r="B9" t="s">
        <v>247</v>
      </c>
      <c r="C9" t="s">
        <v>188</v>
      </c>
      <c r="D9" t="s">
        <v>186</v>
      </c>
      <c r="E9" t="s">
        <v>181</v>
      </c>
      <c r="F9" t="s">
        <v>201</v>
      </c>
      <c r="G9" s="7" t="s">
        <v>219</v>
      </c>
      <c r="H9" t="s">
        <v>415</v>
      </c>
      <c r="I9" s="40" t="s">
        <v>577</v>
      </c>
      <c r="J9" t="s">
        <v>291</v>
      </c>
      <c r="K9" t="s">
        <v>356</v>
      </c>
      <c r="L9" s="7" t="s">
        <v>406</v>
      </c>
      <c r="M9" s="7" t="s">
        <v>448</v>
      </c>
      <c r="N9" s="141" t="s">
        <v>472</v>
      </c>
      <c r="O9" s="206" t="s">
        <v>615</v>
      </c>
      <c r="P9" s="206" t="s">
        <v>803</v>
      </c>
    </row>
    <row r="10" spans="2:16" x14ac:dyDescent="0.25">
      <c r="B10" t="s">
        <v>274</v>
      </c>
      <c r="C10" t="s">
        <v>189</v>
      </c>
      <c r="D10" t="s">
        <v>173</v>
      </c>
      <c r="E10" t="s">
        <v>182</v>
      </c>
      <c r="F10" t="s">
        <v>202</v>
      </c>
      <c r="G10" s="7" t="s">
        <v>436</v>
      </c>
      <c r="H10" t="s">
        <v>416</v>
      </c>
      <c r="I10" s="40" t="s">
        <v>578</v>
      </c>
      <c r="J10" t="s">
        <v>318</v>
      </c>
      <c r="K10" t="s">
        <v>357</v>
      </c>
      <c r="L10" s="7" t="s">
        <v>390</v>
      </c>
      <c r="M10" s="7" t="s">
        <v>449</v>
      </c>
      <c r="N10" s="141" t="s">
        <v>473</v>
      </c>
      <c r="O10" s="206" t="s">
        <v>616</v>
      </c>
      <c r="P10" s="206" t="s">
        <v>804</v>
      </c>
    </row>
    <row r="11" spans="2:16" x14ac:dyDescent="0.25">
      <c r="B11" t="s">
        <v>248</v>
      </c>
      <c r="C11" t="s">
        <v>190</v>
      </c>
      <c r="D11" s="52"/>
      <c r="E11" t="s">
        <v>183</v>
      </c>
      <c r="F11" t="s">
        <v>203</v>
      </c>
      <c r="G11" s="7" t="s">
        <v>437</v>
      </c>
      <c r="H11" t="s">
        <v>417</v>
      </c>
      <c r="I11" s="40" t="s">
        <v>579</v>
      </c>
      <c r="J11" t="s">
        <v>285</v>
      </c>
      <c r="K11" t="s">
        <v>358</v>
      </c>
      <c r="L11" s="7" t="s">
        <v>392</v>
      </c>
      <c r="M11" s="7" t="s">
        <v>450</v>
      </c>
      <c r="O11" s="206" t="s">
        <v>617</v>
      </c>
      <c r="P11" s="206" t="s">
        <v>805</v>
      </c>
    </row>
    <row r="12" spans="2:16" x14ac:dyDescent="0.25">
      <c r="B12" t="s">
        <v>269</v>
      </c>
      <c r="C12" t="s">
        <v>191</v>
      </c>
      <c r="E12" t="s">
        <v>184</v>
      </c>
      <c r="F12" t="s">
        <v>204</v>
      </c>
      <c r="G12" t="s">
        <v>220</v>
      </c>
      <c r="H12" t="s">
        <v>418</v>
      </c>
      <c r="I12" s="40" t="s">
        <v>580</v>
      </c>
      <c r="J12" t="s">
        <v>319</v>
      </c>
      <c r="K12" t="s">
        <v>359</v>
      </c>
      <c r="L12" s="7" t="s">
        <v>389</v>
      </c>
      <c r="M12" s="7" t="s">
        <v>451</v>
      </c>
      <c r="O12" s="206" t="s">
        <v>618</v>
      </c>
      <c r="P12" s="206" t="s">
        <v>806</v>
      </c>
    </row>
    <row r="13" spans="2:16" x14ac:dyDescent="0.25">
      <c r="B13" t="s">
        <v>249</v>
      </c>
      <c r="C13" t="s">
        <v>192</v>
      </c>
      <c r="E13" t="s">
        <v>597</v>
      </c>
      <c r="F13" t="s">
        <v>205</v>
      </c>
      <c r="G13" t="s">
        <v>221</v>
      </c>
      <c r="H13" t="s">
        <v>419</v>
      </c>
      <c r="I13" s="40" t="s">
        <v>581</v>
      </c>
      <c r="J13" t="s">
        <v>313</v>
      </c>
      <c r="K13" t="s">
        <v>360</v>
      </c>
      <c r="L13" s="7" t="s">
        <v>388</v>
      </c>
      <c r="M13" s="7" t="s">
        <v>452</v>
      </c>
      <c r="O13" s="206" t="s">
        <v>619</v>
      </c>
      <c r="P13" s="206" t="s">
        <v>807</v>
      </c>
    </row>
    <row r="14" spans="2:16" x14ac:dyDescent="0.25">
      <c r="B14" t="s">
        <v>250</v>
      </c>
      <c r="F14" t="s">
        <v>206</v>
      </c>
      <c r="G14" t="s">
        <v>222</v>
      </c>
      <c r="H14" t="s">
        <v>420</v>
      </c>
      <c r="I14" s="40" t="s">
        <v>582</v>
      </c>
      <c r="J14" t="s">
        <v>310</v>
      </c>
      <c r="K14" t="s">
        <v>361</v>
      </c>
      <c r="L14" s="7" t="s">
        <v>382</v>
      </c>
      <c r="M14" s="7" t="s">
        <v>453</v>
      </c>
      <c r="O14" s="206" t="s">
        <v>620</v>
      </c>
      <c r="P14" s="206" t="s">
        <v>808</v>
      </c>
    </row>
    <row r="15" spans="2:16" x14ac:dyDescent="0.25">
      <c r="B15" t="s">
        <v>251</v>
      </c>
      <c r="F15" t="s">
        <v>207</v>
      </c>
      <c r="G15" t="s">
        <v>223</v>
      </c>
      <c r="H15" t="s">
        <v>421</v>
      </c>
      <c r="I15" s="40" t="s">
        <v>583</v>
      </c>
      <c r="J15" t="s">
        <v>286</v>
      </c>
      <c r="K15" t="s">
        <v>362</v>
      </c>
      <c r="L15" s="7" t="s">
        <v>384</v>
      </c>
      <c r="M15" s="7" t="s">
        <v>454</v>
      </c>
      <c r="O15" s="206" t="s">
        <v>621</v>
      </c>
      <c r="P15" s="206" t="s">
        <v>809</v>
      </c>
    </row>
    <row r="16" spans="2:16" x14ac:dyDescent="0.25">
      <c r="B16" t="s">
        <v>252</v>
      </c>
      <c r="G16" t="s">
        <v>224</v>
      </c>
      <c r="H16" t="s">
        <v>422</v>
      </c>
      <c r="I16" s="40" t="s">
        <v>584</v>
      </c>
      <c r="J16" t="s">
        <v>299</v>
      </c>
      <c r="K16" t="s">
        <v>363</v>
      </c>
      <c r="L16" s="7" t="s">
        <v>396</v>
      </c>
      <c r="M16" s="7" t="s">
        <v>455</v>
      </c>
      <c r="O16" s="206" t="s">
        <v>622</v>
      </c>
      <c r="P16" s="206" t="s">
        <v>810</v>
      </c>
    </row>
    <row r="17" spans="2:16" x14ac:dyDescent="0.25">
      <c r="B17" t="s">
        <v>253</v>
      </c>
      <c r="H17" t="s">
        <v>423</v>
      </c>
      <c r="I17" s="40" t="s">
        <v>585</v>
      </c>
      <c r="J17" t="s">
        <v>287</v>
      </c>
      <c r="K17" t="s">
        <v>364</v>
      </c>
      <c r="L17" s="7" t="s">
        <v>407</v>
      </c>
      <c r="M17" s="7" t="s">
        <v>456</v>
      </c>
      <c r="O17" s="206" t="s">
        <v>623</v>
      </c>
      <c r="P17" s="206" t="s">
        <v>811</v>
      </c>
    </row>
    <row r="18" spans="2:16" x14ac:dyDescent="0.25">
      <c r="B18" t="s">
        <v>254</v>
      </c>
      <c r="D18" s="7"/>
      <c r="E18" s="7"/>
      <c r="F18" s="7"/>
      <c r="G18" s="7"/>
      <c r="H18" t="s">
        <v>424</v>
      </c>
      <c r="I18" s="40" t="s">
        <v>586</v>
      </c>
      <c r="J18" t="s">
        <v>288</v>
      </c>
      <c r="K18" t="s">
        <v>365</v>
      </c>
      <c r="L18" s="7" t="s">
        <v>402</v>
      </c>
      <c r="M18" s="7" t="s">
        <v>457</v>
      </c>
      <c r="O18" s="206" t="s">
        <v>624</v>
      </c>
      <c r="P18" s="206" t="s">
        <v>812</v>
      </c>
    </row>
    <row r="19" spans="2:16" x14ac:dyDescent="0.25">
      <c r="B19" t="s">
        <v>272</v>
      </c>
      <c r="H19" t="s">
        <v>425</v>
      </c>
      <c r="I19" s="40" t="s">
        <v>587</v>
      </c>
      <c r="J19" t="s">
        <v>211</v>
      </c>
      <c r="K19" t="s">
        <v>366</v>
      </c>
      <c r="L19" s="7" t="s">
        <v>399</v>
      </c>
      <c r="M19" s="7" t="s">
        <v>458</v>
      </c>
      <c r="O19" s="206" t="s">
        <v>625</v>
      </c>
      <c r="P19" s="206" t="s">
        <v>813</v>
      </c>
    </row>
    <row r="20" spans="2:16" x14ac:dyDescent="0.25">
      <c r="B20" t="s">
        <v>255</v>
      </c>
      <c r="H20" t="s">
        <v>426</v>
      </c>
      <c r="I20" s="40" t="s">
        <v>588</v>
      </c>
      <c r="J20" t="s">
        <v>295</v>
      </c>
      <c r="K20" t="s">
        <v>367</v>
      </c>
      <c r="L20" s="7" t="s">
        <v>383</v>
      </c>
      <c r="M20" s="7" t="s">
        <v>459</v>
      </c>
      <c r="O20" s="206" t="s">
        <v>626</v>
      </c>
      <c r="P20" s="206" t="s">
        <v>814</v>
      </c>
    </row>
    <row r="21" spans="2:16" x14ac:dyDescent="0.25">
      <c r="B21" t="s">
        <v>256</v>
      </c>
      <c r="H21" t="s">
        <v>427</v>
      </c>
      <c r="I21" s="40" t="s">
        <v>589</v>
      </c>
      <c r="J21" t="s">
        <v>296</v>
      </c>
      <c r="K21" t="s">
        <v>368</v>
      </c>
      <c r="L21" s="7" t="s">
        <v>405</v>
      </c>
      <c r="M21" s="7" t="s">
        <v>460</v>
      </c>
      <c r="O21" s="206" t="s">
        <v>627</v>
      </c>
      <c r="P21" s="206" t="s">
        <v>815</v>
      </c>
    </row>
    <row r="22" spans="2:16" x14ac:dyDescent="0.25">
      <c r="B22" t="s">
        <v>270</v>
      </c>
      <c r="H22" t="s">
        <v>428</v>
      </c>
      <c r="I22" s="40" t="s">
        <v>590</v>
      </c>
      <c r="J22" t="s">
        <v>307</v>
      </c>
      <c r="K22" t="s">
        <v>369</v>
      </c>
      <c r="L22" s="7" t="s">
        <v>403</v>
      </c>
      <c r="M22" s="7" t="s">
        <v>461</v>
      </c>
      <c r="O22" s="206" t="s">
        <v>628</v>
      </c>
      <c r="P22" s="206" t="s">
        <v>816</v>
      </c>
    </row>
    <row r="23" spans="2:16" x14ac:dyDescent="0.25">
      <c r="B23" t="s">
        <v>257</v>
      </c>
      <c r="H23" t="s">
        <v>88</v>
      </c>
      <c r="I23" s="40" t="s">
        <v>591</v>
      </c>
      <c r="J23" t="s">
        <v>297</v>
      </c>
      <c r="K23" t="s">
        <v>370</v>
      </c>
      <c r="L23" s="7" t="s">
        <v>391</v>
      </c>
      <c r="M23" s="7" t="s">
        <v>462</v>
      </c>
      <c r="O23" s="206" t="s">
        <v>629</v>
      </c>
      <c r="P23" s="206" t="s">
        <v>817</v>
      </c>
    </row>
    <row r="24" spans="2:16" x14ac:dyDescent="0.25">
      <c r="B24" t="s">
        <v>273</v>
      </c>
      <c r="H24" t="s">
        <v>429</v>
      </c>
      <c r="I24" s="40" t="s">
        <v>592</v>
      </c>
      <c r="J24" t="s">
        <v>308</v>
      </c>
      <c r="K24" t="s">
        <v>371</v>
      </c>
      <c r="L24" s="7" t="s">
        <v>381</v>
      </c>
      <c r="O24" s="206" t="s">
        <v>630</v>
      </c>
      <c r="P24" s="206" t="s">
        <v>818</v>
      </c>
    </row>
    <row r="25" spans="2:16" x14ac:dyDescent="0.25">
      <c r="B25" t="s">
        <v>258</v>
      </c>
      <c r="H25" t="s">
        <v>430</v>
      </c>
      <c r="I25" s="40" t="s">
        <v>593</v>
      </c>
      <c r="J25" t="s">
        <v>298</v>
      </c>
      <c r="K25" t="s">
        <v>372</v>
      </c>
      <c r="L25" s="7" t="s">
        <v>401</v>
      </c>
      <c r="O25" s="206" t="s">
        <v>631</v>
      </c>
      <c r="P25" s="206" t="s">
        <v>819</v>
      </c>
    </row>
    <row r="26" spans="2:16" x14ac:dyDescent="0.25">
      <c r="B26" t="s">
        <v>271</v>
      </c>
      <c r="H26" t="s">
        <v>89</v>
      </c>
      <c r="I26" s="40" t="s">
        <v>594</v>
      </c>
      <c r="J26" t="s">
        <v>314</v>
      </c>
      <c r="K26" t="s">
        <v>373</v>
      </c>
      <c r="L26" s="7" t="s">
        <v>385</v>
      </c>
      <c r="O26" s="206" t="s">
        <v>632</v>
      </c>
      <c r="P26" s="206" t="s">
        <v>820</v>
      </c>
    </row>
    <row r="27" spans="2:16" x14ac:dyDescent="0.25">
      <c r="B27" t="s">
        <v>161</v>
      </c>
      <c r="H27" t="s">
        <v>90</v>
      </c>
      <c r="I27" s="40" t="s">
        <v>595</v>
      </c>
      <c r="J27" t="s">
        <v>320</v>
      </c>
      <c r="K27" t="s">
        <v>374</v>
      </c>
      <c r="L27" s="7" t="s">
        <v>404</v>
      </c>
      <c r="O27" s="206" t="s">
        <v>633</v>
      </c>
      <c r="P27" s="206" t="s">
        <v>821</v>
      </c>
    </row>
    <row r="28" spans="2:16" x14ac:dyDescent="0.25">
      <c r="B28" t="s">
        <v>259</v>
      </c>
      <c r="H28" t="s">
        <v>431</v>
      </c>
      <c r="I28" s="40"/>
      <c r="J28" t="s">
        <v>311</v>
      </c>
      <c r="K28" t="s">
        <v>375</v>
      </c>
      <c r="L28" s="7" t="s">
        <v>386</v>
      </c>
      <c r="O28" s="206" t="s">
        <v>634</v>
      </c>
      <c r="P28" s="206" t="s">
        <v>822</v>
      </c>
    </row>
    <row r="29" spans="2:16" x14ac:dyDescent="0.25">
      <c r="B29" t="s">
        <v>260</v>
      </c>
      <c r="H29" t="s">
        <v>432</v>
      </c>
      <c r="I29" s="40"/>
      <c r="J29" t="s">
        <v>317</v>
      </c>
      <c r="K29" t="s">
        <v>376</v>
      </c>
      <c r="O29" s="206" t="s">
        <v>635</v>
      </c>
      <c r="P29" s="206" t="s">
        <v>823</v>
      </c>
    </row>
    <row r="30" spans="2:16" x14ac:dyDescent="0.25">
      <c r="B30" t="s">
        <v>261</v>
      </c>
      <c r="H30" t="s">
        <v>433</v>
      </c>
      <c r="I30" s="40"/>
      <c r="J30" t="s">
        <v>315</v>
      </c>
      <c r="K30" t="s">
        <v>377</v>
      </c>
      <c r="O30" s="206" t="s">
        <v>636</v>
      </c>
      <c r="P30" s="206" t="s">
        <v>824</v>
      </c>
    </row>
    <row r="31" spans="2:16" x14ac:dyDescent="0.25">
      <c r="B31" t="s">
        <v>262</v>
      </c>
      <c r="H31" t="s">
        <v>434</v>
      </c>
      <c r="I31" s="40"/>
      <c r="J31" t="s">
        <v>316</v>
      </c>
      <c r="K31" t="s">
        <v>378</v>
      </c>
      <c r="O31" s="206" t="s">
        <v>637</v>
      </c>
      <c r="P31" s="206" t="s">
        <v>825</v>
      </c>
    </row>
    <row r="32" spans="2:16" x14ac:dyDescent="0.25">
      <c r="B32" t="s">
        <v>263</v>
      </c>
      <c r="I32" s="40"/>
      <c r="J32" t="s">
        <v>306</v>
      </c>
      <c r="K32" t="s">
        <v>379</v>
      </c>
      <c r="O32" s="206" t="s">
        <v>638</v>
      </c>
      <c r="P32" s="206" t="s">
        <v>826</v>
      </c>
    </row>
    <row r="33" spans="2:16" x14ac:dyDescent="0.25">
      <c r="B33" t="s">
        <v>264</v>
      </c>
      <c r="I33" s="40"/>
      <c r="J33" t="s">
        <v>292</v>
      </c>
      <c r="K33" t="s">
        <v>598</v>
      </c>
      <c r="O33" s="206" t="s">
        <v>639</v>
      </c>
      <c r="P33" s="206" t="s">
        <v>827</v>
      </c>
    </row>
    <row r="34" spans="2:16" x14ac:dyDescent="0.25">
      <c r="B34" t="s">
        <v>12</v>
      </c>
      <c r="I34" s="40"/>
      <c r="J34" t="s">
        <v>300</v>
      </c>
      <c r="O34" s="206" t="s">
        <v>607</v>
      </c>
      <c r="P34" s="206" t="s">
        <v>828</v>
      </c>
    </row>
    <row r="35" spans="2:16" x14ac:dyDescent="0.25">
      <c r="B35" t="s">
        <v>265</v>
      </c>
      <c r="I35" s="40"/>
      <c r="J35" t="s">
        <v>294</v>
      </c>
      <c r="O35" s="206" t="s">
        <v>640</v>
      </c>
      <c r="P35" s="206" t="s">
        <v>829</v>
      </c>
    </row>
    <row r="36" spans="2:16" x14ac:dyDescent="0.25">
      <c r="B36" t="s">
        <v>266</v>
      </c>
      <c r="I36" s="40"/>
      <c r="J36" t="s">
        <v>289</v>
      </c>
      <c r="O36" s="206" t="s">
        <v>641</v>
      </c>
      <c r="P36" s="206" t="s">
        <v>830</v>
      </c>
    </row>
    <row r="37" spans="2:16" x14ac:dyDescent="0.25">
      <c r="B37" t="s">
        <v>267</v>
      </c>
      <c r="I37" s="40"/>
      <c r="J37" t="s">
        <v>301</v>
      </c>
      <c r="O37" s="206" t="s">
        <v>642</v>
      </c>
      <c r="P37" s="206" t="s">
        <v>831</v>
      </c>
    </row>
    <row r="38" spans="2:16" x14ac:dyDescent="0.25">
      <c r="B38" t="s">
        <v>268</v>
      </c>
      <c r="I38" s="30"/>
      <c r="J38" t="s">
        <v>302</v>
      </c>
      <c r="O38" s="206" t="s">
        <v>643</v>
      </c>
      <c r="P38" s="206" t="s">
        <v>832</v>
      </c>
    </row>
    <row r="39" spans="2:16" x14ac:dyDescent="0.25">
      <c r="B39" t="s">
        <v>193</v>
      </c>
      <c r="I39" s="40"/>
      <c r="J39" t="s">
        <v>303</v>
      </c>
      <c r="O39" s="206" t="s">
        <v>644</v>
      </c>
      <c r="P39" s="206" t="s">
        <v>833</v>
      </c>
    </row>
    <row r="40" spans="2:16" x14ac:dyDescent="0.25">
      <c r="B40" t="s">
        <v>276</v>
      </c>
      <c r="I40" s="40"/>
      <c r="J40" t="s">
        <v>321</v>
      </c>
      <c r="O40" s="206" t="s">
        <v>645</v>
      </c>
      <c r="P40" s="206" t="s">
        <v>834</v>
      </c>
    </row>
    <row r="41" spans="2:16" x14ac:dyDescent="0.25">
      <c r="I41" s="40"/>
      <c r="J41" t="s">
        <v>293</v>
      </c>
      <c r="O41" s="206" t="s">
        <v>646</v>
      </c>
      <c r="P41" s="206" t="s">
        <v>835</v>
      </c>
    </row>
    <row r="42" spans="2:16" x14ac:dyDescent="0.25">
      <c r="I42" s="40"/>
      <c r="J42" t="s">
        <v>304</v>
      </c>
      <c r="O42" s="206" t="s">
        <v>647</v>
      </c>
      <c r="P42" s="206" t="s">
        <v>836</v>
      </c>
    </row>
    <row r="43" spans="2:16" x14ac:dyDescent="0.25">
      <c r="I43" s="40"/>
      <c r="J43" t="s">
        <v>305</v>
      </c>
      <c r="O43" s="206" t="s">
        <v>648</v>
      </c>
      <c r="P43" s="206" t="s">
        <v>837</v>
      </c>
    </row>
    <row r="44" spans="2:16" x14ac:dyDescent="0.25">
      <c r="I44" s="40"/>
      <c r="O44" s="206" t="s">
        <v>649</v>
      </c>
      <c r="P44" s="206" t="s">
        <v>838</v>
      </c>
    </row>
    <row r="45" spans="2:16" x14ac:dyDescent="0.25">
      <c r="I45" s="40"/>
      <c r="O45" s="206" t="s">
        <v>650</v>
      </c>
      <c r="P45" s="206" t="s">
        <v>839</v>
      </c>
    </row>
    <row r="46" spans="2:16" x14ac:dyDescent="0.25">
      <c r="I46" s="40"/>
      <c r="O46" s="206" t="s">
        <v>651</v>
      </c>
      <c r="P46" s="206" t="s">
        <v>840</v>
      </c>
    </row>
    <row r="47" spans="2:16" x14ac:dyDescent="0.25">
      <c r="I47" s="40"/>
      <c r="O47" s="206" t="s">
        <v>652</v>
      </c>
      <c r="P47" s="206" t="s">
        <v>841</v>
      </c>
    </row>
    <row r="48" spans="2:16" x14ac:dyDescent="0.25">
      <c r="I48" s="40"/>
      <c r="O48" s="206" t="s">
        <v>653</v>
      </c>
      <c r="P48" s="206" t="s">
        <v>842</v>
      </c>
    </row>
    <row r="49" spans="9:16" x14ac:dyDescent="0.25">
      <c r="I49" s="40"/>
      <c r="O49" s="206" t="s">
        <v>654</v>
      </c>
      <c r="P49" s="206" t="s">
        <v>843</v>
      </c>
    </row>
    <row r="50" spans="9:16" x14ac:dyDescent="0.25">
      <c r="I50" s="40"/>
      <c r="O50" s="206" t="s">
        <v>655</v>
      </c>
      <c r="P50" s="206" t="s">
        <v>844</v>
      </c>
    </row>
    <row r="51" spans="9:16" x14ac:dyDescent="0.25">
      <c r="I51" s="40"/>
      <c r="O51" s="206" t="s">
        <v>656</v>
      </c>
      <c r="P51" s="206" t="s">
        <v>845</v>
      </c>
    </row>
    <row r="52" spans="9:16" x14ac:dyDescent="0.25">
      <c r="I52" s="30"/>
      <c r="O52" s="206" t="s">
        <v>657</v>
      </c>
      <c r="P52" s="206" t="s">
        <v>846</v>
      </c>
    </row>
    <row r="53" spans="9:16" x14ac:dyDescent="0.25">
      <c r="I53"/>
      <c r="O53" s="206" t="s">
        <v>606</v>
      </c>
      <c r="P53" s="206" t="s">
        <v>847</v>
      </c>
    </row>
    <row r="54" spans="9:16" x14ac:dyDescent="0.25">
      <c r="I54"/>
      <c r="O54" s="206" t="s">
        <v>658</v>
      </c>
      <c r="P54" s="206" t="s">
        <v>848</v>
      </c>
    </row>
    <row r="55" spans="9:16" x14ac:dyDescent="0.25">
      <c r="I55"/>
      <c r="O55" s="206" t="s">
        <v>659</v>
      </c>
      <c r="P55" s="206" t="s">
        <v>849</v>
      </c>
    </row>
    <row r="56" spans="9:16" x14ac:dyDescent="0.25">
      <c r="I56"/>
      <c r="O56" s="206" t="s">
        <v>660</v>
      </c>
      <c r="P56" s="206" t="s">
        <v>850</v>
      </c>
    </row>
    <row r="57" spans="9:16" x14ac:dyDescent="0.25">
      <c r="I57"/>
      <c r="O57" s="206" t="s">
        <v>661</v>
      </c>
      <c r="P57" s="206" t="s">
        <v>851</v>
      </c>
    </row>
    <row r="58" spans="9:16" x14ac:dyDescent="0.25">
      <c r="I58"/>
      <c r="O58" s="206" t="s">
        <v>662</v>
      </c>
      <c r="P58" s="206" t="s">
        <v>852</v>
      </c>
    </row>
    <row r="59" spans="9:16" x14ac:dyDescent="0.25">
      <c r="I59"/>
      <c r="O59" s="206" t="s">
        <v>663</v>
      </c>
      <c r="P59" s="206" t="s">
        <v>853</v>
      </c>
    </row>
    <row r="60" spans="9:16" x14ac:dyDescent="0.25">
      <c r="I60"/>
      <c r="O60" s="206" t="s">
        <v>664</v>
      </c>
      <c r="P60" s="206" t="s">
        <v>854</v>
      </c>
    </row>
    <row r="61" spans="9:16" x14ac:dyDescent="0.25">
      <c r="I61"/>
      <c r="O61" s="206" t="s">
        <v>665</v>
      </c>
      <c r="P61" s="206" t="s">
        <v>855</v>
      </c>
    </row>
    <row r="62" spans="9:16" x14ac:dyDescent="0.25">
      <c r="I62"/>
      <c r="O62" s="206" t="s">
        <v>666</v>
      </c>
      <c r="P62" s="206" t="s">
        <v>856</v>
      </c>
    </row>
    <row r="63" spans="9:16" x14ac:dyDescent="0.25">
      <c r="I63"/>
      <c r="O63" s="206" t="s">
        <v>667</v>
      </c>
      <c r="P63" s="206" t="s">
        <v>857</v>
      </c>
    </row>
    <row r="64" spans="9:16" x14ac:dyDescent="0.25">
      <c r="I64"/>
      <c r="O64" s="206" t="s">
        <v>668</v>
      </c>
      <c r="P64" s="206" t="s">
        <v>858</v>
      </c>
    </row>
    <row r="65" spans="9:16" x14ac:dyDescent="0.25">
      <c r="I65"/>
      <c r="O65" s="206" t="s">
        <v>669</v>
      </c>
      <c r="P65" s="206" t="s">
        <v>859</v>
      </c>
    </row>
    <row r="66" spans="9:16" x14ac:dyDescent="0.25">
      <c r="I66"/>
      <c r="O66" s="206" t="s">
        <v>670</v>
      </c>
      <c r="P66" s="206" t="s">
        <v>860</v>
      </c>
    </row>
    <row r="67" spans="9:16" x14ac:dyDescent="0.25">
      <c r="I67"/>
      <c r="O67" s="206" t="s">
        <v>671</v>
      </c>
      <c r="P67" s="206" t="s">
        <v>861</v>
      </c>
    </row>
    <row r="68" spans="9:16" x14ac:dyDescent="0.25">
      <c r="I68"/>
      <c r="O68" s="206" t="s">
        <v>672</v>
      </c>
      <c r="P68" s="206" t="s">
        <v>862</v>
      </c>
    </row>
    <row r="69" spans="9:16" x14ac:dyDescent="0.25">
      <c r="I69"/>
      <c r="O69" s="206" t="s">
        <v>673</v>
      </c>
      <c r="P69" s="206" t="s">
        <v>863</v>
      </c>
    </row>
    <row r="70" spans="9:16" x14ac:dyDescent="0.25">
      <c r="I70"/>
      <c r="O70" s="206" t="s">
        <v>674</v>
      </c>
      <c r="P70" s="206"/>
    </row>
    <row r="71" spans="9:16" x14ac:dyDescent="0.25">
      <c r="I71"/>
      <c r="O71" s="206" t="s">
        <v>675</v>
      </c>
      <c r="P71" s="206"/>
    </row>
    <row r="72" spans="9:16" x14ac:dyDescent="0.25">
      <c r="I72"/>
      <c r="O72" s="206" t="s">
        <v>676</v>
      </c>
      <c r="P72" s="206"/>
    </row>
    <row r="73" spans="9:16" x14ac:dyDescent="0.25">
      <c r="I73"/>
      <c r="O73" s="206" t="s">
        <v>677</v>
      </c>
      <c r="P73" s="206"/>
    </row>
    <row r="74" spans="9:16" x14ac:dyDescent="0.25">
      <c r="I74"/>
      <c r="O74" s="206" t="s">
        <v>678</v>
      </c>
      <c r="P74" s="206"/>
    </row>
    <row r="75" spans="9:16" x14ac:dyDescent="0.25">
      <c r="I75"/>
      <c r="O75" s="206" t="s">
        <v>679</v>
      </c>
      <c r="P75" s="206"/>
    </row>
    <row r="76" spans="9:16" x14ac:dyDescent="0.25">
      <c r="I76"/>
      <c r="O76" s="206" t="s">
        <v>680</v>
      </c>
      <c r="P76" s="206"/>
    </row>
    <row r="77" spans="9:16" x14ac:dyDescent="0.25">
      <c r="I77"/>
      <c r="O77" s="206" t="s">
        <v>681</v>
      </c>
      <c r="P77" s="206"/>
    </row>
    <row r="78" spans="9:16" x14ac:dyDescent="0.25">
      <c r="I78"/>
      <c r="O78" s="206" t="s">
        <v>682</v>
      </c>
      <c r="P78" s="206"/>
    </row>
    <row r="79" spans="9:16" x14ac:dyDescent="0.25">
      <c r="I79"/>
      <c r="O79" s="206" t="s">
        <v>683</v>
      </c>
      <c r="P79" s="206"/>
    </row>
    <row r="80" spans="9:16" x14ac:dyDescent="0.25">
      <c r="I80"/>
      <c r="O80" s="206" t="s">
        <v>684</v>
      </c>
      <c r="P80" s="206"/>
    </row>
    <row r="81" spans="9:16" x14ac:dyDescent="0.25">
      <c r="I81"/>
      <c r="O81" s="206" t="s">
        <v>685</v>
      </c>
      <c r="P81" s="206"/>
    </row>
    <row r="82" spans="9:16" x14ac:dyDescent="0.25">
      <c r="I82"/>
      <c r="O82" s="206" t="s">
        <v>686</v>
      </c>
      <c r="P82" s="206"/>
    </row>
    <row r="83" spans="9:16" x14ac:dyDescent="0.25">
      <c r="I83"/>
      <c r="O83" s="206" t="s">
        <v>687</v>
      </c>
      <c r="P83" s="206"/>
    </row>
    <row r="84" spans="9:16" x14ac:dyDescent="0.25">
      <c r="I84"/>
      <c r="O84" s="206" t="s">
        <v>688</v>
      </c>
      <c r="P84" s="206"/>
    </row>
    <row r="85" spans="9:16" x14ac:dyDescent="0.25">
      <c r="I85"/>
      <c r="O85" s="206" t="s">
        <v>689</v>
      </c>
      <c r="P85" s="206"/>
    </row>
    <row r="86" spans="9:16" x14ac:dyDescent="0.25">
      <c r="I86"/>
      <c r="O86" s="206" t="s">
        <v>690</v>
      </c>
      <c r="P86" s="206"/>
    </row>
    <row r="87" spans="9:16" x14ac:dyDescent="0.25">
      <c r="I87"/>
      <c r="O87" s="206" t="s">
        <v>691</v>
      </c>
      <c r="P87" s="206"/>
    </row>
    <row r="88" spans="9:16" x14ac:dyDescent="0.25">
      <c r="I88"/>
      <c r="O88" s="206" t="s">
        <v>692</v>
      </c>
      <c r="P88" s="206"/>
    </row>
    <row r="89" spans="9:16" x14ac:dyDescent="0.25">
      <c r="I89"/>
      <c r="O89" s="206" t="s">
        <v>693</v>
      </c>
      <c r="P89" s="206"/>
    </row>
    <row r="90" spans="9:16" x14ac:dyDescent="0.25">
      <c r="I90"/>
      <c r="O90" s="206" t="s">
        <v>694</v>
      </c>
      <c r="P90" s="206"/>
    </row>
    <row r="91" spans="9:16" x14ac:dyDescent="0.25">
      <c r="I91"/>
      <c r="O91" s="206" t="s">
        <v>695</v>
      </c>
      <c r="P91" s="206"/>
    </row>
    <row r="92" spans="9:16" x14ac:dyDescent="0.25">
      <c r="I92"/>
      <c r="O92" s="206" t="s">
        <v>601</v>
      </c>
      <c r="P92" s="206"/>
    </row>
    <row r="93" spans="9:16" x14ac:dyDescent="0.25">
      <c r="I93"/>
      <c r="O93" s="206" t="s">
        <v>696</v>
      </c>
      <c r="P93" s="206"/>
    </row>
    <row r="94" spans="9:16" x14ac:dyDescent="0.25">
      <c r="I94"/>
      <c r="O94" s="206" t="s">
        <v>697</v>
      </c>
      <c r="P94" s="206"/>
    </row>
    <row r="95" spans="9:16" x14ac:dyDescent="0.25">
      <c r="I95"/>
      <c r="O95" s="206" t="s">
        <v>698</v>
      </c>
      <c r="P95" s="206"/>
    </row>
    <row r="96" spans="9:16" x14ac:dyDescent="0.25">
      <c r="I96"/>
      <c r="O96" s="206" t="s">
        <v>699</v>
      </c>
      <c r="P96" s="206"/>
    </row>
    <row r="97" spans="9:16" x14ac:dyDescent="0.25">
      <c r="I97"/>
      <c r="O97" s="206" t="s">
        <v>700</v>
      </c>
      <c r="P97" s="206"/>
    </row>
    <row r="98" spans="9:16" x14ac:dyDescent="0.25">
      <c r="I98"/>
      <c r="O98" s="206" t="s">
        <v>701</v>
      </c>
      <c r="P98" s="206"/>
    </row>
    <row r="99" spans="9:16" x14ac:dyDescent="0.25">
      <c r="I99"/>
      <c r="O99" s="206" t="s">
        <v>702</v>
      </c>
      <c r="P99" s="206"/>
    </row>
    <row r="100" spans="9:16" x14ac:dyDescent="0.25">
      <c r="I100"/>
      <c r="O100" s="206" t="s">
        <v>703</v>
      </c>
      <c r="P100" s="206"/>
    </row>
    <row r="101" spans="9:16" x14ac:dyDescent="0.25">
      <c r="I101" s="141"/>
      <c r="O101" s="206" t="s">
        <v>704</v>
      </c>
      <c r="P101" s="206"/>
    </row>
    <row r="102" spans="9:16" x14ac:dyDescent="0.25">
      <c r="I102" s="141"/>
      <c r="O102" s="206" t="s">
        <v>705</v>
      </c>
      <c r="P102" s="206"/>
    </row>
    <row r="103" spans="9:16" x14ac:dyDescent="0.25">
      <c r="I103" s="141"/>
      <c r="O103" s="206" t="s">
        <v>706</v>
      </c>
      <c r="P103" s="206"/>
    </row>
    <row r="104" spans="9:16" x14ac:dyDescent="0.25">
      <c r="I104" s="141"/>
      <c r="O104" s="206" t="s">
        <v>707</v>
      </c>
      <c r="P104" s="206"/>
    </row>
    <row r="105" spans="9:16" x14ac:dyDescent="0.25">
      <c r="I105" s="141"/>
      <c r="O105" s="206" t="s">
        <v>708</v>
      </c>
      <c r="P105" s="206"/>
    </row>
    <row r="106" spans="9:16" x14ac:dyDescent="0.25">
      <c r="I106" s="141"/>
      <c r="O106" s="206" t="s">
        <v>709</v>
      </c>
      <c r="P106" s="206"/>
    </row>
    <row r="107" spans="9:16" x14ac:dyDescent="0.25">
      <c r="I107" s="141"/>
      <c r="O107" s="206" t="s">
        <v>604</v>
      </c>
      <c r="P107" s="206"/>
    </row>
    <row r="108" spans="9:16" x14ac:dyDescent="0.25">
      <c r="I108" s="141"/>
      <c r="O108" s="206" t="s">
        <v>710</v>
      </c>
      <c r="P108" s="206"/>
    </row>
    <row r="109" spans="9:16" x14ac:dyDescent="0.25">
      <c r="I109" s="141"/>
      <c r="O109" s="206" t="s">
        <v>711</v>
      </c>
      <c r="P109" s="206"/>
    </row>
    <row r="110" spans="9:16" x14ac:dyDescent="0.25">
      <c r="I110" s="141"/>
      <c r="O110" s="206" t="s">
        <v>602</v>
      </c>
      <c r="P110" s="206"/>
    </row>
    <row r="111" spans="9:16" x14ac:dyDescent="0.25">
      <c r="I111" s="141"/>
      <c r="O111" s="206" t="s">
        <v>712</v>
      </c>
      <c r="P111" s="206"/>
    </row>
    <row r="112" spans="9:16" x14ac:dyDescent="0.25">
      <c r="I112" s="141"/>
      <c r="O112" s="206" t="s">
        <v>713</v>
      </c>
      <c r="P112" s="206"/>
    </row>
    <row r="113" spans="9:16" x14ac:dyDescent="0.25">
      <c r="I113" s="141"/>
      <c r="O113" s="206" t="s">
        <v>714</v>
      </c>
      <c r="P113" s="206"/>
    </row>
    <row r="114" spans="9:16" x14ac:dyDescent="0.25">
      <c r="I114" s="141"/>
      <c r="O114" s="206" t="s">
        <v>715</v>
      </c>
      <c r="P114" s="206"/>
    </row>
    <row r="115" spans="9:16" x14ac:dyDescent="0.25">
      <c r="I115" s="141"/>
      <c r="O115" s="206" t="s">
        <v>716</v>
      </c>
      <c r="P115" s="206"/>
    </row>
    <row r="116" spans="9:16" x14ac:dyDescent="0.25">
      <c r="I116" s="141"/>
      <c r="O116" s="206" t="s">
        <v>717</v>
      </c>
      <c r="P116" s="206"/>
    </row>
    <row r="117" spans="9:16" x14ac:dyDescent="0.25">
      <c r="I117" s="141"/>
      <c r="O117" s="206" t="s">
        <v>718</v>
      </c>
      <c r="P117" s="206"/>
    </row>
    <row r="118" spans="9:16" x14ac:dyDescent="0.25">
      <c r="I118" s="141"/>
      <c r="O118" s="206" t="s">
        <v>719</v>
      </c>
      <c r="P118" s="206"/>
    </row>
    <row r="119" spans="9:16" x14ac:dyDescent="0.25">
      <c r="I119" s="141"/>
      <c r="O119" s="206" t="s">
        <v>720</v>
      </c>
      <c r="P119" s="206"/>
    </row>
    <row r="120" spans="9:16" x14ac:dyDescent="0.25">
      <c r="I120" s="141"/>
      <c r="O120" s="206" t="s">
        <v>721</v>
      </c>
      <c r="P120" s="206"/>
    </row>
    <row r="121" spans="9:16" x14ac:dyDescent="0.25">
      <c r="I121" s="141"/>
      <c r="O121" s="206" t="s">
        <v>722</v>
      </c>
      <c r="P121" s="206"/>
    </row>
    <row r="122" spans="9:16" x14ac:dyDescent="0.25">
      <c r="I122" s="141"/>
      <c r="O122" s="206" t="s">
        <v>723</v>
      </c>
      <c r="P122" s="206"/>
    </row>
    <row r="123" spans="9:16" x14ac:dyDescent="0.25">
      <c r="I123" s="141"/>
      <c r="O123" s="206" t="s">
        <v>724</v>
      </c>
      <c r="P123" s="206"/>
    </row>
    <row r="124" spans="9:16" x14ac:dyDescent="0.25">
      <c r="I124" s="141"/>
      <c r="O124" s="206" t="s">
        <v>725</v>
      </c>
      <c r="P124" s="206"/>
    </row>
    <row r="125" spans="9:16" x14ac:dyDescent="0.25">
      <c r="I125" s="141"/>
      <c r="O125" s="206" t="s">
        <v>726</v>
      </c>
      <c r="P125" s="206"/>
    </row>
    <row r="126" spans="9:16" x14ac:dyDescent="0.25">
      <c r="I126" s="141"/>
      <c r="O126" s="206" t="s">
        <v>727</v>
      </c>
      <c r="P126" s="206"/>
    </row>
    <row r="127" spans="9:16" x14ac:dyDescent="0.25">
      <c r="I127" s="141"/>
      <c r="O127" s="206" t="s">
        <v>728</v>
      </c>
      <c r="P127" s="206"/>
    </row>
    <row r="128" spans="9:16" x14ac:dyDescent="0.25">
      <c r="I128" s="141"/>
      <c r="O128" s="206" t="s">
        <v>729</v>
      </c>
      <c r="P128" s="206"/>
    </row>
    <row r="129" spans="9:16" x14ac:dyDescent="0.25">
      <c r="I129" s="141"/>
      <c r="O129" s="206" t="s">
        <v>730</v>
      </c>
      <c r="P129" s="206"/>
    </row>
    <row r="130" spans="9:16" x14ac:dyDescent="0.25">
      <c r="I130" s="141"/>
      <c r="O130" s="206" t="s">
        <v>731</v>
      </c>
      <c r="P130" s="206"/>
    </row>
    <row r="131" spans="9:16" x14ac:dyDescent="0.25">
      <c r="I131" s="141"/>
      <c r="O131" s="206" t="s">
        <v>732</v>
      </c>
      <c r="P131" s="206"/>
    </row>
    <row r="132" spans="9:16" x14ac:dyDescent="0.25">
      <c r="I132" s="141"/>
      <c r="O132" s="206" t="s">
        <v>733</v>
      </c>
      <c r="P132" s="206"/>
    </row>
    <row r="133" spans="9:16" x14ac:dyDescent="0.25">
      <c r="I133" s="141"/>
      <c r="O133" s="206" t="s">
        <v>734</v>
      </c>
      <c r="P133" s="206"/>
    </row>
    <row r="134" spans="9:16" x14ac:dyDescent="0.25">
      <c r="I134" s="141"/>
      <c r="O134" s="206" t="s">
        <v>735</v>
      </c>
      <c r="P134" s="206"/>
    </row>
    <row r="135" spans="9:16" x14ac:dyDescent="0.25">
      <c r="I135" s="141"/>
      <c r="O135" s="206" t="s">
        <v>736</v>
      </c>
      <c r="P135" s="206"/>
    </row>
    <row r="136" spans="9:16" x14ac:dyDescent="0.25">
      <c r="I136" s="141"/>
      <c r="O136" s="206" t="s">
        <v>737</v>
      </c>
      <c r="P136" s="206"/>
    </row>
    <row r="137" spans="9:16" x14ac:dyDescent="0.25">
      <c r="I137" s="141"/>
      <c r="O137" s="206" t="s">
        <v>738</v>
      </c>
      <c r="P137" s="206"/>
    </row>
    <row r="138" spans="9:16" x14ac:dyDescent="0.25">
      <c r="I138" s="141"/>
      <c r="O138" s="206" t="s">
        <v>739</v>
      </c>
      <c r="P138" s="206"/>
    </row>
    <row r="139" spans="9:16" x14ac:dyDescent="0.25">
      <c r="I139" s="141"/>
      <c r="O139" s="206" t="s">
        <v>740</v>
      </c>
      <c r="P139" s="206"/>
    </row>
    <row r="140" spans="9:16" x14ac:dyDescent="0.25">
      <c r="I140" s="141"/>
      <c r="O140" s="206" t="s">
        <v>741</v>
      </c>
      <c r="P140" s="206"/>
    </row>
    <row r="141" spans="9:16" x14ac:dyDescent="0.25">
      <c r="I141" s="141"/>
      <c r="O141" s="206" t="s">
        <v>742</v>
      </c>
      <c r="P141" s="206"/>
    </row>
    <row r="142" spans="9:16" x14ac:dyDescent="0.25">
      <c r="I142" s="141"/>
      <c r="O142" s="206" t="s">
        <v>743</v>
      </c>
      <c r="P142" s="206"/>
    </row>
    <row r="143" spans="9:16" x14ac:dyDescent="0.25">
      <c r="I143" s="141"/>
      <c r="O143" s="206" t="s">
        <v>744</v>
      </c>
      <c r="P143" s="206"/>
    </row>
    <row r="144" spans="9:16" x14ac:dyDescent="0.25">
      <c r="I144" s="141"/>
      <c r="O144" s="206" t="s">
        <v>745</v>
      </c>
      <c r="P144" s="206"/>
    </row>
    <row r="145" spans="9:16" x14ac:dyDescent="0.25">
      <c r="I145" s="141"/>
      <c r="O145" s="206" t="s">
        <v>746</v>
      </c>
      <c r="P145" s="206"/>
    </row>
    <row r="146" spans="9:16" x14ac:dyDescent="0.25">
      <c r="I146" s="141"/>
      <c r="O146" s="206" t="s">
        <v>747</v>
      </c>
      <c r="P146" s="206"/>
    </row>
    <row r="147" spans="9:16" x14ac:dyDescent="0.25">
      <c r="I147" s="141"/>
      <c r="O147" s="206" t="s">
        <v>748</v>
      </c>
      <c r="P147" s="206"/>
    </row>
    <row r="148" spans="9:16" x14ac:dyDescent="0.25">
      <c r="I148" s="141"/>
      <c r="O148" s="206" t="s">
        <v>749</v>
      </c>
      <c r="P148" s="206"/>
    </row>
    <row r="149" spans="9:16" x14ac:dyDescent="0.25">
      <c r="I149" s="141"/>
      <c r="O149" s="206" t="s">
        <v>750</v>
      </c>
      <c r="P149" s="206"/>
    </row>
    <row r="150" spans="9:16" x14ac:dyDescent="0.25">
      <c r="I150" s="141"/>
      <c r="O150" s="206" t="s">
        <v>603</v>
      </c>
      <c r="P150" s="206"/>
    </row>
    <row r="151" spans="9:16" x14ac:dyDescent="0.25">
      <c r="I151" s="141"/>
      <c r="O151" s="206" t="s">
        <v>751</v>
      </c>
      <c r="P151" s="206"/>
    </row>
    <row r="152" spans="9:16" x14ac:dyDescent="0.25">
      <c r="I152" s="141"/>
      <c r="O152" s="206" t="s">
        <v>752</v>
      </c>
      <c r="P152" s="206"/>
    </row>
    <row r="153" spans="9:16" x14ac:dyDescent="0.25">
      <c r="I153" s="141"/>
      <c r="O153" s="206" t="s">
        <v>753</v>
      </c>
      <c r="P153" s="206"/>
    </row>
    <row r="154" spans="9:16" x14ac:dyDescent="0.25">
      <c r="I154" s="141"/>
      <c r="O154" s="206" t="s">
        <v>754</v>
      </c>
      <c r="P154" s="206"/>
    </row>
    <row r="155" spans="9:16" x14ac:dyDescent="0.25">
      <c r="I155" s="141"/>
      <c r="O155" s="206" t="s">
        <v>755</v>
      </c>
      <c r="P155" s="206"/>
    </row>
    <row r="156" spans="9:16" x14ac:dyDescent="0.25">
      <c r="I156" s="141"/>
      <c r="O156" s="206" t="s">
        <v>756</v>
      </c>
      <c r="P156" s="206"/>
    </row>
    <row r="157" spans="9:16" x14ac:dyDescent="0.25">
      <c r="I157" s="141"/>
      <c r="O157" s="206" t="s">
        <v>757</v>
      </c>
      <c r="P157" s="206"/>
    </row>
    <row r="158" spans="9:16" x14ac:dyDescent="0.25">
      <c r="I158" s="141"/>
      <c r="O158" s="206" t="s">
        <v>758</v>
      </c>
      <c r="P158" s="206"/>
    </row>
    <row r="159" spans="9:16" x14ac:dyDescent="0.25">
      <c r="I159" s="141"/>
      <c r="O159" s="206" t="s">
        <v>759</v>
      </c>
      <c r="P159" s="206"/>
    </row>
    <row r="160" spans="9:16" x14ac:dyDescent="0.25">
      <c r="I160" s="141"/>
      <c r="O160" s="206" t="s">
        <v>760</v>
      </c>
      <c r="P160" s="206"/>
    </row>
    <row r="161" spans="9:16" x14ac:dyDescent="0.25">
      <c r="I161" s="141"/>
      <c r="O161" s="206" t="s">
        <v>761</v>
      </c>
      <c r="P161" s="206"/>
    </row>
    <row r="162" spans="9:16" x14ac:dyDescent="0.25">
      <c r="I162" s="141"/>
      <c r="O162" s="206" t="s">
        <v>762</v>
      </c>
      <c r="P162" s="206"/>
    </row>
    <row r="163" spans="9:16" x14ac:dyDescent="0.25">
      <c r="I163" s="141"/>
      <c r="O163" s="206" t="s">
        <v>763</v>
      </c>
      <c r="P163" s="206"/>
    </row>
    <row r="164" spans="9:16" x14ac:dyDescent="0.25">
      <c r="I164" s="141"/>
      <c r="O164" s="206" t="s">
        <v>764</v>
      </c>
      <c r="P164" s="206"/>
    </row>
    <row r="165" spans="9:16" x14ac:dyDescent="0.25">
      <c r="I165" s="141"/>
      <c r="O165" s="206" t="s">
        <v>765</v>
      </c>
      <c r="P165" s="206"/>
    </row>
    <row r="166" spans="9:16" x14ac:dyDescent="0.25">
      <c r="I166" s="141"/>
      <c r="O166" s="206" t="s">
        <v>766</v>
      </c>
      <c r="P166" s="206"/>
    </row>
    <row r="167" spans="9:16" x14ac:dyDescent="0.25">
      <c r="I167" s="141"/>
      <c r="O167" s="206" t="s">
        <v>767</v>
      </c>
      <c r="P167" s="206"/>
    </row>
    <row r="168" spans="9:16" x14ac:dyDescent="0.25">
      <c r="I168" s="141"/>
      <c r="O168" s="206" t="s">
        <v>768</v>
      </c>
      <c r="P168" s="206"/>
    </row>
    <row r="169" spans="9:16" x14ac:dyDescent="0.25">
      <c r="I169" s="141"/>
      <c r="O169" s="206" t="s">
        <v>769</v>
      </c>
      <c r="P169" s="206"/>
    </row>
    <row r="170" spans="9:16" x14ac:dyDescent="0.25">
      <c r="I170" s="141"/>
      <c r="O170" s="206" t="s">
        <v>770</v>
      </c>
      <c r="P170" s="206"/>
    </row>
    <row r="171" spans="9:16" x14ac:dyDescent="0.25">
      <c r="I171" s="141"/>
      <c r="O171" s="206" t="s">
        <v>771</v>
      </c>
      <c r="P171" s="206"/>
    </row>
    <row r="172" spans="9:16" x14ac:dyDescent="0.25">
      <c r="I172" s="141"/>
      <c r="O172" s="206" t="s">
        <v>772</v>
      </c>
      <c r="P172" s="206"/>
    </row>
    <row r="173" spans="9:16" x14ac:dyDescent="0.25">
      <c r="I173" s="141"/>
      <c r="O173" s="206" t="s">
        <v>773</v>
      </c>
      <c r="P173" s="206"/>
    </row>
    <row r="174" spans="9:16" x14ac:dyDescent="0.25">
      <c r="I174" s="141"/>
      <c r="O174" s="206" t="s">
        <v>774</v>
      </c>
      <c r="P174" s="206"/>
    </row>
    <row r="175" spans="9:16" x14ac:dyDescent="0.25">
      <c r="I175" s="141"/>
      <c r="O175" s="206" t="s">
        <v>775</v>
      </c>
      <c r="P175" s="207"/>
    </row>
    <row r="176" spans="9:16" x14ac:dyDescent="0.25">
      <c r="I176" s="141"/>
      <c r="O176" s="206" t="s">
        <v>776</v>
      </c>
      <c r="P176" s="207"/>
    </row>
    <row r="177" spans="9:16" x14ac:dyDescent="0.25">
      <c r="I177" s="141"/>
      <c r="O177" s="206" t="s">
        <v>777</v>
      </c>
      <c r="P177" s="207"/>
    </row>
    <row r="178" spans="9:16" x14ac:dyDescent="0.25">
      <c r="I178" s="141"/>
      <c r="O178" s="206" t="s">
        <v>778</v>
      </c>
      <c r="P178" s="207"/>
    </row>
    <row r="179" spans="9:16" x14ac:dyDescent="0.25">
      <c r="I179" s="141"/>
      <c r="O179" s="206" t="s">
        <v>605</v>
      </c>
      <c r="P179" s="207"/>
    </row>
    <row r="180" spans="9:16" x14ac:dyDescent="0.25">
      <c r="I180" s="141"/>
      <c r="O180" s="206" t="s">
        <v>779</v>
      </c>
      <c r="P180" s="207"/>
    </row>
    <row r="181" spans="9:16" x14ac:dyDescent="0.25">
      <c r="I181" s="141"/>
      <c r="O181" s="206" t="s">
        <v>780</v>
      </c>
      <c r="P181" s="207"/>
    </row>
    <row r="182" spans="9:16" x14ac:dyDescent="0.25">
      <c r="I182" s="141"/>
      <c r="O182" s="206" t="s">
        <v>781</v>
      </c>
      <c r="P182" s="207"/>
    </row>
    <row r="183" spans="9:16" x14ac:dyDescent="0.25">
      <c r="I183" s="141"/>
      <c r="O183" s="206" t="s">
        <v>782</v>
      </c>
      <c r="P183" s="207"/>
    </row>
    <row r="184" spans="9:16" x14ac:dyDescent="0.25">
      <c r="I184" s="141"/>
      <c r="O184" s="207" t="s">
        <v>785</v>
      </c>
      <c r="P184" s="207"/>
    </row>
    <row r="185" spans="9:16" x14ac:dyDescent="0.25">
      <c r="I185" s="141"/>
    </row>
    <row r="186" spans="9:16" x14ac:dyDescent="0.25">
      <c r="I186" s="141"/>
    </row>
    <row r="187" spans="9:16" x14ac:dyDescent="0.25">
      <c r="I187" s="141"/>
    </row>
    <row r="188" spans="9:16" x14ac:dyDescent="0.25">
      <c r="I188" s="141"/>
    </row>
    <row r="189" spans="9:16" x14ac:dyDescent="0.25">
      <c r="I189" s="141"/>
    </row>
    <row r="190" spans="9:16" x14ac:dyDescent="0.25">
      <c r="I190" s="141"/>
    </row>
    <row r="191" spans="9:16" x14ac:dyDescent="0.25">
      <c r="I191" s="141"/>
    </row>
    <row r="192" spans="9:16" x14ac:dyDescent="0.25">
      <c r="I192" s="141"/>
    </row>
    <row r="193" spans="9:9" x14ac:dyDescent="0.25">
      <c r="I193" s="141"/>
    </row>
    <row r="194" spans="9:9" x14ac:dyDescent="0.25">
      <c r="I194" s="141"/>
    </row>
    <row r="195" spans="9:9" x14ac:dyDescent="0.25">
      <c r="I195" s="141"/>
    </row>
    <row r="196" spans="9:9" x14ac:dyDescent="0.25">
      <c r="I196" s="141"/>
    </row>
    <row r="197" spans="9:9" x14ac:dyDescent="0.25">
      <c r="I197" s="141"/>
    </row>
    <row r="198" spans="9:9" x14ac:dyDescent="0.25">
      <c r="I198" s="141"/>
    </row>
    <row r="199" spans="9:9" x14ac:dyDescent="0.25">
      <c r="I199" s="141"/>
    </row>
    <row r="200" spans="9:9" x14ac:dyDescent="0.25">
      <c r="I200" s="141"/>
    </row>
    <row r="201" spans="9:9" x14ac:dyDescent="0.25">
      <c r="I201" s="141"/>
    </row>
    <row r="202" spans="9:9" x14ac:dyDescent="0.25">
      <c r="I202" s="141"/>
    </row>
    <row r="203" spans="9:9" x14ac:dyDescent="0.25">
      <c r="I203" s="141"/>
    </row>
    <row r="204" spans="9:9" x14ac:dyDescent="0.25">
      <c r="I204" s="141"/>
    </row>
    <row r="205" spans="9:9" x14ac:dyDescent="0.25">
      <c r="I205" s="141"/>
    </row>
    <row r="206" spans="9:9" x14ac:dyDescent="0.25">
      <c r="I206" s="141"/>
    </row>
    <row r="207" spans="9:9" x14ac:dyDescent="0.25">
      <c r="I207" s="141"/>
    </row>
    <row r="208" spans="9:9" x14ac:dyDescent="0.25">
      <c r="I208" s="141"/>
    </row>
    <row r="209" spans="9:9" x14ac:dyDescent="0.25">
      <c r="I209" s="141"/>
    </row>
    <row r="210" spans="9:9" x14ac:dyDescent="0.25">
      <c r="I210" s="141"/>
    </row>
    <row r="211" spans="9:9" x14ac:dyDescent="0.25">
      <c r="I211" s="141"/>
    </row>
    <row r="212" spans="9:9" x14ac:dyDescent="0.25">
      <c r="I212" s="141"/>
    </row>
    <row r="213" spans="9:9" x14ac:dyDescent="0.25">
      <c r="I213" s="141"/>
    </row>
    <row r="214" spans="9:9" x14ac:dyDescent="0.25">
      <c r="I214" s="141"/>
    </row>
    <row r="215" spans="9:9" x14ac:dyDescent="0.25">
      <c r="I215" s="141"/>
    </row>
    <row r="216" spans="9:9" x14ac:dyDescent="0.25">
      <c r="I216" s="141"/>
    </row>
    <row r="217" spans="9:9" x14ac:dyDescent="0.25">
      <c r="I217" s="141"/>
    </row>
    <row r="218" spans="9:9" x14ac:dyDescent="0.25">
      <c r="I218" s="141"/>
    </row>
    <row r="219" spans="9:9" x14ac:dyDescent="0.25">
      <c r="I219" s="141"/>
    </row>
    <row r="220" spans="9:9" x14ac:dyDescent="0.25">
      <c r="I220" s="141"/>
    </row>
    <row r="221" spans="9:9" x14ac:dyDescent="0.25">
      <c r="I221" s="141"/>
    </row>
    <row r="222" spans="9:9" x14ac:dyDescent="0.25">
      <c r="I222" s="141"/>
    </row>
    <row r="223" spans="9:9" x14ac:dyDescent="0.25">
      <c r="I223" s="141"/>
    </row>
    <row r="224" spans="9:9" x14ac:dyDescent="0.25">
      <c r="I224" s="141"/>
    </row>
    <row r="225" spans="9:9" x14ac:dyDescent="0.25">
      <c r="I225" s="141"/>
    </row>
    <row r="226" spans="9:9" x14ac:dyDescent="0.25">
      <c r="I226" s="141"/>
    </row>
    <row r="227" spans="9:9" x14ac:dyDescent="0.25">
      <c r="I227" s="141"/>
    </row>
    <row r="228" spans="9:9" x14ac:dyDescent="0.25">
      <c r="I228" s="141"/>
    </row>
    <row r="229" spans="9:9" x14ac:dyDescent="0.25">
      <c r="I229" s="141"/>
    </row>
    <row r="230" spans="9:9" x14ac:dyDescent="0.25">
      <c r="I230" s="141"/>
    </row>
    <row r="231" spans="9:9" x14ac:dyDescent="0.25">
      <c r="I231" s="141"/>
    </row>
    <row r="232" spans="9:9" x14ac:dyDescent="0.25">
      <c r="I232" s="141"/>
    </row>
    <row r="233" spans="9:9" x14ac:dyDescent="0.25">
      <c r="I233" s="141"/>
    </row>
    <row r="234" spans="9:9" x14ac:dyDescent="0.25">
      <c r="I234" s="141"/>
    </row>
    <row r="235" spans="9:9" x14ac:dyDescent="0.25">
      <c r="I235" s="141"/>
    </row>
    <row r="236" spans="9:9" x14ac:dyDescent="0.25">
      <c r="I236" s="141"/>
    </row>
    <row r="237" spans="9:9" x14ac:dyDescent="0.25">
      <c r="I237" s="141"/>
    </row>
    <row r="238" spans="9:9" x14ac:dyDescent="0.25">
      <c r="I238" s="141"/>
    </row>
    <row r="239" spans="9:9" x14ac:dyDescent="0.25">
      <c r="I239" s="141"/>
    </row>
    <row r="240" spans="9:9" x14ac:dyDescent="0.25">
      <c r="I240" s="141"/>
    </row>
    <row r="241" spans="9:9" x14ac:dyDescent="0.25">
      <c r="I241" s="141"/>
    </row>
    <row r="242" spans="9:9" x14ac:dyDescent="0.25">
      <c r="I242" s="141"/>
    </row>
    <row r="243" spans="9:9" x14ac:dyDescent="0.25">
      <c r="I243" s="141"/>
    </row>
    <row r="244" spans="9:9" x14ac:dyDescent="0.25">
      <c r="I244" s="141"/>
    </row>
    <row r="245" spans="9:9" x14ac:dyDescent="0.25">
      <c r="I245" s="141"/>
    </row>
    <row r="246" spans="9:9" x14ac:dyDescent="0.25">
      <c r="I246" s="141"/>
    </row>
    <row r="247" spans="9:9" x14ac:dyDescent="0.25">
      <c r="I247" s="141"/>
    </row>
    <row r="248" spans="9:9" x14ac:dyDescent="0.25">
      <c r="I248" s="141"/>
    </row>
    <row r="249" spans="9:9" x14ac:dyDescent="0.25">
      <c r="I249" s="141"/>
    </row>
    <row r="250" spans="9:9" x14ac:dyDescent="0.25">
      <c r="I250" s="141"/>
    </row>
    <row r="251" spans="9:9" x14ac:dyDescent="0.25">
      <c r="I251" s="141"/>
    </row>
    <row r="252" spans="9:9" x14ac:dyDescent="0.25">
      <c r="I252" s="141"/>
    </row>
    <row r="253" spans="9:9" x14ac:dyDescent="0.25">
      <c r="I253" s="141"/>
    </row>
    <row r="254" spans="9:9" x14ac:dyDescent="0.25">
      <c r="I254" s="141"/>
    </row>
    <row r="255" spans="9:9" x14ac:dyDescent="0.25">
      <c r="I255" s="141"/>
    </row>
    <row r="256" spans="9:9" x14ac:dyDescent="0.25">
      <c r="I256" s="141"/>
    </row>
    <row r="257" spans="9:9" x14ac:dyDescent="0.25">
      <c r="I257" s="141"/>
    </row>
    <row r="258" spans="9:9" x14ac:dyDescent="0.25">
      <c r="I258" s="141"/>
    </row>
    <row r="259" spans="9:9" x14ac:dyDescent="0.25">
      <c r="I259" s="141"/>
    </row>
    <row r="260" spans="9:9" x14ac:dyDescent="0.25">
      <c r="I260" s="141"/>
    </row>
    <row r="261" spans="9:9" x14ac:dyDescent="0.25">
      <c r="I261" s="141"/>
    </row>
    <row r="262" spans="9:9" x14ac:dyDescent="0.25">
      <c r="I262" s="141"/>
    </row>
    <row r="263" spans="9:9" x14ac:dyDescent="0.25">
      <c r="I263" s="141"/>
    </row>
    <row r="264" spans="9:9" x14ac:dyDescent="0.25">
      <c r="I264" s="141"/>
    </row>
    <row r="265" spans="9:9" x14ac:dyDescent="0.25">
      <c r="I265" s="141"/>
    </row>
    <row r="266" spans="9:9" x14ac:dyDescent="0.25">
      <c r="I266" s="141"/>
    </row>
    <row r="267" spans="9:9" x14ac:dyDescent="0.25">
      <c r="I267" s="141"/>
    </row>
    <row r="268" spans="9:9" x14ac:dyDescent="0.25">
      <c r="I268" s="141"/>
    </row>
    <row r="269" spans="9:9" x14ac:dyDescent="0.25">
      <c r="I269" s="141"/>
    </row>
    <row r="270" spans="9:9" x14ac:dyDescent="0.25">
      <c r="I270" s="141"/>
    </row>
    <row r="271" spans="9:9" x14ac:dyDescent="0.25">
      <c r="I271" s="141"/>
    </row>
    <row r="272" spans="9:9" x14ac:dyDescent="0.25">
      <c r="I272" s="141"/>
    </row>
    <row r="273" spans="9:9" x14ac:dyDescent="0.25">
      <c r="I273" s="141"/>
    </row>
    <row r="274" spans="9:9" x14ac:dyDescent="0.25">
      <c r="I274" s="141"/>
    </row>
    <row r="275" spans="9:9" x14ac:dyDescent="0.25">
      <c r="I275" s="141"/>
    </row>
    <row r="276" spans="9:9" x14ac:dyDescent="0.25">
      <c r="I276" s="141"/>
    </row>
    <row r="277" spans="9:9" x14ac:dyDescent="0.25">
      <c r="I277" s="141"/>
    </row>
    <row r="278" spans="9:9" x14ac:dyDescent="0.25">
      <c r="I278" s="141"/>
    </row>
    <row r="279" spans="9:9" x14ac:dyDescent="0.25">
      <c r="I279" s="141"/>
    </row>
    <row r="280" spans="9:9" x14ac:dyDescent="0.25">
      <c r="I280" s="141"/>
    </row>
    <row r="281" spans="9:9" x14ac:dyDescent="0.25">
      <c r="I281" s="141"/>
    </row>
    <row r="282" spans="9:9" x14ac:dyDescent="0.25">
      <c r="I282" s="141"/>
    </row>
    <row r="283" spans="9:9" x14ac:dyDescent="0.25">
      <c r="I283" s="141"/>
    </row>
    <row r="284" spans="9:9" x14ac:dyDescent="0.25">
      <c r="I284" s="141"/>
    </row>
    <row r="285" spans="9:9" x14ac:dyDescent="0.25">
      <c r="I285" s="141"/>
    </row>
    <row r="286" spans="9:9" x14ac:dyDescent="0.25">
      <c r="I286" s="141"/>
    </row>
    <row r="287" spans="9:9" x14ac:dyDescent="0.25">
      <c r="I287" s="141"/>
    </row>
    <row r="288" spans="9:9" x14ac:dyDescent="0.25">
      <c r="I288" s="141"/>
    </row>
    <row r="289" spans="9:9" x14ac:dyDescent="0.25">
      <c r="I289" s="141"/>
    </row>
    <row r="290" spans="9:9" x14ac:dyDescent="0.25">
      <c r="I290" s="141"/>
    </row>
    <row r="291" spans="9:9" x14ac:dyDescent="0.25">
      <c r="I291" s="141"/>
    </row>
    <row r="292" spans="9:9" x14ac:dyDescent="0.25">
      <c r="I292" s="141"/>
    </row>
    <row r="293" spans="9:9" x14ac:dyDescent="0.25">
      <c r="I293" s="141"/>
    </row>
    <row r="294" spans="9:9" x14ac:dyDescent="0.25">
      <c r="I294" s="141"/>
    </row>
    <row r="295" spans="9:9" x14ac:dyDescent="0.25">
      <c r="I295" s="141"/>
    </row>
    <row r="296" spans="9:9" x14ac:dyDescent="0.25">
      <c r="I296" s="141"/>
    </row>
    <row r="297" spans="9:9" x14ac:dyDescent="0.25">
      <c r="I297" s="141"/>
    </row>
    <row r="298" spans="9:9" x14ac:dyDescent="0.25">
      <c r="I298" s="141"/>
    </row>
    <row r="299" spans="9:9" x14ac:dyDescent="0.25">
      <c r="I299" s="141"/>
    </row>
    <row r="300" spans="9:9" x14ac:dyDescent="0.25">
      <c r="I300" s="141"/>
    </row>
    <row r="301" spans="9:9" x14ac:dyDescent="0.25">
      <c r="I301" s="141"/>
    </row>
    <row r="302" spans="9:9" x14ac:dyDescent="0.25">
      <c r="I302" s="141"/>
    </row>
    <row r="303" spans="9:9" x14ac:dyDescent="0.25">
      <c r="I303" s="141"/>
    </row>
    <row r="304" spans="9:9" x14ac:dyDescent="0.25">
      <c r="I304" s="141"/>
    </row>
    <row r="305" spans="9:9" x14ac:dyDescent="0.25">
      <c r="I305" s="141"/>
    </row>
    <row r="306" spans="9:9" x14ac:dyDescent="0.25">
      <c r="I306" s="141"/>
    </row>
    <row r="307" spans="9:9" x14ac:dyDescent="0.25">
      <c r="I307" s="141"/>
    </row>
    <row r="308" spans="9:9" x14ac:dyDescent="0.25">
      <c r="I308" s="141"/>
    </row>
    <row r="309" spans="9:9" x14ac:dyDescent="0.25">
      <c r="I309" s="141"/>
    </row>
    <row r="310" spans="9:9" x14ac:dyDescent="0.25">
      <c r="I310" s="141"/>
    </row>
    <row r="311" spans="9:9" x14ac:dyDescent="0.25">
      <c r="I311" s="141"/>
    </row>
    <row r="312" spans="9:9" x14ac:dyDescent="0.25">
      <c r="I312" s="141"/>
    </row>
    <row r="313" spans="9:9" x14ac:dyDescent="0.25">
      <c r="I313" s="141"/>
    </row>
    <row r="314" spans="9:9" x14ac:dyDescent="0.25">
      <c r="I314" s="141"/>
    </row>
    <row r="315" spans="9:9" x14ac:dyDescent="0.25">
      <c r="I315" s="141"/>
    </row>
    <row r="316" spans="9:9" x14ac:dyDescent="0.25">
      <c r="I316" s="141"/>
    </row>
    <row r="317" spans="9:9" x14ac:dyDescent="0.25">
      <c r="I317" s="141"/>
    </row>
    <row r="318" spans="9:9" x14ac:dyDescent="0.25">
      <c r="I318" s="141"/>
    </row>
    <row r="319" spans="9:9" x14ac:dyDescent="0.25">
      <c r="I319" s="141"/>
    </row>
    <row r="320" spans="9:9" x14ac:dyDescent="0.25">
      <c r="I320" s="141"/>
    </row>
    <row r="321" spans="9:9" x14ac:dyDescent="0.25">
      <c r="I321" s="141"/>
    </row>
    <row r="322" spans="9:9" x14ac:dyDescent="0.25">
      <c r="I322" s="141"/>
    </row>
    <row r="323" spans="9:9" x14ac:dyDescent="0.25">
      <c r="I323" s="141"/>
    </row>
    <row r="324" spans="9:9" x14ac:dyDescent="0.25">
      <c r="I324" s="141"/>
    </row>
    <row r="325" spans="9:9" x14ac:dyDescent="0.25">
      <c r="I325" s="141"/>
    </row>
    <row r="326" spans="9:9" x14ac:dyDescent="0.25">
      <c r="I326" s="141"/>
    </row>
    <row r="327" spans="9:9" x14ac:dyDescent="0.25">
      <c r="I327" s="141"/>
    </row>
    <row r="328" spans="9:9" x14ac:dyDescent="0.25">
      <c r="I328" s="141"/>
    </row>
    <row r="329" spans="9:9" x14ac:dyDescent="0.25">
      <c r="I329" s="141"/>
    </row>
    <row r="330" spans="9:9" x14ac:dyDescent="0.25">
      <c r="I330" s="141"/>
    </row>
    <row r="331" spans="9:9" x14ac:dyDescent="0.25">
      <c r="I331" s="141"/>
    </row>
    <row r="332" spans="9:9" x14ac:dyDescent="0.25">
      <c r="I332" s="141"/>
    </row>
    <row r="333" spans="9:9" x14ac:dyDescent="0.25">
      <c r="I333" s="141"/>
    </row>
    <row r="334" spans="9:9" x14ac:dyDescent="0.25">
      <c r="I334" s="141"/>
    </row>
    <row r="335" spans="9:9" x14ac:dyDescent="0.25">
      <c r="I335" s="141"/>
    </row>
    <row r="336" spans="9:9" x14ac:dyDescent="0.25">
      <c r="I336" s="141"/>
    </row>
    <row r="337" spans="9:9" x14ac:dyDescent="0.25">
      <c r="I337" s="141"/>
    </row>
    <row r="338" spans="9:9" x14ac:dyDescent="0.25">
      <c r="I338" s="141"/>
    </row>
    <row r="339" spans="9:9" x14ac:dyDescent="0.25">
      <c r="I339" s="141"/>
    </row>
    <row r="340" spans="9:9" x14ac:dyDescent="0.25">
      <c r="I340" s="141"/>
    </row>
    <row r="341" spans="9:9" x14ac:dyDescent="0.25">
      <c r="I341" s="141"/>
    </row>
    <row r="342" spans="9:9" x14ac:dyDescent="0.25">
      <c r="I342" s="141"/>
    </row>
    <row r="343" spans="9:9" x14ac:dyDescent="0.25">
      <c r="I343" s="141"/>
    </row>
    <row r="344" spans="9:9" x14ac:dyDescent="0.25">
      <c r="I344" s="141"/>
    </row>
    <row r="345" spans="9:9" x14ac:dyDescent="0.25">
      <c r="I345" s="141"/>
    </row>
    <row r="346" spans="9:9" x14ac:dyDescent="0.25">
      <c r="I346" s="141"/>
    </row>
    <row r="347" spans="9:9" x14ac:dyDescent="0.25">
      <c r="I347" s="141"/>
    </row>
    <row r="348" spans="9:9" x14ac:dyDescent="0.25">
      <c r="I348" s="141"/>
    </row>
    <row r="349" spans="9:9" x14ac:dyDescent="0.25">
      <c r="I349" s="141"/>
    </row>
    <row r="350" spans="9:9" x14ac:dyDescent="0.25">
      <c r="I350" s="141"/>
    </row>
    <row r="351" spans="9:9" x14ac:dyDescent="0.25">
      <c r="I351" s="141"/>
    </row>
    <row r="352" spans="9:9" x14ac:dyDescent="0.25">
      <c r="I352" s="141"/>
    </row>
    <row r="353" spans="9:9" x14ac:dyDescent="0.25">
      <c r="I353" s="141"/>
    </row>
    <row r="354" spans="9:9" x14ac:dyDescent="0.25">
      <c r="I354" s="141"/>
    </row>
    <row r="355" spans="9:9" x14ac:dyDescent="0.25">
      <c r="I355" s="141"/>
    </row>
    <row r="356" spans="9:9" x14ac:dyDescent="0.25">
      <c r="I356" s="141"/>
    </row>
    <row r="357" spans="9:9" x14ac:dyDescent="0.25">
      <c r="I357" s="141"/>
    </row>
    <row r="358" spans="9:9" x14ac:dyDescent="0.25">
      <c r="I358" s="141"/>
    </row>
    <row r="359" spans="9:9" x14ac:dyDescent="0.25">
      <c r="I359" s="141"/>
    </row>
    <row r="360" spans="9:9" x14ac:dyDescent="0.25">
      <c r="I360" s="141"/>
    </row>
    <row r="361" spans="9:9" x14ac:dyDescent="0.25">
      <c r="I361" s="141"/>
    </row>
    <row r="362" spans="9:9" x14ac:dyDescent="0.25">
      <c r="I362" s="141"/>
    </row>
    <row r="363" spans="9:9" x14ac:dyDescent="0.25">
      <c r="I363" s="141"/>
    </row>
    <row r="364" spans="9:9" x14ac:dyDescent="0.25">
      <c r="I364" s="141"/>
    </row>
    <row r="365" spans="9:9" x14ac:dyDescent="0.25">
      <c r="I365" s="141"/>
    </row>
    <row r="366" spans="9:9" x14ac:dyDescent="0.25">
      <c r="I366" s="141"/>
    </row>
    <row r="367" spans="9:9" x14ac:dyDescent="0.25">
      <c r="I367" s="141"/>
    </row>
    <row r="368" spans="9:9" x14ac:dyDescent="0.25">
      <c r="I368" s="141"/>
    </row>
    <row r="369" spans="9:9" x14ac:dyDescent="0.25">
      <c r="I369" s="141"/>
    </row>
    <row r="370" spans="9:9" x14ac:dyDescent="0.25">
      <c r="I370" s="141"/>
    </row>
    <row r="371" spans="9:9" x14ac:dyDescent="0.25">
      <c r="I371" s="141"/>
    </row>
    <row r="372" spans="9:9" x14ac:dyDescent="0.25">
      <c r="I372" s="141"/>
    </row>
    <row r="373" spans="9:9" x14ac:dyDescent="0.25">
      <c r="I373" s="141"/>
    </row>
    <row r="374" spans="9:9" x14ac:dyDescent="0.25">
      <c r="I374" s="141"/>
    </row>
    <row r="375" spans="9:9" x14ac:dyDescent="0.25">
      <c r="I375" s="141"/>
    </row>
    <row r="376" spans="9:9" x14ac:dyDescent="0.25">
      <c r="I376" s="141"/>
    </row>
    <row r="377" spans="9:9" x14ac:dyDescent="0.25">
      <c r="I377" s="141"/>
    </row>
    <row r="378" spans="9:9" x14ac:dyDescent="0.25">
      <c r="I378" s="141"/>
    </row>
    <row r="379" spans="9:9" x14ac:dyDescent="0.25">
      <c r="I379" s="141"/>
    </row>
    <row r="380" spans="9:9" x14ac:dyDescent="0.25">
      <c r="I380" s="141"/>
    </row>
    <row r="381" spans="9:9" x14ac:dyDescent="0.25">
      <c r="I381" s="141"/>
    </row>
    <row r="382" spans="9:9" x14ac:dyDescent="0.25">
      <c r="I382" s="141"/>
    </row>
    <row r="383" spans="9:9" x14ac:dyDescent="0.25">
      <c r="I383" s="141"/>
    </row>
    <row r="384" spans="9:9" x14ac:dyDescent="0.25">
      <c r="I384" s="141"/>
    </row>
    <row r="385" spans="9:9" x14ac:dyDescent="0.25">
      <c r="I385" s="141"/>
    </row>
    <row r="386" spans="9:9" x14ac:dyDescent="0.25">
      <c r="I386" s="141"/>
    </row>
    <row r="387" spans="9:9" x14ac:dyDescent="0.25">
      <c r="I387" s="141"/>
    </row>
    <row r="388" spans="9:9" x14ac:dyDescent="0.25">
      <c r="I388" s="141"/>
    </row>
    <row r="389" spans="9:9" x14ac:dyDescent="0.25">
      <c r="I389" s="141"/>
    </row>
    <row r="390" spans="9:9" x14ac:dyDescent="0.25">
      <c r="I390" s="141"/>
    </row>
    <row r="391" spans="9:9" x14ac:dyDescent="0.25">
      <c r="I391" s="141"/>
    </row>
    <row r="392" spans="9:9" x14ac:dyDescent="0.25">
      <c r="I392" s="141"/>
    </row>
    <row r="393" spans="9:9" x14ac:dyDescent="0.25">
      <c r="I393" s="141"/>
    </row>
    <row r="394" spans="9:9" x14ac:dyDescent="0.25">
      <c r="I394" s="141"/>
    </row>
    <row r="395" spans="9:9" x14ac:dyDescent="0.25">
      <c r="I395" s="141"/>
    </row>
    <row r="396" spans="9:9" x14ac:dyDescent="0.25">
      <c r="I396" s="141"/>
    </row>
    <row r="397" spans="9:9" x14ac:dyDescent="0.25">
      <c r="I397" s="141"/>
    </row>
    <row r="398" spans="9:9" x14ac:dyDescent="0.25">
      <c r="I398" s="141"/>
    </row>
    <row r="399" spans="9:9" x14ac:dyDescent="0.25">
      <c r="I399" s="141"/>
    </row>
    <row r="400" spans="9:9" x14ac:dyDescent="0.25">
      <c r="I400" s="141"/>
    </row>
    <row r="401" spans="9:9" x14ac:dyDescent="0.25">
      <c r="I401" s="141"/>
    </row>
    <row r="402" spans="9:9" x14ac:dyDescent="0.25">
      <c r="I402" s="141"/>
    </row>
    <row r="403" spans="9:9" x14ac:dyDescent="0.25">
      <c r="I403" s="141"/>
    </row>
    <row r="404" spans="9:9" x14ac:dyDescent="0.25">
      <c r="I404" s="141"/>
    </row>
    <row r="405" spans="9:9" x14ac:dyDescent="0.25">
      <c r="I405" s="141"/>
    </row>
    <row r="406" spans="9:9" x14ac:dyDescent="0.25">
      <c r="I406" s="141"/>
    </row>
    <row r="407" spans="9:9" x14ac:dyDescent="0.25">
      <c r="I407" s="141"/>
    </row>
    <row r="408" spans="9:9" x14ac:dyDescent="0.25">
      <c r="I408" s="141"/>
    </row>
    <row r="409" spans="9:9" x14ac:dyDescent="0.25">
      <c r="I409" s="141"/>
    </row>
    <row r="410" spans="9:9" x14ac:dyDescent="0.25">
      <c r="I410" s="141"/>
    </row>
    <row r="411" spans="9:9" x14ac:dyDescent="0.25">
      <c r="I411" s="141"/>
    </row>
    <row r="412" spans="9:9" x14ac:dyDescent="0.25">
      <c r="I412" s="141"/>
    </row>
    <row r="413" spans="9:9" x14ac:dyDescent="0.25">
      <c r="I413" s="141"/>
    </row>
    <row r="414" spans="9:9" x14ac:dyDescent="0.25">
      <c r="I414" s="141"/>
    </row>
    <row r="415" spans="9:9" x14ac:dyDescent="0.25">
      <c r="I415" s="141"/>
    </row>
    <row r="416" spans="9:9" x14ac:dyDescent="0.25">
      <c r="I416" s="141"/>
    </row>
    <row r="417" spans="9:9" x14ac:dyDescent="0.25">
      <c r="I417" s="141"/>
    </row>
    <row r="418" spans="9:9" x14ac:dyDescent="0.25">
      <c r="I418" s="141"/>
    </row>
    <row r="419" spans="9:9" x14ac:dyDescent="0.25">
      <c r="I419" s="141"/>
    </row>
    <row r="420" spans="9:9" x14ac:dyDescent="0.25">
      <c r="I420" s="141"/>
    </row>
    <row r="421" spans="9:9" x14ac:dyDescent="0.25">
      <c r="I421" s="141"/>
    </row>
    <row r="422" spans="9:9" x14ac:dyDescent="0.25">
      <c r="I422" s="141"/>
    </row>
    <row r="423" spans="9:9" x14ac:dyDescent="0.25">
      <c r="I423" s="141"/>
    </row>
    <row r="424" spans="9:9" x14ac:dyDescent="0.25">
      <c r="I424" s="141"/>
    </row>
    <row r="425" spans="9:9" x14ac:dyDescent="0.25">
      <c r="I425" s="141"/>
    </row>
    <row r="426" spans="9:9" x14ac:dyDescent="0.25">
      <c r="I426" s="141"/>
    </row>
    <row r="427" spans="9:9" x14ac:dyDescent="0.25">
      <c r="I427" s="141"/>
    </row>
    <row r="428" spans="9:9" x14ac:dyDescent="0.25">
      <c r="I428" s="141"/>
    </row>
    <row r="429" spans="9:9" x14ac:dyDescent="0.25">
      <c r="I429" s="141"/>
    </row>
    <row r="430" spans="9:9" x14ac:dyDescent="0.25">
      <c r="I430" s="141"/>
    </row>
    <row r="431" spans="9:9" x14ac:dyDescent="0.25">
      <c r="I431" s="141"/>
    </row>
    <row r="432" spans="9:9" x14ac:dyDescent="0.25">
      <c r="I432" s="141"/>
    </row>
    <row r="433" spans="9:9" x14ac:dyDescent="0.25">
      <c r="I433" s="141"/>
    </row>
    <row r="434" spans="9:9" x14ac:dyDescent="0.25">
      <c r="I434" s="141"/>
    </row>
    <row r="435" spans="9:9" x14ac:dyDescent="0.25">
      <c r="I435" s="141"/>
    </row>
    <row r="436" spans="9:9" x14ac:dyDescent="0.25">
      <c r="I436" s="141"/>
    </row>
    <row r="437" spans="9:9" x14ac:dyDescent="0.25">
      <c r="I437" s="141"/>
    </row>
    <row r="438" spans="9:9" x14ac:dyDescent="0.25">
      <c r="I438" s="141"/>
    </row>
    <row r="439" spans="9:9" x14ac:dyDescent="0.25">
      <c r="I439" s="141"/>
    </row>
    <row r="440" spans="9:9" x14ac:dyDescent="0.25">
      <c r="I440" s="141"/>
    </row>
    <row r="441" spans="9:9" x14ac:dyDescent="0.25">
      <c r="I441" s="141"/>
    </row>
    <row r="442" spans="9:9" x14ac:dyDescent="0.25">
      <c r="I442" s="141"/>
    </row>
    <row r="443" spans="9:9" x14ac:dyDescent="0.25">
      <c r="I443" s="141"/>
    </row>
    <row r="444" spans="9:9" x14ac:dyDescent="0.25">
      <c r="I444" s="141"/>
    </row>
    <row r="445" spans="9:9" x14ac:dyDescent="0.25">
      <c r="I445" s="141"/>
    </row>
    <row r="446" spans="9:9" x14ac:dyDescent="0.25">
      <c r="I446" s="141"/>
    </row>
    <row r="447" spans="9:9" x14ac:dyDescent="0.25">
      <c r="I447" s="141"/>
    </row>
    <row r="448" spans="9:9" x14ac:dyDescent="0.25">
      <c r="I448" s="141"/>
    </row>
    <row r="449" spans="9:9" x14ac:dyDescent="0.25">
      <c r="I449" s="141"/>
    </row>
    <row r="450" spans="9:9" x14ac:dyDescent="0.25">
      <c r="I450" s="141"/>
    </row>
    <row r="451" spans="9:9" x14ac:dyDescent="0.25">
      <c r="I451" s="141"/>
    </row>
    <row r="452" spans="9:9" x14ac:dyDescent="0.25">
      <c r="I452" s="141"/>
    </row>
    <row r="453" spans="9:9" x14ac:dyDescent="0.25">
      <c r="I453" s="141"/>
    </row>
    <row r="454" spans="9:9" x14ac:dyDescent="0.25">
      <c r="I454" s="141"/>
    </row>
    <row r="455" spans="9:9" x14ac:dyDescent="0.25">
      <c r="I455" s="141"/>
    </row>
    <row r="456" spans="9:9" x14ac:dyDescent="0.25">
      <c r="I456" s="141"/>
    </row>
    <row r="457" spans="9:9" x14ac:dyDescent="0.25">
      <c r="I457" s="141"/>
    </row>
    <row r="458" spans="9:9" x14ac:dyDescent="0.25">
      <c r="I458" s="141"/>
    </row>
    <row r="459" spans="9:9" x14ac:dyDescent="0.25">
      <c r="I459" s="141"/>
    </row>
    <row r="460" spans="9:9" x14ac:dyDescent="0.25">
      <c r="I460" s="141"/>
    </row>
    <row r="461" spans="9:9" x14ac:dyDescent="0.25">
      <c r="I461" s="141"/>
    </row>
    <row r="462" spans="9:9" x14ac:dyDescent="0.25">
      <c r="I462" s="141"/>
    </row>
    <row r="463" spans="9:9" x14ac:dyDescent="0.25">
      <c r="I463" s="141"/>
    </row>
    <row r="464" spans="9:9" x14ac:dyDescent="0.25">
      <c r="I464" s="141"/>
    </row>
    <row r="465" spans="9:9" x14ac:dyDescent="0.25">
      <c r="I465" s="141"/>
    </row>
    <row r="466" spans="9:9" x14ac:dyDescent="0.25">
      <c r="I466" s="141"/>
    </row>
    <row r="467" spans="9:9" x14ac:dyDescent="0.25">
      <c r="I467" s="141"/>
    </row>
    <row r="468" spans="9:9" x14ac:dyDescent="0.25">
      <c r="I468" s="141"/>
    </row>
    <row r="469" spans="9:9" x14ac:dyDescent="0.25">
      <c r="I469" s="141"/>
    </row>
    <row r="470" spans="9:9" x14ac:dyDescent="0.25">
      <c r="I470" s="141"/>
    </row>
    <row r="471" spans="9:9" x14ac:dyDescent="0.25">
      <c r="I471" s="141"/>
    </row>
    <row r="472" spans="9:9" x14ac:dyDescent="0.25">
      <c r="I472" s="141"/>
    </row>
    <row r="473" spans="9:9" x14ac:dyDescent="0.25">
      <c r="I473" s="141"/>
    </row>
    <row r="474" spans="9:9" x14ac:dyDescent="0.25">
      <c r="I474" s="141"/>
    </row>
    <row r="475" spans="9:9" x14ac:dyDescent="0.25">
      <c r="I475" s="141"/>
    </row>
    <row r="476" spans="9:9" x14ac:dyDescent="0.25">
      <c r="I476" s="141"/>
    </row>
    <row r="477" spans="9:9" x14ac:dyDescent="0.25">
      <c r="I477" s="141"/>
    </row>
    <row r="478" spans="9:9" x14ac:dyDescent="0.25">
      <c r="I478" s="141"/>
    </row>
    <row r="479" spans="9:9" x14ac:dyDescent="0.25">
      <c r="I479" s="141"/>
    </row>
    <row r="480" spans="9:9" x14ac:dyDescent="0.25">
      <c r="I480" s="141"/>
    </row>
    <row r="481" spans="9:9" x14ac:dyDescent="0.25">
      <c r="I481" s="141"/>
    </row>
    <row r="482" spans="9:9" x14ac:dyDescent="0.25">
      <c r="I482" s="141"/>
    </row>
    <row r="483" spans="9:9" x14ac:dyDescent="0.25">
      <c r="I483" s="141"/>
    </row>
    <row r="484" spans="9:9" x14ac:dyDescent="0.25">
      <c r="I484" s="141"/>
    </row>
    <row r="485" spans="9:9" x14ac:dyDescent="0.25">
      <c r="I485" s="141"/>
    </row>
    <row r="486" spans="9:9" x14ac:dyDescent="0.25">
      <c r="I486" s="141"/>
    </row>
    <row r="487" spans="9:9" x14ac:dyDescent="0.25">
      <c r="I487" s="141"/>
    </row>
    <row r="488" spans="9:9" x14ac:dyDescent="0.25">
      <c r="I488" s="141"/>
    </row>
    <row r="489" spans="9:9" x14ac:dyDescent="0.25">
      <c r="I489" s="141"/>
    </row>
    <row r="490" spans="9:9" x14ac:dyDescent="0.25">
      <c r="I490" s="141"/>
    </row>
    <row r="491" spans="9:9" x14ac:dyDescent="0.25">
      <c r="I491" s="141"/>
    </row>
    <row r="492" spans="9:9" x14ac:dyDescent="0.25">
      <c r="I492" s="141"/>
    </row>
    <row r="493" spans="9:9" x14ac:dyDescent="0.25">
      <c r="I493" s="141"/>
    </row>
    <row r="494" spans="9:9" x14ac:dyDescent="0.25">
      <c r="I494" s="141"/>
    </row>
    <row r="495" spans="9:9" x14ac:dyDescent="0.25">
      <c r="I495" s="141"/>
    </row>
    <row r="496" spans="9:9" x14ac:dyDescent="0.25">
      <c r="I496" s="141"/>
    </row>
    <row r="497" spans="9:9" x14ac:dyDescent="0.25">
      <c r="I497" s="141"/>
    </row>
    <row r="498" spans="9:9" x14ac:dyDescent="0.25">
      <c r="I498" s="141"/>
    </row>
    <row r="499" spans="9:9" x14ac:dyDescent="0.25">
      <c r="I499" s="141"/>
    </row>
    <row r="500" spans="9:9" x14ac:dyDescent="0.25">
      <c r="I500" s="141"/>
    </row>
    <row r="501" spans="9:9" x14ac:dyDescent="0.25">
      <c r="I501" s="141"/>
    </row>
    <row r="502" spans="9:9" x14ac:dyDescent="0.25">
      <c r="I502" s="141"/>
    </row>
    <row r="503" spans="9:9" x14ac:dyDescent="0.25">
      <c r="I503" s="141"/>
    </row>
    <row r="504" spans="9:9" x14ac:dyDescent="0.25">
      <c r="I504" s="141"/>
    </row>
    <row r="505" spans="9:9" x14ac:dyDescent="0.25">
      <c r="I505" s="141"/>
    </row>
    <row r="506" spans="9:9" x14ac:dyDescent="0.25">
      <c r="I506" s="141"/>
    </row>
    <row r="507" spans="9:9" x14ac:dyDescent="0.25">
      <c r="I507" s="141"/>
    </row>
    <row r="508" spans="9:9" x14ac:dyDescent="0.25">
      <c r="I508" s="141"/>
    </row>
    <row r="509" spans="9:9" x14ac:dyDescent="0.25">
      <c r="I509" s="141"/>
    </row>
    <row r="510" spans="9:9" x14ac:dyDescent="0.25">
      <c r="I510" s="141"/>
    </row>
    <row r="511" spans="9:9" x14ac:dyDescent="0.25">
      <c r="I511" s="141"/>
    </row>
    <row r="512" spans="9:9" x14ac:dyDescent="0.25">
      <c r="I512" s="141"/>
    </row>
    <row r="513" spans="9:9" x14ac:dyDescent="0.25">
      <c r="I513" s="141"/>
    </row>
    <row r="514" spans="9:9" x14ac:dyDescent="0.25">
      <c r="I514" s="141"/>
    </row>
    <row r="515" spans="9:9" x14ac:dyDescent="0.25">
      <c r="I515" s="141"/>
    </row>
    <row r="516" spans="9:9" x14ac:dyDescent="0.25">
      <c r="I516" s="141"/>
    </row>
    <row r="517" spans="9:9" x14ac:dyDescent="0.25">
      <c r="I517" s="141"/>
    </row>
    <row r="518" spans="9:9" x14ac:dyDescent="0.25">
      <c r="I518" s="141"/>
    </row>
    <row r="519" spans="9:9" x14ac:dyDescent="0.25">
      <c r="I519" s="141"/>
    </row>
    <row r="520" spans="9:9" x14ac:dyDescent="0.25">
      <c r="I520" s="141"/>
    </row>
    <row r="521" spans="9:9" x14ac:dyDescent="0.25">
      <c r="I521" s="141"/>
    </row>
    <row r="522" spans="9:9" x14ac:dyDescent="0.25">
      <c r="I522" s="141"/>
    </row>
    <row r="523" spans="9:9" x14ac:dyDescent="0.25">
      <c r="I523" s="141"/>
    </row>
    <row r="524" spans="9:9" x14ac:dyDescent="0.25">
      <c r="I524" s="141"/>
    </row>
    <row r="525" spans="9:9" x14ac:dyDescent="0.25">
      <c r="I525" s="141"/>
    </row>
    <row r="526" spans="9:9" x14ac:dyDescent="0.25">
      <c r="I526" s="141"/>
    </row>
    <row r="527" spans="9:9" x14ac:dyDescent="0.25">
      <c r="I527" s="141"/>
    </row>
    <row r="528" spans="9:9" x14ac:dyDescent="0.25">
      <c r="I528" s="141"/>
    </row>
    <row r="529" spans="9:9" x14ac:dyDescent="0.25">
      <c r="I529" s="141"/>
    </row>
    <row r="530" spans="9:9" x14ac:dyDescent="0.25">
      <c r="I530" s="141"/>
    </row>
    <row r="531" spans="9:9" x14ac:dyDescent="0.25">
      <c r="I531" s="141"/>
    </row>
    <row r="532" spans="9:9" x14ac:dyDescent="0.25">
      <c r="I532" s="141"/>
    </row>
    <row r="533" spans="9:9" x14ac:dyDescent="0.25">
      <c r="I533" s="141"/>
    </row>
    <row r="534" spans="9:9" x14ac:dyDescent="0.25">
      <c r="I534" s="141"/>
    </row>
    <row r="535" spans="9:9" x14ac:dyDescent="0.25">
      <c r="I535" s="141"/>
    </row>
    <row r="536" spans="9:9" x14ac:dyDescent="0.25">
      <c r="I536" s="141"/>
    </row>
    <row r="537" spans="9:9" x14ac:dyDescent="0.25">
      <c r="I537" s="141"/>
    </row>
    <row r="538" spans="9:9" x14ac:dyDescent="0.25">
      <c r="I538" s="141"/>
    </row>
    <row r="539" spans="9:9" x14ac:dyDescent="0.25">
      <c r="I539" s="141"/>
    </row>
    <row r="540" spans="9:9" x14ac:dyDescent="0.25">
      <c r="I540" s="141"/>
    </row>
    <row r="541" spans="9:9" x14ac:dyDescent="0.25">
      <c r="I541" s="141"/>
    </row>
    <row r="542" spans="9:9" x14ac:dyDescent="0.25">
      <c r="I542" s="141"/>
    </row>
    <row r="543" spans="9:9" x14ac:dyDescent="0.25">
      <c r="I543" s="141"/>
    </row>
    <row r="544" spans="9:9" x14ac:dyDescent="0.25">
      <c r="I544" s="141"/>
    </row>
    <row r="545" spans="9:9" x14ac:dyDescent="0.25">
      <c r="I545" s="141"/>
    </row>
    <row r="546" spans="9:9" x14ac:dyDescent="0.25">
      <c r="I546" s="141"/>
    </row>
    <row r="547" spans="9:9" x14ac:dyDescent="0.25">
      <c r="I547" s="141"/>
    </row>
    <row r="548" spans="9:9" x14ac:dyDescent="0.25">
      <c r="I548" s="141"/>
    </row>
    <row r="549" spans="9:9" x14ac:dyDescent="0.25">
      <c r="I549" s="141"/>
    </row>
    <row r="550" spans="9:9" x14ac:dyDescent="0.25">
      <c r="I550" s="141"/>
    </row>
    <row r="551" spans="9:9" x14ac:dyDescent="0.25">
      <c r="I551" s="141"/>
    </row>
    <row r="552" spans="9:9" x14ac:dyDescent="0.25">
      <c r="I552" s="141"/>
    </row>
    <row r="553" spans="9:9" x14ac:dyDescent="0.25">
      <c r="I553" s="141"/>
    </row>
    <row r="554" spans="9:9" x14ac:dyDescent="0.25">
      <c r="I554" s="141"/>
    </row>
    <row r="555" spans="9:9" x14ac:dyDescent="0.25">
      <c r="I555" s="141"/>
    </row>
    <row r="556" spans="9:9" x14ac:dyDescent="0.25">
      <c r="I556" s="141"/>
    </row>
    <row r="557" spans="9:9" x14ac:dyDescent="0.25">
      <c r="I557" s="141"/>
    </row>
    <row r="558" spans="9:9" x14ac:dyDescent="0.25">
      <c r="I558" s="141"/>
    </row>
    <row r="559" spans="9:9" x14ac:dyDescent="0.25">
      <c r="I559" s="141"/>
    </row>
    <row r="560" spans="9:9" x14ac:dyDescent="0.25">
      <c r="I560" s="141"/>
    </row>
    <row r="561" spans="9:9" x14ac:dyDescent="0.25">
      <c r="I561" s="141"/>
    </row>
    <row r="562" spans="9:9" x14ac:dyDescent="0.25">
      <c r="I562" s="141"/>
    </row>
    <row r="563" spans="9:9" x14ac:dyDescent="0.25">
      <c r="I563" s="141"/>
    </row>
    <row r="564" spans="9:9" x14ac:dyDescent="0.25">
      <c r="I564" s="141"/>
    </row>
    <row r="565" spans="9:9" x14ac:dyDescent="0.25">
      <c r="I565" s="141"/>
    </row>
    <row r="566" spans="9:9" x14ac:dyDescent="0.25">
      <c r="I566" s="141"/>
    </row>
    <row r="567" spans="9:9" x14ac:dyDescent="0.25">
      <c r="I567" s="141"/>
    </row>
    <row r="568" spans="9:9" x14ac:dyDescent="0.25">
      <c r="I568" s="141"/>
    </row>
    <row r="569" spans="9:9" x14ac:dyDescent="0.25">
      <c r="I569" s="141"/>
    </row>
    <row r="570" spans="9:9" x14ac:dyDescent="0.25">
      <c r="I570" s="141"/>
    </row>
    <row r="571" spans="9:9" x14ac:dyDescent="0.25">
      <c r="I571" s="141"/>
    </row>
    <row r="572" spans="9:9" x14ac:dyDescent="0.25">
      <c r="I572" s="141"/>
    </row>
    <row r="573" spans="9:9" x14ac:dyDescent="0.25">
      <c r="I573" s="141"/>
    </row>
    <row r="574" spans="9:9" x14ac:dyDescent="0.25">
      <c r="I574" s="141"/>
    </row>
    <row r="575" spans="9:9" x14ac:dyDescent="0.25">
      <c r="I575" s="141"/>
    </row>
    <row r="576" spans="9:9" x14ac:dyDescent="0.25">
      <c r="I576" s="141"/>
    </row>
    <row r="577" spans="9:9" x14ac:dyDescent="0.25">
      <c r="I577" s="141"/>
    </row>
    <row r="578" spans="9:9" x14ac:dyDescent="0.25">
      <c r="I578" s="141"/>
    </row>
    <row r="579" spans="9:9" x14ac:dyDescent="0.25">
      <c r="I579" s="141"/>
    </row>
    <row r="580" spans="9:9" x14ac:dyDescent="0.25">
      <c r="I580" s="141"/>
    </row>
    <row r="581" spans="9:9" x14ac:dyDescent="0.25">
      <c r="I581" s="141"/>
    </row>
    <row r="582" spans="9:9" x14ac:dyDescent="0.25">
      <c r="I582" s="141"/>
    </row>
    <row r="583" spans="9:9" x14ac:dyDescent="0.25">
      <c r="I583" s="141"/>
    </row>
    <row r="584" spans="9:9" x14ac:dyDescent="0.25">
      <c r="I584" s="141"/>
    </row>
    <row r="585" spans="9:9" x14ac:dyDescent="0.25">
      <c r="I585" s="141"/>
    </row>
    <row r="586" spans="9:9" x14ac:dyDescent="0.25">
      <c r="I586" s="141"/>
    </row>
    <row r="587" spans="9:9" x14ac:dyDescent="0.25">
      <c r="I587" s="141"/>
    </row>
    <row r="588" spans="9:9" x14ac:dyDescent="0.25">
      <c r="I588" s="141"/>
    </row>
    <row r="589" spans="9:9" x14ac:dyDescent="0.25">
      <c r="I589" s="141"/>
    </row>
    <row r="590" spans="9:9" x14ac:dyDescent="0.25">
      <c r="I590" s="141"/>
    </row>
    <row r="591" spans="9:9" x14ac:dyDescent="0.25">
      <c r="I591" s="141"/>
    </row>
    <row r="592" spans="9:9" x14ac:dyDescent="0.25">
      <c r="I592" s="141"/>
    </row>
    <row r="593" spans="9:9" x14ac:dyDescent="0.25">
      <c r="I593" s="141"/>
    </row>
    <row r="594" spans="9:9" x14ac:dyDescent="0.25">
      <c r="I594" s="141"/>
    </row>
    <row r="595" spans="9:9" x14ac:dyDescent="0.25">
      <c r="I595" s="141"/>
    </row>
    <row r="596" spans="9:9" x14ac:dyDescent="0.25">
      <c r="I596" s="141"/>
    </row>
    <row r="597" spans="9:9" x14ac:dyDescent="0.25">
      <c r="I597" s="141"/>
    </row>
    <row r="598" spans="9:9" x14ac:dyDescent="0.25">
      <c r="I598" s="141"/>
    </row>
    <row r="599" spans="9:9" x14ac:dyDescent="0.25">
      <c r="I599" s="141"/>
    </row>
    <row r="600" spans="9:9" x14ac:dyDescent="0.25">
      <c r="I600" s="141"/>
    </row>
    <row r="601" spans="9:9" x14ac:dyDescent="0.25">
      <c r="I601" s="141"/>
    </row>
    <row r="602" spans="9:9" x14ac:dyDescent="0.25">
      <c r="I602" s="141"/>
    </row>
    <row r="603" spans="9:9" x14ac:dyDescent="0.25">
      <c r="I603" s="141"/>
    </row>
    <row r="604" spans="9:9" x14ac:dyDescent="0.25">
      <c r="I604" s="141"/>
    </row>
    <row r="605" spans="9:9" x14ac:dyDescent="0.25">
      <c r="I605" s="141"/>
    </row>
    <row r="606" spans="9:9" x14ac:dyDescent="0.25">
      <c r="I606" s="141"/>
    </row>
    <row r="607" spans="9:9" x14ac:dyDescent="0.25">
      <c r="I607" s="141"/>
    </row>
    <row r="608" spans="9:9" x14ac:dyDescent="0.25">
      <c r="I608" s="141"/>
    </row>
    <row r="609" spans="9:9" x14ac:dyDescent="0.25">
      <c r="I609" s="141"/>
    </row>
    <row r="610" spans="9:9" x14ac:dyDescent="0.25">
      <c r="I610" s="141"/>
    </row>
    <row r="611" spans="9:9" x14ac:dyDescent="0.25">
      <c r="I611" s="141"/>
    </row>
    <row r="612" spans="9:9" x14ac:dyDescent="0.25">
      <c r="I612" s="141"/>
    </row>
    <row r="613" spans="9:9" x14ac:dyDescent="0.25">
      <c r="I613" s="141"/>
    </row>
    <row r="614" spans="9:9" x14ac:dyDescent="0.25">
      <c r="I614" s="141"/>
    </row>
    <row r="615" spans="9:9" x14ac:dyDescent="0.25">
      <c r="I615" s="141"/>
    </row>
    <row r="616" spans="9:9" x14ac:dyDescent="0.25">
      <c r="I616" s="141"/>
    </row>
    <row r="617" spans="9:9" x14ac:dyDescent="0.25">
      <c r="I617" s="141"/>
    </row>
    <row r="618" spans="9:9" x14ac:dyDescent="0.25">
      <c r="I618" s="141"/>
    </row>
    <row r="619" spans="9:9" x14ac:dyDescent="0.25">
      <c r="I619" s="141"/>
    </row>
    <row r="620" spans="9:9" x14ac:dyDescent="0.25">
      <c r="I620" s="141"/>
    </row>
    <row r="621" spans="9:9" x14ac:dyDescent="0.25">
      <c r="I621" s="141"/>
    </row>
    <row r="622" spans="9:9" x14ac:dyDescent="0.25">
      <c r="I622" s="141"/>
    </row>
    <row r="623" spans="9:9" x14ac:dyDescent="0.25">
      <c r="I623" s="141"/>
    </row>
    <row r="624" spans="9:9" x14ac:dyDescent="0.25">
      <c r="I624" s="141"/>
    </row>
    <row r="625" spans="9:9" x14ac:dyDescent="0.25">
      <c r="I625" s="141"/>
    </row>
    <row r="626" spans="9:9" x14ac:dyDescent="0.25">
      <c r="I626" s="141"/>
    </row>
    <row r="627" spans="9:9" x14ac:dyDescent="0.25">
      <c r="I627" s="141"/>
    </row>
    <row r="628" spans="9:9" x14ac:dyDescent="0.25">
      <c r="I628" s="141"/>
    </row>
    <row r="629" spans="9:9" x14ac:dyDescent="0.25">
      <c r="I629" s="141"/>
    </row>
    <row r="630" spans="9:9" x14ac:dyDescent="0.25">
      <c r="I630" s="141"/>
    </row>
    <row r="631" spans="9:9" x14ac:dyDescent="0.25">
      <c r="I631" s="141"/>
    </row>
    <row r="632" spans="9:9" x14ac:dyDescent="0.25">
      <c r="I632" s="141"/>
    </row>
    <row r="633" spans="9:9" x14ac:dyDescent="0.25">
      <c r="I633" s="141"/>
    </row>
    <row r="634" spans="9:9" x14ac:dyDescent="0.25">
      <c r="I634" s="141"/>
    </row>
    <row r="635" spans="9:9" x14ac:dyDescent="0.25">
      <c r="I635" s="141"/>
    </row>
    <row r="636" spans="9:9" x14ac:dyDescent="0.25">
      <c r="I636" s="141"/>
    </row>
    <row r="637" spans="9:9" x14ac:dyDescent="0.25">
      <c r="I637" s="141"/>
    </row>
    <row r="638" spans="9:9" x14ac:dyDescent="0.25">
      <c r="I638" s="141"/>
    </row>
    <row r="639" spans="9:9" x14ac:dyDescent="0.25">
      <c r="I639" s="141"/>
    </row>
    <row r="640" spans="9:9" x14ac:dyDescent="0.25">
      <c r="I640" s="141"/>
    </row>
    <row r="641" spans="9:9" x14ac:dyDescent="0.25">
      <c r="I641" s="141"/>
    </row>
    <row r="642" spans="9:9" x14ac:dyDescent="0.25">
      <c r="I642" s="141"/>
    </row>
    <row r="643" spans="9:9" x14ac:dyDescent="0.25">
      <c r="I643" s="141"/>
    </row>
    <row r="644" spans="9:9" x14ac:dyDescent="0.25">
      <c r="I644" s="141"/>
    </row>
    <row r="645" spans="9:9" x14ac:dyDescent="0.25">
      <c r="I645" s="141"/>
    </row>
    <row r="646" spans="9:9" x14ac:dyDescent="0.25">
      <c r="I646" s="141"/>
    </row>
    <row r="647" spans="9:9" x14ac:dyDescent="0.25">
      <c r="I647" s="141"/>
    </row>
    <row r="648" spans="9:9" x14ac:dyDescent="0.25">
      <c r="I648" s="141"/>
    </row>
    <row r="649" spans="9:9" x14ac:dyDescent="0.25">
      <c r="I649" s="141"/>
    </row>
    <row r="650" spans="9:9" x14ac:dyDescent="0.25">
      <c r="I650" s="141"/>
    </row>
    <row r="651" spans="9:9" x14ac:dyDescent="0.25">
      <c r="I651" s="141"/>
    </row>
    <row r="652" spans="9:9" x14ac:dyDescent="0.25">
      <c r="I652" s="141"/>
    </row>
    <row r="653" spans="9:9" x14ac:dyDescent="0.25">
      <c r="I653" s="141"/>
    </row>
    <row r="654" spans="9:9" x14ac:dyDescent="0.25">
      <c r="I654" s="141"/>
    </row>
    <row r="655" spans="9:9" x14ac:dyDescent="0.25">
      <c r="I655" s="141"/>
    </row>
    <row r="656" spans="9:9" x14ac:dyDescent="0.25">
      <c r="I656" s="141"/>
    </row>
    <row r="657" spans="9:9" x14ac:dyDescent="0.25">
      <c r="I657" s="141"/>
    </row>
    <row r="658" spans="9:9" x14ac:dyDescent="0.25">
      <c r="I658" s="141"/>
    </row>
    <row r="659" spans="9:9" x14ac:dyDescent="0.25">
      <c r="I659" s="141"/>
    </row>
    <row r="660" spans="9:9" x14ac:dyDescent="0.25">
      <c r="I660" s="141"/>
    </row>
    <row r="661" spans="9:9" x14ac:dyDescent="0.25">
      <c r="I661" s="141"/>
    </row>
    <row r="662" spans="9:9" x14ac:dyDescent="0.25">
      <c r="I662" s="141"/>
    </row>
    <row r="663" spans="9:9" x14ac:dyDescent="0.25">
      <c r="I663" s="141"/>
    </row>
    <row r="664" spans="9:9" x14ac:dyDescent="0.25">
      <c r="I664" s="141"/>
    </row>
    <row r="665" spans="9:9" x14ac:dyDescent="0.25">
      <c r="I665" s="141"/>
    </row>
    <row r="666" spans="9:9" x14ac:dyDescent="0.25">
      <c r="I666" s="141"/>
    </row>
    <row r="667" spans="9:9" x14ac:dyDescent="0.25">
      <c r="I667" s="141"/>
    </row>
    <row r="668" spans="9:9" x14ac:dyDescent="0.25">
      <c r="I668" s="141"/>
    </row>
    <row r="669" spans="9:9" x14ac:dyDescent="0.25">
      <c r="I669" s="141"/>
    </row>
    <row r="670" spans="9:9" x14ac:dyDescent="0.25">
      <c r="I670" s="141"/>
    </row>
    <row r="671" spans="9:9" x14ac:dyDescent="0.25">
      <c r="I671" s="141"/>
    </row>
    <row r="672" spans="9:9" x14ac:dyDescent="0.25">
      <c r="I672" s="141"/>
    </row>
    <row r="673" spans="9:9" x14ac:dyDescent="0.25">
      <c r="I673" s="141"/>
    </row>
  </sheetData>
  <sortState xmlns:xlrd2="http://schemas.microsoft.com/office/spreadsheetml/2017/richdata2" ref="L2:L10">
    <sortCondition ref="L2"/>
  </sortState>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249977111117893"/>
  </sheetPr>
  <dimension ref="A1:Z201"/>
  <sheetViews>
    <sheetView workbookViewId="0"/>
  </sheetViews>
  <sheetFormatPr defaultColWidth="8.28515625" defaultRowHeight="15" x14ac:dyDescent="0.25"/>
  <cols>
    <col min="1" max="1" width="8.28515625" style="7"/>
    <col min="2" max="2" width="9.42578125" style="7" customWidth="1"/>
    <col min="3" max="5" width="8.28515625" style="7"/>
    <col min="6" max="6" width="11.28515625" style="7" customWidth="1"/>
    <col min="7" max="7" width="12.42578125" style="7" customWidth="1"/>
    <col min="8" max="12" width="8.28515625" style="7"/>
    <col min="14" max="21" width="8.28515625" style="7"/>
    <col min="23" max="16384" width="8.28515625" style="7"/>
  </cols>
  <sheetData>
    <row r="1" spans="1:26" s="116" customFormat="1" ht="75" x14ac:dyDescent="0.25">
      <c r="A1" s="116" t="s">
        <v>480</v>
      </c>
      <c r="B1" s="116" t="s">
        <v>481</v>
      </c>
      <c r="C1" s="116" t="s">
        <v>475</v>
      </c>
      <c r="D1" s="116" t="s">
        <v>476</v>
      </c>
      <c r="E1" s="116" t="s">
        <v>477</v>
      </c>
      <c r="F1" s="116" t="s">
        <v>478</v>
      </c>
      <c r="G1" s="118" t="s">
        <v>10</v>
      </c>
      <c r="H1" s="116" t="s">
        <v>9</v>
      </c>
      <c r="I1" s="116" t="s">
        <v>482</v>
      </c>
      <c r="J1" s="116" t="s">
        <v>483</v>
      </c>
      <c r="K1" s="116" t="s">
        <v>484</v>
      </c>
      <c r="L1" s="116" t="s">
        <v>485</v>
      </c>
      <c r="M1" s="116" t="s">
        <v>486</v>
      </c>
      <c r="N1" s="116" t="s">
        <v>487</v>
      </c>
      <c r="O1" s="116" t="s">
        <v>488</v>
      </c>
      <c r="P1" s="116" t="s">
        <v>489</v>
      </c>
      <c r="Q1" s="116" t="s">
        <v>490</v>
      </c>
      <c r="R1" s="116" t="s">
        <v>491</v>
      </c>
      <c r="S1" s="116" t="s">
        <v>492</v>
      </c>
      <c r="T1" s="116" t="s">
        <v>493</v>
      </c>
      <c r="U1" s="116" t="s">
        <v>494</v>
      </c>
    </row>
    <row r="2" spans="1:26" hidden="1" x14ac:dyDescent="0.25">
      <c r="A2" s="7">
        <v>9999999999</v>
      </c>
      <c r="B2" s="17" t="e">
        <f>IF(#REF!="","",#REF!)</f>
        <v>#REF!</v>
      </c>
      <c r="C2" s="7" t="e">
        <f>IF(#REF!="","",#REF!)</f>
        <v>#REF!</v>
      </c>
      <c r="D2" s="7" t="e">
        <f>IF(#REF!="","",#REF!)</f>
        <v>#REF!</v>
      </c>
      <c r="E2" s="17" t="e">
        <f>IF(#REF!="","",#REF!)</f>
        <v>#REF!</v>
      </c>
      <c r="F2" s="17" t="e">
        <f>IF(#REF!="","",#REF!)</f>
        <v>#REF!</v>
      </c>
      <c r="G2" s="9" t="str">
        <f>Master[[#This Row],[Accession Prefix (NPGS)]]&amp;" "&amp;Master[[#This Row],[Accession Number -Assigned]]</f>
        <v>W6 57036</v>
      </c>
      <c r="I2" s="7" t="e">
        <f>IF(#REF!="","",#REF!)</f>
        <v>#REF!</v>
      </c>
      <c r="J2" s="7" t="e">
        <f>IF(#REF!="","",#REF!)</f>
        <v>#REF!</v>
      </c>
      <c r="M2" s="7"/>
      <c r="U2" s="7">
        <v>257348</v>
      </c>
      <c r="V2" s="8"/>
      <c r="Z2" s="8"/>
    </row>
    <row r="3" spans="1:26" x14ac:dyDescent="0.25">
      <c r="B3" s="17" t="e">
        <f>IF(#REF!="","",#REF!)</f>
        <v>#REF!</v>
      </c>
      <c r="C3" s="9" t="e">
        <f>IF(#REF!="","",#REF!)</f>
        <v>#REF!</v>
      </c>
      <c r="D3" s="9" t="e">
        <f>IF(#REF!="","",#REF!)</f>
        <v>#REF!</v>
      </c>
      <c r="E3" s="17" t="e">
        <f>IF(#REF!="","",#REF!)</f>
        <v>#REF!</v>
      </c>
      <c r="F3" s="17" t="e">
        <f>IF(#REF!="","",#REF!)</f>
        <v>#REF!</v>
      </c>
      <c r="G3" s="9" t="str">
        <f>Master[[#This Row],[Accession Prefix (NPGS)]]&amp;" "&amp;Master[[#This Row],[Accession Number -Assigned]]</f>
        <v xml:space="preserve">W6 </v>
      </c>
      <c r="I3" s="7" t="e">
        <f>IF(#REF!="","",#REF!)</f>
        <v>#REF!</v>
      </c>
      <c r="J3" s="141" t="e">
        <f>IF(#REF!="","",#REF!)</f>
        <v>#REF!</v>
      </c>
      <c r="M3" s="7"/>
      <c r="V3" s="7"/>
    </row>
    <row r="4" spans="1:26" x14ac:dyDescent="0.25">
      <c r="B4" s="17" t="e">
        <f>IF(#REF!="","",#REF!)</f>
        <v>#REF!</v>
      </c>
      <c r="C4" s="9" t="e">
        <f>IF(#REF!="","",#REF!)</f>
        <v>#REF!</v>
      </c>
      <c r="D4" s="7" t="e">
        <f>IF(#REF!="","",#REF!)</f>
        <v>#REF!</v>
      </c>
      <c r="E4" s="17" t="e">
        <f>IF(#REF!="","",#REF!)</f>
        <v>#REF!</v>
      </c>
      <c r="F4" s="17" t="e">
        <f>IF(#REF!="","",#REF!)</f>
        <v>#REF!</v>
      </c>
      <c r="G4" s="9" t="str">
        <f>Master[[#This Row],[Accession Prefix (NPGS)]]&amp;" "&amp;Master[[#This Row],[Accession Number -Assigned]]</f>
        <v>W6 59590</v>
      </c>
      <c r="I4" s="7" t="e">
        <f>IF(#REF!="","",#REF!)</f>
        <v>#REF!</v>
      </c>
      <c r="J4" s="7" t="e">
        <f>IF(#REF!="","",#REF!)</f>
        <v>#REF!</v>
      </c>
      <c r="M4" s="7"/>
      <c r="V4" s="7"/>
    </row>
    <row r="5" spans="1:26" x14ac:dyDescent="0.25">
      <c r="B5" s="17" t="e">
        <f>IF(#REF!="","",#REF!)</f>
        <v>#REF!</v>
      </c>
      <c r="C5" s="9" t="e">
        <f>IF(#REF!="","",#REF!)</f>
        <v>#REF!</v>
      </c>
      <c r="D5" s="7" t="e">
        <f>IF(#REF!="","",#REF!)</f>
        <v>#REF!</v>
      </c>
      <c r="E5" s="17" t="e">
        <f>IF(#REF!="","",#REF!)</f>
        <v>#REF!</v>
      </c>
      <c r="F5" s="17" t="e">
        <f>IF(#REF!="","",#REF!)</f>
        <v>#REF!</v>
      </c>
      <c r="G5" s="9" t="str">
        <f>Master[[#This Row],[Accession Prefix (NPGS)]]&amp;" "&amp;Master[[#This Row],[Accession Number -Assigned]]</f>
        <v>W6 59591</v>
      </c>
      <c r="I5" s="7" t="e">
        <f>IF(#REF!="","",#REF!)</f>
        <v>#REF!</v>
      </c>
      <c r="J5" s="7" t="e">
        <f>IF(#REF!="","",#REF!)</f>
        <v>#REF!</v>
      </c>
      <c r="M5" s="7"/>
      <c r="V5" s="7"/>
    </row>
    <row r="6" spans="1:26" x14ac:dyDescent="0.25">
      <c r="B6" s="17" t="e">
        <f>IF(#REF!="","",#REF!)</f>
        <v>#REF!</v>
      </c>
      <c r="C6" s="9" t="e">
        <f>IF(#REF!="","",#REF!)</f>
        <v>#REF!</v>
      </c>
      <c r="D6" s="7" t="e">
        <f>IF(#REF!="","",#REF!)</f>
        <v>#REF!</v>
      </c>
      <c r="E6" s="17" t="e">
        <f>IF(#REF!="","",#REF!)</f>
        <v>#REF!</v>
      </c>
      <c r="F6" s="17" t="e">
        <f>IF(#REF!="","",#REF!)</f>
        <v>#REF!</v>
      </c>
      <c r="G6" s="9" t="str">
        <f>Master[[#This Row],[Accession Prefix (NPGS)]]&amp;" "&amp;Master[[#This Row],[Accession Number -Assigned]]</f>
        <v>W6 59592</v>
      </c>
      <c r="I6" s="7" t="e">
        <f>IF(#REF!="","",#REF!)</f>
        <v>#REF!</v>
      </c>
      <c r="J6" s="7" t="e">
        <f>IF(#REF!="","",#REF!)</f>
        <v>#REF!</v>
      </c>
      <c r="M6" s="7"/>
      <c r="V6" s="7"/>
    </row>
    <row r="7" spans="1:26" x14ac:dyDescent="0.25">
      <c r="B7" s="17" t="e">
        <f>IF(#REF!="","",#REF!)</f>
        <v>#REF!</v>
      </c>
      <c r="C7" s="9" t="e">
        <f>IF(#REF!="","",#REF!)</f>
        <v>#REF!</v>
      </c>
      <c r="D7" s="7" t="e">
        <f>IF(#REF!="","",#REF!)</f>
        <v>#REF!</v>
      </c>
      <c r="E7" s="17" t="e">
        <f>IF(#REF!="","",#REF!)</f>
        <v>#REF!</v>
      </c>
      <c r="F7" s="17" t="e">
        <f>IF(#REF!="","",#REF!)</f>
        <v>#REF!</v>
      </c>
      <c r="G7" s="9" t="str">
        <f>Master[[#This Row],[Accession Prefix (NPGS)]]&amp;" "&amp;Master[[#This Row],[Accession Number -Assigned]]</f>
        <v>W6 59593</v>
      </c>
      <c r="I7" s="7" t="e">
        <f>IF(#REF!="","",#REF!)</f>
        <v>#REF!</v>
      </c>
      <c r="J7" s="7" t="e">
        <f>IF(#REF!="","",#REF!)</f>
        <v>#REF!</v>
      </c>
      <c r="M7" s="7"/>
      <c r="V7" s="7"/>
    </row>
    <row r="8" spans="1:26" x14ac:dyDescent="0.25">
      <c r="B8" s="17" t="e">
        <f>IF(#REF!="","",#REF!)</f>
        <v>#REF!</v>
      </c>
      <c r="C8" s="9" t="e">
        <f>IF(#REF!="","",#REF!)</f>
        <v>#REF!</v>
      </c>
      <c r="D8" s="7" t="e">
        <f>IF(#REF!="","",#REF!)</f>
        <v>#REF!</v>
      </c>
      <c r="E8" s="17" t="e">
        <f>IF(#REF!="","",#REF!)</f>
        <v>#REF!</v>
      </c>
      <c r="F8" s="17" t="e">
        <f>IF(#REF!="","",#REF!)</f>
        <v>#REF!</v>
      </c>
      <c r="G8" s="9" t="str">
        <f>Master[[#This Row],[Accession Prefix (NPGS)]]&amp;" "&amp;Master[[#This Row],[Accession Number -Assigned]]</f>
        <v>W6 59594</v>
      </c>
      <c r="I8" s="7" t="e">
        <f>IF(#REF!="","",#REF!)</f>
        <v>#REF!</v>
      </c>
      <c r="J8" s="7" t="e">
        <f>IF(#REF!="","",#REF!)</f>
        <v>#REF!</v>
      </c>
      <c r="M8" s="7"/>
      <c r="V8" s="7"/>
    </row>
    <row r="9" spans="1:26" x14ac:dyDescent="0.25">
      <c r="B9" s="17" t="e">
        <f>IF(#REF!="","",#REF!)</f>
        <v>#REF!</v>
      </c>
      <c r="C9" s="9" t="e">
        <f>IF(#REF!="","",#REF!)</f>
        <v>#REF!</v>
      </c>
      <c r="D9" s="7" t="e">
        <f>IF(#REF!="","",#REF!)</f>
        <v>#REF!</v>
      </c>
      <c r="E9" s="17" t="e">
        <f>IF(#REF!="","",#REF!)</f>
        <v>#REF!</v>
      </c>
      <c r="F9" s="17" t="e">
        <f>IF(#REF!="","",#REF!)</f>
        <v>#REF!</v>
      </c>
      <c r="G9" s="9" t="str">
        <f>Master[[#This Row],[Accession Prefix (NPGS)]]&amp;" "&amp;Master[[#This Row],[Accession Number -Assigned]]</f>
        <v>W6 59595</v>
      </c>
      <c r="I9" s="7" t="e">
        <f>IF(#REF!="","",#REF!)</f>
        <v>#REF!</v>
      </c>
      <c r="J9" s="7" t="e">
        <f>IF(#REF!="","",#REF!)</f>
        <v>#REF!</v>
      </c>
      <c r="M9" s="7"/>
      <c r="V9" s="7"/>
    </row>
    <row r="10" spans="1:26" x14ac:dyDescent="0.25">
      <c r="B10" s="17" t="e">
        <f>IF(#REF!="","",#REF!)</f>
        <v>#REF!</v>
      </c>
      <c r="C10" s="9" t="e">
        <f>IF(#REF!="","",#REF!)</f>
        <v>#REF!</v>
      </c>
      <c r="D10" s="7" t="e">
        <f>IF(#REF!="","",#REF!)</f>
        <v>#REF!</v>
      </c>
      <c r="E10" s="17" t="e">
        <f>IF(#REF!="","",#REF!)</f>
        <v>#REF!</v>
      </c>
      <c r="F10" s="17" t="e">
        <f>IF(#REF!="","",#REF!)</f>
        <v>#REF!</v>
      </c>
      <c r="G10" s="9" t="str">
        <f>Master[[#This Row],[Accession Prefix (NPGS)]]&amp;" "&amp;Master[[#This Row],[Accession Number -Assigned]]</f>
        <v>W6 59596</v>
      </c>
      <c r="I10" s="7" t="e">
        <f>IF(#REF!="","",#REF!)</f>
        <v>#REF!</v>
      </c>
      <c r="J10" s="7" t="e">
        <f>IF(#REF!="","",#REF!)</f>
        <v>#REF!</v>
      </c>
      <c r="M10" s="7"/>
      <c r="V10" s="7"/>
    </row>
    <row r="11" spans="1:26" x14ac:dyDescent="0.25">
      <c r="B11" s="17" t="e">
        <f>IF(#REF!="","",#REF!)</f>
        <v>#REF!</v>
      </c>
      <c r="C11" s="9" t="e">
        <f>IF(#REF!="","",#REF!)</f>
        <v>#REF!</v>
      </c>
      <c r="D11" s="7" t="e">
        <f>IF(#REF!="","",#REF!)</f>
        <v>#REF!</v>
      </c>
      <c r="E11" s="17" t="e">
        <f>IF(#REF!="","",#REF!)</f>
        <v>#REF!</v>
      </c>
      <c r="F11" s="17" t="e">
        <f>IF(#REF!="","",#REF!)</f>
        <v>#REF!</v>
      </c>
      <c r="G11" s="9" t="str">
        <f>Master[[#This Row],[Accession Prefix (NPGS)]]&amp;" "&amp;Master[[#This Row],[Accession Number -Assigned]]</f>
        <v>W6 59597</v>
      </c>
      <c r="I11" s="7" t="e">
        <f>IF(#REF!="","",#REF!)</f>
        <v>#REF!</v>
      </c>
      <c r="J11" s="7" t="e">
        <f>IF(#REF!="","",#REF!)</f>
        <v>#REF!</v>
      </c>
      <c r="M11" s="7"/>
      <c r="V11" s="7"/>
    </row>
    <row r="12" spans="1:26" x14ac:dyDescent="0.25">
      <c r="B12" s="17" t="e">
        <f>IF(#REF!="","",#REF!)</f>
        <v>#REF!</v>
      </c>
      <c r="C12" s="9" t="e">
        <f>IF(#REF!="","",#REF!)</f>
        <v>#REF!</v>
      </c>
      <c r="D12" s="7" t="e">
        <f>IF(#REF!="","",#REF!)</f>
        <v>#REF!</v>
      </c>
      <c r="E12" s="17" t="e">
        <f>IF(#REF!="","",#REF!)</f>
        <v>#REF!</v>
      </c>
      <c r="F12" s="17" t="e">
        <f>IF(#REF!="","",#REF!)</f>
        <v>#REF!</v>
      </c>
      <c r="G12" s="9" t="str">
        <f>Master[[#This Row],[Accession Prefix (NPGS)]]&amp;" "&amp;Master[[#This Row],[Accession Number -Assigned]]</f>
        <v>W6 59598</v>
      </c>
      <c r="I12" s="7" t="e">
        <f>IF(#REF!="","",#REF!)</f>
        <v>#REF!</v>
      </c>
      <c r="J12" s="7" t="e">
        <f>IF(#REF!="","",#REF!)</f>
        <v>#REF!</v>
      </c>
      <c r="M12" s="7"/>
      <c r="V12" s="7"/>
    </row>
    <row r="13" spans="1:26" x14ac:dyDescent="0.25">
      <c r="B13" s="17" t="e">
        <f>IF(#REF!="","",#REF!)</f>
        <v>#REF!</v>
      </c>
      <c r="C13" s="9" t="e">
        <f>IF(#REF!="","",#REF!)</f>
        <v>#REF!</v>
      </c>
      <c r="D13" s="7" t="e">
        <f>IF(#REF!="","",#REF!)</f>
        <v>#REF!</v>
      </c>
      <c r="E13" s="17" t="e">
        <f>IF(#REF!="","",#REF!)</f>
        <v>#REF!</v>
      </c>
      <c r="F13" s="17" t="e">
        <f>IF(#REF!="","",#REF!)</f>
        <v>#REF!</v>
      </c>
      <c r="G13" s="9" t="str">
        <f>Master[[#This Row],[Accession Prefix (NPGS)]]&amp;" "&amp;Master[[#This Row],[Accession Number -Assigned]]</f>
        <v>W6 59599</v>
      </c>
      <c r="I13" s="7" t="e">
        <f>IF(#REF!="","",#REF!)</f>
        <v>#REF!</v>
      </c>
      <c r="J13" s="7" t="e">
        <f>IF(#REF!="","",#REF!)</f>
        <v>#REF!</v>
      </c>
      <c r="M13" s="7"/>
      <c r="V13" s="7"/>
    </row>
    <row r="14" spans="1:26" x14ac:dyDescent="0.25">
      <c r="B14" s="17" t="e">
        <f>IF(#REF!="","",#REF!)</f>
        <v>#REF!</v>
      </c>
      <c r="C14" s="9" t="e">
        <f>IF(#REF!="","",#REF!)</f>
        <v>#REF!</v>
      </c>
      <c r="D14" s="7" t="e">
        <f>IF(#REF!="","",#REF!)</f>
        <v>#REF!</v>
      </c>
      <c r="E14" s="17" t="e">
        <f>IF(#REF!="","",#REF!)</f>
        <v>#REF!</v>
      </c>
      <c r="F14" s="17" t="e">
        <f>IF(#REF!="","",#REF!)</f>
        <v>#REF!</v>
      </c>
      <c r="G14" s="9" t="str">
        <f>Master[[#This Row],[Accession Prefix (NPGS)]]&amp;" "&amp;Master[[#This Row],[Accession Number -Assigned]]</f>
        <v>W6 59600</v>
      </c>
      <c r="I14" s="7" t="e">
        <f>IF(#REF!="","",#REF!)</f>
        <v>#REF!</v>
      </c>
      <c r="J14" s="7" t="e">
        <f>IF(#REF!="","",#REF!)</f>
        <v>#REF!</v>
      </c>
      <c r="M14" s="7"/>
      <c r="V14" s="7"/>
    </row>
    <row r="15" spans="1:26" x14ac:dyDescent="0.25">
      <c r="B15" s="17" t="e">
        <f>IF(#REF!="","",#REF!)</f>
        <v>#REF!</v>
      </c>
      <c r="C15" s="9" t="e">
        <f>IF(#REF!="","",#REF!)</f>
        <v>#REF!</v>
      </c>
      <c r="D15" s="7" t="e">
        <f>IF(#REF!="","",#REF!)</f>
        <v>#REF!</v>
      </c>
      <c r="E15" s="17" t="e">
        <f>IF(#REF!="","",#REF!)</f>
        <v>#REF!</v>
      </c>
      <c r="F15" s="17" t="e">
        <f>IF(#REF!="","",#REF!)</f>
        <v>#REF!</v>
      </c>
      <c r="G15" s="9" t="str">
        <f>Master[[#This Row],[Accession Prefix (NPGS)]]&amp;" "&amp;Master[[#This Row],[Accession Number -Assigned]]</f>
        <v>W6 59601</v>
      </c>
      <c r="I15" s="7" t="e">
        <f>IF(#REF!="","",#REF!)</f>
        <v>#REF!</v>
      </c>
      <c r="J15" s="7" t="e">
        <f>IF(#REF!="","",#REF!)</f>
        <v>#REF!</v>
      </c>
      <c r="M15" s="7"/>
      <c r="V15" s="7"/>
    </row>
    <row r="16" spans="1:26" x14ac:dyDescent="0.25">
      <c r="B16" s="17" t="e">
        <f>IF(#REF!="","",#REF!)</f>
        <v>#REF!</v>
      </c>
      <c r="C16" s="9" t="e">
        <f>IF(#REF!="","",#REF!)</f>
        <v>#REF!</v>
      </c>
      <c r="D16" s="7" t="e">
        <f>IF(#REF!="","",#REF!)</f>
        <v>#REF!</v>
      </c>
      <c r="E16" s="17" t="e">
        <f>IF(#REF!="","",#REF!)</f>
        <v>#REF!</v>
      </c>
      <c r="F16" s="17" t="e">
        <f>IF(#REF!="","",#REF!)</f>
        <v>#REF!</v>
      </c>
      <c r="G16" s="9" t="str">
        <f>Master[[#This Row],[Accession Prefix (NPGS)]]&amp;" "&amp;Master[[#This Row],[Accession Number -Assigned]]</f>
        <v>W6 59602</v>
      </c>
      <c r="I16" s="7" t="e">
        <f>IF(#REF!="","",#REF!)</f>
        <v>#REF!</v>
      </c>
      <c r="J16" s="7" t="e">
        <f>IF(#REF!="","",#REF!)</f>
        <v>#REF!</v>
      </c>
      <c r="M16" s="7"/>
      <c r="V16" s="7"/>
    </row>
    <row r="17" spans="2:22" x14ac:dyDescent="0.25">
      <c r="B17" s="17" t="e">
        <f>IF(#REF!="","",#REF!)</f>
        <v>#REF!</v>
      </c>
      <c r="C17" s="9" t="e">
        <f>IF(#REF!="","",#REF!)</f>
        <v>#REF!</v>
      </c>
      <c r="D17" s="7" t="e">
        <f>IF(#REF!="","",#REF!)</f>
        <v>#REF!</v>
      </c>
      <c r="E17" s="17" t="e">
        <f>IF(#REF!="","",#REF!)</f>
        <v>#REF!</v>
      </c>
      <c r="F17" s="17" t="e">
        <f>IF(#REF!="","",#REF!)</f>
        <v>#REF!</v>
      </c>
      <c r="G17" s="9" t="str">
        <f>Master[[#This Row],[Accession Prefix (NPGS)]]&amp;" "&amp;Master[[#This Row],[Accession Number -Assigned]]</f>
        <v>W6 59603</v>
      </c>
      <c r="I17" s="7" t="e">
        <f>IF(#REF!="","",#REF!)</f>
        <v>#REF!</v>
      </c>
      <c r="J17" s="7" t="e">
        <f>IF(#REF!="","",#REF!)</f>
        <v>#REF!</v>
      </c>
      <c r="M17" s="7"/>
      <c r="V17" s="7"/>
    </row>
    <row r="18" spans="2:22" x14ac:dyDescent="0.25">
      <c r="B18" s="17" t="e">
        <f>IF(#REF!="","",#REF!)</f>
        <v>#REF!</v>
      </c>
      <c r="C18" s="9" t="e">
        <f>IF(#REF!="","",#REF!)</f>
        <v>#REF!</v>
      </c>
      <c r="D18" s="7" t="e">
        <f>IF(#REF!="","",#REF!)</f>
        <v>#REF!</v>
      </c>
      <c r="E18" s="17" t="e">
        <f>IF(#REF!="","",#REF!)</f>
        <v>#REF!</v>
      </c>
      <c r="F18" s="17" t="e">
        <f>IF(#REF!="","",#REF!)</f>
        <v>#REF!</v>
      </c>
      <c r="G18" s="9" t="str">
        <f>Master[[#This Row],[Accession Prefix (NPGS)]]&amp;" "&amp;Master[[#This Row],[Accession Number -Assigned]]</f>
        <v>W6 59604</v>
      </c>
      <c r="I18" s="7" t="e">
        <f>IF(#REF!="","",#REF!)</f>
        <v>#REF!</v>
      </c>
      <c r="J18" s="7" t="e">
        <f>IF(#REF!="","",#REF!)</f>
        <v>#REF!</v>
      </c>
      <c r="M18" s="7"/>
      <c r="V18" s="7"/>
    </row>
    <row r="19" spans="2:22" x14ac:dyDescent="0.25">
      <c r="B19" s="17" t="e">
        <f>IF(#REF!="","",#REF!)</f>
        <v>#REF!</v>
      </c>
      <c r="C19" s="9" t="e">
        <f>IF(#REF!="","",#REF!)</f>
        <v>#REF!</v>
      </c>
      <c r="D19" s="7" t="e">
        <f>IF(#REF!="","",#REF!)</f>
        <v>#REF!</v>
      </c>
      <c r="E19" s="17" t="e">
        <f>IF(#REF!="","",#REF!)</f>
        <v>#REF!</v>
      </c>
      <c r="F19" s="17" t="e">
        <f>IF(#REF!="","",#REF!)</f>
        <v>#REF!</v>
      </c>
      <c r="G19" s="9" t="str">
        <f>Master[[#This Row],[Accession Prefix (NPGS)]]&amp;" "&amp;Master[[#This Row],[Accession Number -Assigned]]</f>
        <v>W6 59605</v>
      </c>
      <c r="I19" s="7" t="e">
        <f>IF(#REF!="","",#REF!)</f>
        <v>#REF!</v>
      </c>
      <c r="J19" s="7" t="e">
        <f>IF(#REF!="","",#REF!)</f>
        <v>#REF!</v>
      </c>
      <c r="M19" s="7"/>
      <c r="V19" s="7"/>
    </row>
    <row r="20" spans="2:22" x14ac:dyDescent="0.25">
      <c r="B20" s="17" t="e">
        <f>IF(#REF!="","",#REF!)</f>
        <v>#REF!</v>
      </c>
      <c r="C20" s="9" t="e">
        <f>IF(#REF!="","",#REF!)</f>
        <v>#REF!</v>
      </c>
      <c r="D20" s="7" t="e">
        <f>IF(#REF!="","",#REF!)</f>
        <v>#REF!</v>
      </c>
      <c r="E20" s="17" t="e">
        <f>IF(#REF!="","",#REF!)</f>
        <v>#REF!</v>
      </c>
      <c r="F20" s="17" t="e">
        <f>IF(#REF!="","",#REF!)</f>
        <v>#REF!</v>
      </c>
      <c r="G20" s="9" t="str">
        <f>Master[[#This Row],[Accession Prefix (NPGS)]]&amp;" "&amp;Master[[#This Row],[Accession Number -Assigned]]</f>
        <v>W6 59606</v>
      </c>
      <c r="I20" s="7" t="e">
        <f>IF(#REF!="","",#REF!)</f>
        <v>#REF!</v>
      </c>
      <c r="J20" s="7" t="e">
        <f>IF(#REF!="","",#REF!)</f>
        <v>#REF!</v>
      </c>
      <c r="M20" s="7"/>
      <c r="V20" s="7"/>
    </row>
    <row r="21" spans="2:22" x14ac:dyDescent="0.25">
      <c r="B21" s="17" t="e">
        <f>IF(#REF!="","",#REF!)</f>
        <v>#REF!</v>
      </c>
      <c r="C21" s="9" t="e">
        <f>IF(#REF!="","",#REF!)</f>
        <v>#REF!</v>
      </c>
      <c r="D21" s="7" t="e">
        <f>IF(#REF!="","",#REF!)</f>
        <v>#REF!</v>
      </c>
      <c r="E21" s="17" t="e">
        <f>IF(#REF!="","",#REF!)</f>
        <v>#REF!</v>
      </c>
      <c r="F21" s="17" t="e">
        <f>IF(#REF!="","",#REF!)</f>
        <v>#REF!</v>
      </c>
      <c r="G21" s="9" t="str">
        <f>Master[[#This Row],[Accession Prefix (NPGS)]]&amp;" "&amp;Master[[#This Row],[Accession Number -Assigned]]</f>
        <v>W6 59607</v>
      </c>
      <c r="I21" s="7" t="e">
        <f>IF(#REF!="","",#REF!)</f>
        <v>#REF!</v>
      </c>
      <c r="J21" s="7" t="e">
        <f>IF(#REF!="","",#REF!)</f>
        <v>#REF!</v>
      </c>
      <c r="M21" s="7"/>
      <c r="V21" s="7"/>
    </row>
    <row r="22" spans="2:22" x14ac:dyDescent="0.25">
      <c r="B22" s="17" t="e">
        <f>IF(#REF!="","",#REF!)</f>
        <v>#REF!</v>
      </c>
      <c r="C22" s="9" t="e">
        <f>IF(#REF!="","",#REF!)</f>
        <v>#REF!</v>
      </c>
      <c r="D22" s="7" t="e">
        <f>IF(#REF!="","",#REF!)</f>
        <v>#REF!</v>
      </c>
      <c r="E22" s="17" t="e">
        <f>IF(#REF!="","",#REF!)</f>
        <v>#REF!</v>
      </c>
      <c r="F22" s="17" t="e">
        <f>IF(#REF!="","",#REF!)</f>
        <v>#REF!</v>
      </c>
      <c r="G22" s="9" t="str">
        <f>Master[[#This Row],[Accession Prefix (NPGS)]]&amp;" "&amp;Master[[#This Row],[Accession Number -Assigned]]</f>
        <v>W6 59608</v>
      </c>
      <c r="I22" s="7" t="e">
        <f>IF(#REF!="","",#REF!)</f>
        <v>#REF!</v>
      </c>
      <c r="J22" s="7" t="e">
        <f>IF(#REF!="","",#REF!)</f>
        <v>#REF!</v>
      </c>
      <c r="M22" s="7"/>
      <c r="V22" s="7"/>
    </row>
    <row r="23" spans="2:22" x14ac:dyDescent="0.25">
      <c r="B23" s="17" t="e">
        <f>IF(#REF!="","",#REF!)</f>
        <v>#REF!</v>
      </c>
      <c r="C23" s="9" t="e">
        <f>IF(#REF!="","",#REF!)</f>
        <v>#REF!</v>
      </c>
      <c r="D23" s="7" t="e">
        <f>IF(#REF!="","",#REF!)</f>
        <v>#REF!</v>
      </c>
      <c r="E23" s="17" t="e">
        <f>IF(#REF!="","",#REF!)</f>
        <v>#REF!</v>
      </c>
      <c r="F23" s="17" t="e">
        <f>IF(#REF!="","",#REF!)</f>
        <v>#REF!</v>
      </c>
      <c r="G23" s="9" t="str">
        <f>Master[[#This Row],[Accession Prefix (NPGS)]]&amp;" "&amp;Master[[#This Row],[Accession Number -Assigned]]</f>
        <v>W6 59609</v>
      </c>
      <c r="I23" s="7" t="e">
        <f>IF(#REF!="","",#REF!)</f>
        <v>#REF!</v>
      </c>
      <c r="J23" s="7" t="e">
        <f>IF(#REF!="","",#REF!)</f>
        <v>#REF!</v>
      </c>
      <c r="M23" s="7"/>
      <c r="V23" s="7"/>
    </row>
    <row r="24" spans="2:22" x14ac:dyDescent="0.25">
      <c r="B24" s="17" t="e">
        <f>IF(#REF!="","",#REF!)</f>
        <v>#REF!</v>
      </c>
      <c r="C24" s="9" t="e">
        <f>IF(#REF!="","",#REF!)</f>
        <v>#REF!</v>
      </c>
      <c r="D24" s="7" t="e">
        <f>IF(#REF!="","",#REF!)</f>
        <v>#REF!</v>
      </c>
      <c r="E24" s="17" t="e">
        <f>IF(#REF!="","",#REF!)</f>
        <v>#REF!</v>
      </c>
      <c r="F24" s="17" t="e">
        <f>IF(#REF!="","",#REF!)</f>
        <v>#REF!</v>
      </c>
      <c r="G24" s="9" t="str">
        <f>Master[[#This Row],[Accession Prefix (NPGS)]]&amp;" "&amp;Master[[#This Row],[Accession Number -Assigned]]</f>
        <v>W6 59610</v>
      </c>
      <c r="I24" s="7" t="e">
        <f>IF(#REF!="","",#REF!)</f>
        <v>#REF!</v>
      </c>
      <c r="J24" s="7" t="e">
        <f>IF(#REF!="","",#REF!)</f>
        <v>#REF!</v>
      </c>
      <c r="M24" s="7"/>
      <c r="V24" s="7"/>
    </row>
    <row r="25" spans="2:22" x14ac:dyDescent="0.25">
      <c r="B25" s="17" t="e">
        <f>IF(#REF!="","",#REF!)</f>
        <v>#REF!</v>
      </c>
      <c r="C25" s="9" t="e">
        <f>IF(#REF!="","",#REF!)</f>
        <v>#REF!</v>
      </c>
      <c r="D25" s="7" t="e">
        <f>IF(#REF!="","",#REF!)</f>
        <v>#REF!</v>
      </c>
      <c r="E25" s="17" t="e">
        <f>IF(#REF!="","",#REF!)</f>
        <v>#REF!</v>
      </c>
      <c r="F25" s="17" t="e">
        <f>IF(#REF!="","",#REF!)</f>
        <v>#REF!</v>
      </c>
      <c r="G25" s="9" t="str">
        <f>Master[[#This Row],[Accession Prefix (NPGS)]]&amp;" "&amp;Master[[#This Row],[Accession Number -Assigned]]</f>
        <v>W6 59611</v>
      </c>
      <c r="I25" s="7" t="e">
        <f>IF(#REF!="","",#REF!)</f>
        <v>#REF!</v>
      </c>
      <c r="J25" s="7" t="e">
        <f>IF(#REF!="","",#REF!)</f>
        <v>#REF!</v>
      </c>
      <c r="M25" s="7"/>
      <c r="V25" s="7"/>
    </row>
    <row r="26" spans="2:22" x14ac:dyDescent="0.25">
      <c r="B26" s="17" t="e">
        <f>IF(#REF!="","",#REF!)</f>
        <v>#REF!</v>
      </c>
      <c r="C26" s="9" t="e">
        <f>IF(#REF!="","",#REF!)</f>
        <v>#REF!</v>
      </c>
      <c r="D26" s="7" t="e">
        <f>IF(#REF!="","",#REF!)</f>
        <v>#REF!</v>
      </c>
      <c r="E26" s="17" t="e">
        <f>IF(#REF!="","",#REF!)</f>
        <v>#REF!</v>
      </c>
      <c r="F26" s="17" t="e">
        <f>IF(#REF!="","",#REF!)</f>
        <v>#REF!</v>
      </c>
      <c r="G26" s="9" t="str">
        <f>Master[[#This Row],[Accession Prefix (NPGS)]]&amp;" "&amp;Master[[#This Row],[Accession Number -Assigned]]</f>
        <v>W6 59612</v>
      </c>
      <c r="I26" s="7" t="e">
        <f>IF(#REF!="","",#REF!)</f>
        <v>#REF!</v>
      </c>
      <c r="J26" s="7" t="e">
        <f>IF(#REF!="","",#REF!)</f>
        <v>#REF!</v>
      </c>
      <c r="M26" s="7"/>
      <c r="V26" s="7"/>
    </row>
    <row r="27" spans="2:22" x14ac:dyDescent="0.25">
      <c r="B27" s="17" t="e">
        <f>IF(#REF!="","",#REF!)</f>
        <v>#REF!</v>
      </c>
      <c r="C27" s="9" t="e">
        <f>IF(#REF!="","",#REF!)</f>
        <v>#REF!</v>
      </c>
      <c r="D27" s="7" t="e">
        <f>IF(#REF!="","",#REF!)</f>
        <v>#REF!</v>
      </c>
      <c r="E27" s="17" t="e">
        <f>IF(#REF!="","",#REF!)</f>
        <v>#REF!</v>
      </c>
      <c r="F27" s="17" t="e">
        <f>IF(#REF!="","",#REF!)</f>
        <v>#REF!</v>
      </c>
      <c r="G27" s="9" t="str">
        <f>Master[[#This Row],[Accession Prefix (NPGS)]]&amp;" "&amp;Master[[#This Row],[Accession Number -Assigned]]</f>
        <v>W6 59613</v>
      </c>
      <c r="I27" s="7" t="e">
        <f>IF(#REF!="","",#REF!)</f>
        <v>#REF!</v>
      </c>
      <c r="J27" s="7" t="e">
        <f>IF(#REF!="","",#REF!)</f>
        <v>#REF!</v>
      </c>
      <c r="M27" s="7"/>
      <c r="V27" s="7"/>
    </row>
    <row r="28" spans="2:22" x14ac:dyDescent="0.25">
      <c r="B28" s="17" t="e">
        <f>IF(#REF!="","",#REF!)</f>
        <v>#REF!</v>
      </c>
      <c r="C28" s="9" t="e">
        <f>IF(#REF!="","",#REF!)</f>
        <v>#REF!</v>
      </c>
      <c r="D28" s="7" t="e">
        <f>IF(#REF!="","",#REF!)</f>
        <v>#REF!</v>
      </c>
      <c r="E28" s="17" t="e">
        <f>IF(#REF!="","",#REF!)</f>
        <v>#REF!</v>
      </c>
      <c r="F28" s="17" t="e">
        <f>IF(#REF!="","",#REF!)</f>
        <v>#REF!</v>
      </c>
      <c r="G28" s="9" t="str">
        <f>Master[[#This Row],[Accession Prefix (NPGS)]]&amp;" "&amp;Master[[#This Row],[Accession Number -Assigned]]</f>
        <v>W6 59614</v>
      </c>
      <c r="I28" s="7" t="e">
        <f>IF(#REF!="","",#REF!)</f>
        <v>#REF!</v>
      </c>
      <c r="J28" s="7" t="e">
        <f>IF(#REF!="","",#REF!)</f>
        <v>#REF!</v>
      </c>
      <c r="M28" s="7"/>
      <c r="V28" s="7"/>
    </row>
    <row r="29" spans="2:22" x14ac:dyDescent="0.25">
      <c r="B29" s="17" t="e">
        <f>IF(#REF!="","",#REF!)</f>
        <v>#REF!</v>
      </c>
      <c r="C29" s="9" t="e">
        <f>IF(#REF!="","",#REF!)</f>
        <v>#REF!</v>
      </c>
      <c r="D29" s="7" t="e">
        <f>IF(#REF!="","",#REF!)</f>
        <v>#REF!</v>
      </c>
      <c r="E29" s="17" t="e">
        <f>IF(#REF!="","",#REF!)</f>
        <v>#REF!</v>
      </c>
      <c r="F29" s="17" t="e">
        <f>IF(#REF!="","",#REF!)</f>
        <v>#REF!</v>
      </c>
      <c r="G29" s="9" t="str">
        <f>Master[[#This Row],[Accession Prefix (NPGS)]]&amp;" "&amp;Master[[#This Row],[Accession Number -Assigned]]</f>
        <v>W6 59615</v>
      </c>
      <c r="I29" s="7" t="e">
        <f>IF(#REF!="","",#REF!)</f>
        <v>#REF!</v>
      </c>
      <c r="J29" s="7" t="e">
        <f>IF(#REF!="","",#REF!)</f>
        <v>#REF!</v>
      </c>
      <c r="M29" s="7"/>
      <c r="V29" s="7"/>
    </row>
    <row r="30" spans="2:22" x14ac:dyDescent="0.25">
      <c r="B30" s="17" t="e">
        <f>IF(#REF!="","",#REF!)</f>
        <v>#REF!</v>
      </c>
      <c r="C30" s="9" t="e">
        <f>IF(#REF!="","",#REF!)</f>
        <v>#REF!</v>
      </c>
      <c r="D30" s="7" t="e">
        <f>IF(#REF!="","",#REF!)</f>
        <v>#REF!</v>
      </c>
      <c r="E30" s="17" t="e">
        <f>IF(#REF!="","",#REF!)</f>
        <v>#REF!</v>
      </c>
      <c r="F30" s="17" t="e">
        <f>IF(#REF!="","",#REF!)</f>
        <v>#REF!</v>
      </c>
      <c r="G30" s="9" t="str">
        <f>Master[[#This Row],[Accession Prefix (NPGS)]]&amp;" "&amp;Master[[#This Row],[Accession Number -Assigned]]</f>
        <v>W6 59616</v>
      </c>
      <c r="I30" s="7" t="e">
        <f>IF(#REF!="","",#REF!)</f>
        <v>#REF!</v>
      </c>
      <c r="J30" s="7" t="e">
        <f>IF(#REF!="","",#REF!)</f>
        <v>#REF!</v>
      </c>
      <c r="M30" s="7"/>
      <c r="V30" s="7"/>
    </row>
    <row r="31" spans="2:22" x14ac:dyDescent="0.25">
      <c r="B31" s="76" t="e">
        <f>IF(#REF!="","",#REF!)</f>
        <v>#REF!</v>
      </c>
      <c r="C31" s="45" t="e">
        <f>IF(#REF!="","",#REF!)</f>
        <v>#REF!</v>
      </c>
      <c r="D31" s="45" t="e">
        <f>IF(#REF!="","",#REF!)</f>
        <v>#REF!</v>
      </c>
      <c r="E31" s="76" t="e">
        <f>IF(#REF!="","",#REF!)</f>
        <v>#REF!</v>
      </c>
      <c r="F31" s="76" t="e">
        <f>IF(#REF!="","",#REF!)</f>
        <v>#REF!</v>
      </c>
      <c r="G31" s="152" t="str">
        <f>Master[[#This Row],[Accession Prefix (NPGS)]]&amp;" "&amp;Master[[#This Row],[Accession Number -Assigned]]</f>
        <v>W6 59617</v>
      </c>
      <c r="I31" s="7" t="e">
        <f>IF(#REF!="","",#REF!)</f>
        <v>#REF!</v>
      </c>
      <c r="J31" s="7" t="e">
        <f>IF(#REF!="","",#REF!)</f>
        <v>#REF!</v>
      </c>
    </row>
    <row r="32" spans="2:22" x14ac:dyDescent="0.25">
      <c r="B32" s="76" t="e">
        <f>IF(#REF!="","",#REF!)</f>
        <v>#REF!</v>
      </c>
      <c r="C32" s="45" t="e">
        <f>IF(#REF!="","",#REF!)</f>
        <v>#REF!</v>
      </c>
      <c r="D32" s="45" t="e">
        <f>IF(#REF!="","",#REF!)</f>
        <v>#REF!</v>
      </c>
      <c r="E32" s="76" t="e">
        <f>IF(#REF!="","",#REF!)</f>
        <v>#REF!</v>
      </c>
      <c r="F32" s="76" t="e">
        <f>IF(#REF!="","",#REF!)</f>
        <v>#REF!</v>
      </c>
      <c r="G32" s="152" t="str">
        <f>Master[[#This Row],[Accession Prefix (NPGS)]]&amp;" "&amp;Master[[#This Row],[Accession Number -Assigned]]</f>
        <v>W6 59618</v>
      </c>
      <c r="I32" s="7" t="e">
        <f>IF(#REF!="","",#REF!)</f>
        <v>#REF!</v>
      </c>
      <c r="J32" s="7" t="e">
        <f>IF(#REF!="","",#REF!)</f>
        <v>#REF!</v>
      </c>
    </row>
    <row r="33" spans="2:10" x14ac:dyDescent="0.25">
      <c r="B33" s="76" t="e">
        <f>IF(#REF!="","",#REF!)</f>
        <v>#REF!</v>
      </c>
      <c r="C33" s="45" t="e">
        <f>IF(#REF!="","",#REF!)</f>
        <v>#REF!</v>
      </c>
      <c r="D33" s="45" t="e">
        <f>IF(#REF!="","",#REF!)</f>
        <v>#REF!</v>
      </c>
      <c r="E33" s="76" t="e">
        <f>IF(#REF!="","",#REF!)</f>
        <v>#REF!</v>
      </c>
      <c r="F33" s="76" t="e">
        <f>IF(#REF!="","",#REF!)</f>
        <v>#REF!</v>
      </c>
      <c r="G33" s="152" t="str">
        <f>Master[[#This Row],[Accession Prefix (NPGS)]]&amp;" "&amp;Master[[#This Row],[Accession Number -Assigned]]</f>
        <v>W6 59619</v>
      </c>
      <c r="I33" s="7" t="e">
        <f>IF(#REF!="","",#REF!)</f>
        <v>#REF!</v>
      </c>
      <c r="J33" s="7" t="e">
        <f>IF(#REF!="","",#REF!)</f>
        <v>#REF!</v>
      </c>
    </row>
    <row r="34" spans="2:10" x14ac:dyDescent="0.25">
      <c r="B34" s="76" t="e">
        <f>IF(#REF!="","",#REF!)</f>
        <v>#REF!</v>
      </c>
      <c r="C34" s="45" t="e">
        <f>IF(#REF!="","",#REF!)</f>
        <v>#REF!</v>
      </c>
      <c r="D34" s="45" t="e">
        <f>IF(#REF!="","",#REF!)</f>
        <v>#REF!</v>
      </c>
      <c r="E34" s="76" t="e">
        <f>IF(#REF!="","",#REF!)</f>
        <v>#REF!</v>
      </c>
      <c r="F34" s="76" t="e">
        <f>IF(#REF!="","",#REF!)</f>
        <v>#REF!</v>
      </c>
      <c r="G34" s="152" t="str">
        <f>Master[[#This Row],[Accession Prefix (NPGS)]]&amp;" "&amp;Master[[#This Row],[Accession Number -Assigned]]</f>
        <v>W6 59620</v>
      </c>
      <c r="I34" s="7" t="e">
        <f>IF(#REF!="","",#REF!)</f>
        <v>#REF!</v>
      </c>
      <c r="J34" s="7" t="e">
        <f>IF(#REF!="","",#REF!)</f>
        <v>#REF!</v>
      </c>
    </row>
    <row r="35" spans="2:10" x14ac:dyDescent="0.25">
      <c r="B35" s="76" t="e">
        <f>IF(#REF!="","",#REF!)</f>
        <v>#REF!</v>
      </c>
      <c r="C35" s="45" t="e">
        <f>IF(#REF!="","",#REF!)</f>
        <v>#REF!</v>
      </c>
      <c r="D35" s="45" t="e">
        <f>IF(#REF!="","",#REF!)</f>
        <v>#REF!</v>
      </c>
      <c r="E35" s="76" t="e">
        <f>IF(#REF!="","",#REF!)</f>
        <v>#REF!</v>
      </c>
      <c r="F35" s="76" t="e">
        <f>IF(#REF!="","",#REF!)</f>
        <v>#REF!</v>
      </c>
      <c r="G35" s="152" t="str">
        <f>Master[[#This Row],[Accession Prefix (NPGS)]]&amp;" "&amp;Master[[#This Row],[Accession Number -Assigned]]</f>
        <v>W6 59621</v>
      </c>
      <c r="I35" s="7" t="e">
        <f>IF(#REF!="","",#REF!)</f>
        <v>#REF!</v>
      </c>
      <c r="J35" s="7" t="e">
        <f>IF(#REF!="","",#REF!)</f>
        <v>#REF!</v>
      </c>
    </row>
    <row r="36" spans="2:10" x14ac:dyDescent="0.25">
      <c r="B36" s="76" t="e">
        <f>IF(#REF!="","",#REF!)</f>
        <v>#REF!</v>
      </c>
      <c r="C36" s="45" t="e">
        <f>IF(#REF!="","",#REF!)</f>
        <v>#REF!</v>
      </c>
      <c r="D36" s="45" t="e">
        <f>IF(#REF!="","",#REF!)</f>
        <v>#REF!</v>
      </c>
      <c r="E36" s="76" t="e">
        <f>IF(#REF!="","",#REF!)</f>
        <v>#REF!</v>
      </c>
      <c r="F36" s="76" t="e">
        <f>IF(#REF!="","",#REF!)</f>
        <v>#REF!</v>
      </c>
      <c r="G36" s="152" t="str">
        <f>Master[[#This Row],[Accession Prefix (NPGS)]]&amp;" "&amp;Master[[#This Row],[Accession Number -Assigned]]</f>
        <v>W6 59622</v>
      </c>
      <c r="I36" s="7" t="e">
        <f>IF(#REF!="","",#REF!)</f>
        <v>#REF!</v>
      </c>
      <c r="J36" s="7" t="e">
        <f>IF(#REF!="","",#REF!)</f>
        <v>#REF!</v>
      </c>
    </row>
    <row r="37" spans="2:10" x14ac:dyDescent="0.25">
      <c r="B37" s="76" t="e">
        <f>IF(#REF!="","",#REF!)</f>
        <v>#REF!</v>
      </c>
      <c r="C37" s="45" t="e">
        <f>IF(#REF!="","",#REF!)</f>
        <v>#REF!</v>
      </c>
      <c r="D37" s="45" t="e">
        <f>IF(#REF!="","",#REF!)</f>
        <v>#REF!</v>
      </c>
      <c r="E37" s="76" t="e">
        <f>IF(#REF!="","",#REF!)</f>
        <v>#REF!</v>
      </c>
      <c r="F37" s="76" t="e">
        <f>IF(#REF!="","",#REF!)</f>
        <v>#REF!</v>
      </c>
      <c r="G37" s="152" t="str">
        <f>Master[[#This Row],[Accession Prefix (NPGS)]]&amp;" "&amp;Master[[#This Row],[Accession Number -Assigned]]</f>
        <v>W6 59623</v>
      </c>
      <c r="I37" s="7" t="e">
        <f>IF(#REF!="","",#REF!)</f>
        <v>#REF!</v>
      </c>
      <c r="J37" s="7" t="e">
        <f>IF(#REF!="","",#REF!)</f>
        <v>#REF!</v>
      </c>
    </row>
    <row r="38" spans="2:10" x14ac:dyDescent="0.25">
      <c r="B38" s="76" t="e">
        <f>IF(#REF!="","",#REF!)</f>
        <v>#REF!</v>
      </c>
      <c r="C38" s="45" t="e">
        <f>IF(#REF!="","",#REF!)</f>
        <v>#REF!</v>
      </c>
      <c r="D38" s="45" t="e">
        <f>IF(#REF!="","",#REF!)</f>
        <v>#REF!</v>
      </c>
      <c r="E38" s="76" t="e">
        <f>IF(#REF!="","",#REF!)</f>
        <v>#REF!</v>
      </c>
      <c r="F38" s="76" t="e">
        <f>IF(#REF!="","",#REF!)</f>
        <v>#REF!</v>
      </c>
      <c r="G38" s="152" t="str">
        <f>Master[[#This Row],[Accession Prefix (NPGS)]]&amp;" "&amp;Master[[#This Row],[Accession Number -Assigned]]</f>
        <v>W6 59624</v>
      </c>
      <c r="I38" s="7" t="e">
        <f>IF(#REF!="","",#REF!)</f>
        <v>#REF!</v>
      </c>
      <c r="J38" s="7" t="e">
        <f>IF(#REF!="","",#REF!)</f>
        <v>#REF!</v>
      </c>
    </row>
    <row r="39" spans="2:10" x14ac:dyDescent="0.25">
      <c r="B39" s="76" t="e">
        <f>IF(#REF!="","",#REF!)</f>
        <v>#REF!</v>
      </c>
      <c r="C39" s="45" t="e">
        <f>IF(#REF!="","",#REF!)</f>
        <v>#REF!</v>
      </c>
      <c r="D39" s="45" t="e">
        <f>IF(#REF!="","",#REF!)</f>
        <v>#REF!</v>
      </c>
      <c r="E39" s="76" t="e">
        <f>IF(#REF!="","",#REF!)</f>
        <v>#REF!</v>
      </c>
      <c r="F39" s="76" t="e">
        <f>IF(#REF!="","",#REF!)</f>
        <v>#REF!</v>
      </c>
      <c r="G39" s="152" t="str">
        <f>Master[[#This Row],[Accession Prefix (NPGS)]]&amp;" "&amp;Master[[#This Row],[Accession Number -Assigned]]</f>
        <v>W6 59625</v>
      </c>
      <c r="I39" s="7" t="e">
        <f>IF(#REF!="","",#REF!)</f>
        <v>#REF!</v>
      </c>
      <c r="J39" s="7" t="e">
        <f>IF(#REF!="","",#REF!)</f>
        <v>#REF!</v>
      </c>
    </row>
    <row r="40" spans="2:10" x14ac:dyDescent="0.25">
      <c r="B40" s="76" t="e">
        <f>IF(#REF!="","",#REF!)</f>
        <v>#REF!</v>
      </c>
      <c r="C40" s="45" t="e">
        <f>IF(#REF!="","",#REF!)</f>
        <v>#REF!</v>
      </c>
      <c r="D40" s="45" t="e">
        <f>IF(#REF!="","",#REF!)</f>
        <v>#REF!</v>
      </c>
      <c r="E40" s="76" t="e">
        <f>IF(#REF!="","",#REF!)</f>
        <v>#REF!</v>
      </c>
      <c r="F40" s="76" t="e">
        <f>IF(#REF!="","",#REF!)</f>
        <v>#REF!</v>
      </c>
      <c r="G40" s="152" t="str">
        <f>Master[[#This Row],[Accession Prefix (NPGS)]]&amp;" "&amp;Master[[#This Row],[Accession Number -Assigned]]</f>
        <v>W6 59626</v>
      </c>
      <c r="I40" s="7" t="e">
        <f>IF(#REF!="","",#REF!)</f>
        <v>#REF!</v>
      </c>
      <c r="J40" s="7" t="e">
        <f>IF(#REF!="","",#REF!)</f>
        <v>#REF!</v>
      </c>
    </row>
    <row r="41" spans="2:10" x14ac:dyDescent="0.25">
      <c r="B41" s="76" t="e">
        <f>IF(#REF!="","",#REF!)</f>
        <v>#REF!</v>
      </c>
      <c r="C41" s="45" t="e">
        <f>IF(#REF!="","",#REF!)</f>
        <v>#REF!</v>
      </c>
      <c r="D41" s="45" t="e">
        <f>IF(#REF!="","",#REF!)</f>
        <v>#REF!</v>
      </c>
      <c r="E41" s="76" t="e">
        <f>IF(#REF!="","",#REF!)</f>
        <v>#REF!</v>
      </c>
      <c r="F41" s="76" t="e">
        <f>IF(#REF!="","",#REF!)</f>
        <v>#REF!</v>
      </c>
      <c r="G41" s="152" t="str">
        <f>Master[[#This Row],[Accession Prefix (NPGS)]]&amp;" "&amp;Master[[#This Row],[Accession Number -Assigned]]</f>
        <v>W6 59627</v>
      </c>
      <c r="I41" s="7" t="e">
        <f>IF(#REF!="","",#REF!)</f>
        <v>#REF!</v>
      </c>
      <c r="J41" s="7" t="e">
        <f>IF(#REF!="","",#REF!)</f>
        <v>#REF!</v>
      </c>
    </row>
    <row r="42" spans="2:10" x14ac:dyDescent="0.25">
      <c r="B42" s="76" t="e">
        <f>IF(#REF!="","",#REF!)</f>
        <v>#REF!</v>
      </c>
      <c r="C42" s="45" t="e">
        <f>IF(#REF!="","",#REF!)</f>
        <v>#REF!</v>
      </c>
      <c r="D42" s="45" t="e">
        <f>IF(#REF!="","",#REF!)</f>
        <v>#REF!</v>
      </c>
      <c r="E42" s="76" t="e">
        <f>IF(#REF!="","",#REF!)</f>
        <v>#REF!</v>
      </c>
      <c r="F42" s="76" t="e">
        <f>IF(#REF!="","",#REF!)</f>
        <v>#REF!</v>
      </c>
      <c r="G42" s="152" t="str">
        <f>Master[[#This Row],[Accession Prefix (NPGS)]]&amp;" "&amp;Master[[#This Row],[Accession Number -Assigned]]</f>
        <v>W6 59628</v>
      </c>
      <c r="I42" s="7" t="e">
        <f>IF(#REF!="","",#REF!)</f>
        <v>#REF!</v>
      </c>
      <c r="J42" s="7" t="e">
        <f>IF(#REF!="","",#REF!)</f>
        <v>#REF!</v>
      </c>
    </row>
    <row r="43" spans="2:10" x14ac:dyDescent="0.25">
      <c r="B43" s="76" t="e">
        <f>IF(#REF!="","",#REF!)</f>
        <v>#REF!</v>
      </c>
      <c r="C43" s="45" t="e">
        <f>IF(#REF!="","",#REF!)</f>
        <v>#REF!</v>
      </c>
      <c r="D43" s="45" t="e">
        <f>IF(#REF!="","",#REF!)</f>
        <v>#REF!</v>
      </c>
      <c r="E43" s="76" t="e">
        <f>IF(#REF!="","",#REF!)</f>
        <v>#REF!</v>
      </c>
      <c r="F43" s="76" t="e">
        <f>IF(#REF!="","",#REF!)</f>
        <v>#REF!</v>
      </c>
      <c r="G43" s="152" t="str">
        <f>Master[[#This Row],[Accession Prefix (NPGS)]]&amp;" "&amp;Master[[#This Row],[Accession Number -Assigned]]</f>
        <v>W6 59629</v>
      </c>
      <c r="I43" s="7" t="e">
        <f>IF(#REF!="","",#REF!)</f>
        <v>#REF!</v>
      </c>
      <c r="J43" s="7" t="e">
        <f>IF(#REF!="","",#REF!)</f>
        <v>#REF!</v>
      </c>
    </row>
    <row r="44" spans="2:10" x14ac:dyDescent="0.25">
      <c r="B44" s="76" t="e">
        <f>IF(#REF!="","",#REF!)</f>
        <v>#REF!</v>
      </c>
      <c r="C44" s="45" t="e">
        <f>IF(#REF!="","",#REF!)</f>
        <v>#REF!</v>
      </c>
      <c r="D44" s="45" t="e">
        <f>IF(#REF!="","",#REF!)</f>
        <v>#REF!</v>
      </c>
      <c r="E44" s="76" t="e">
        <f>IF(#REF!="","",#REF!)</f>
        <v>#REF!</v>
      </c>
      <c r="F44" s="76" t="e">
        <f>IF(#REF!="","",#REF!)</f>
        <v>#REF!</v>
      </c>
      <c r="G44" s="152" t="str">
        <f>Master[[#This Row],[Accession Prefix (NPGS)]]&amp;" "&amp;Master[[#This Row],[Accession Number -Assigned]]</f>
        <v>W6 59630</v>
      </c>
      <c r="I44" s="7" t="e">
        <f>IF(#REF!="","",#REF!)</f>
        <v>#REF!</v>
      </c>
      <c r="J44" s="7" t="e">
        <f>IF(#REF!="","",#REF!)</f>
        <v>#REF!</v>
      </c>
    </row>
    <row r="45" spans="2:10" x14ac:dyDescent="0.25">
      <c r="B45" s="76" t="e">
        <f>IF(#REF!="","",#REF!)</f>
        <v>#REF!</v>
      </c>
      <c r="C45" s="45" t="e">
        <f>IF(#REF!="","",#REF!)</f>
        <v>#REF!</v>
      </c>
      <c r="D45" s="45" t="e">
        <f>IF(#REF!="","",#REF!)</f>
        <v>#REF!</v>
      </c>
      <c r="E45" s="76" t="e">
        <f>IF(#REF!="","",#REF!)</f>
        <v>#REF!</v>
      </c>
      <c r="F45" s="76" t="e">
        <f>IF(#REF!="","",#REF!)</f>
        <v>#REF!</v>
      </c>
      <c r="G45" s="152" t="str">
        <f>Master[[#This Row],[Accession Prefix (NPGS)]]&amp;" "&amp;Master[[#This Row],[Accession Number -Assigned]]</f>
        <v>W6 59631</v>
      </c>
      <c r="I45" s="7" t="e">
        <f>IF(#REF!="","",#REF!)</f>
        <v>#REF!</v>
      </c>
      <c r="J45" s="7" t="e">
        <f>IF(#REF!="","",#REF!)</f>
        <v>#REF!</v>
      </c>
    </row>
    <row r="46" spans="2:10" x14ac:dyDescent="0.25">
      <c r="B46" s="76" t="e">
        <f>IF(#REF!="","",#REF!)</f>
        <v>#REF!</v>
      </c>
      <c r="C46" s="45" t="e">
        <f>IF(#REF!="","",#REF!)</f>
        <v>#REF!</v>
      </c>
      <c r="D46" s="45" t="e">
        <f>IF(#REF!="","",#REF!)</f>
        <v>#REF!</v>
      </c>
      <c r="E46" s="76" t="e">
        <f>IF(#REF!="","",#REF!)</f>
        <v>#REF!</v>
      </c>
      <c r="F46" s="76" t="e">
        <f>IF(#REF!="","",#REF!)</f>
        <v>#REF!</v>
      </c>
      <c r="G46" s="152" t="str">
        <f>Master[[#This Row],[Accession Prefix (NPGS)]]&amp;" "&amp;Master[[#This Row],[Accession Number -Assigned]]</f>
        <v>W6 59632</v>
      </c>
      <c r="I46" s="7" t="e">
        <f>IF(#REF!="","",#REF!)</f>
        <v>#REF!</v>
      </c>
      <c r="J46" s="7" t="e">
        <f>IF(#REF!="","",#REF!)</f>
        <v>#REF!</v>
      </c>
    </row>
    <row r="47" spans="2:10" x14ac:dyDescent="0.25">
      <c r="B47" s="76" t="e">
        <f>IF(#REF!="","",#REF!)</f>
        <v>#REF!</v>
      </c>
      <c r="C47" s="45" t="e">
        <f>IF(#REF!="","",#REF!)</f>
        <v>#REF!</v>
      </c>
      <c r="D47" s="45" t="e">
        <f>IF(#REF!="","",#REF!)</f>
        <v>#REF!</v>
      </c>
      <c r="E47" s="76" t="e">
        <f>IF(#REF!="","",#REF!)</f>
        <v>#REF!</v>
      </c>
      <c r="F47" s="76" t="e">
        <f>IF(#REF!="","",#REF!)</f>
        <v>#REF!</v>
      </c>
      <c r="G47" s="152" t="str">
        <f>Master[[#This Row],[Accession Prefix (NPGS)]]&amp;" "&amp;Master[[#This Row],[Accession Number -Assigned]]</f>
        <v>W6 59633</v>
      </c>
      <c r="I47" s="7" t="e">
        <f>IF(#REF!="","",#REF!)</f>
        <v>#REF!</v>
      </c>
      <c r="J47" s="7" t="e">
        <f>IF(#REF!="","",#REF!)</f>
        <v>#REF!</v>
      </c>
    </row>
    <row r="48" spans="2:10" x14ac:dyDescent="0.25">
      <c r="B48" s="76" t="e">
        <f>IF(#REF!="","",#REF!)</f>
        <v>#REF!</v>
      </c>
      <c r="C48" s="45" t="e">
        <f>IF(#REF!="","",#REF!)</f>
        <v>#REF!</v>
      </c>
      <c r="D48" s="45" t="e">
        <f>IF(#REF!="","",#REF!)</f>
        <v>#REF!</v>
      </c>
      <c r="E48" s="76" t="e">
        <f>IF(#REF!="","",#REF!)</f>
        <v>#REF!</v>
      </c>
      <c r="F48" s="76" t="e">
        <f>IF(#REF!="","",#REF!)</f>
        <v>#REF!</v>
      </c>
      <c r="G48" s="152" t="str">
        <f>Master[[#This Row],[Accession Prefix (NPGS)]]&amp;" "&amp;Master[[#This Row],[Accession Number -Assigned]]</f>
        <v>W6 59634</v>
      </c>
      <c r="I48" s="7" t="e">
        <f>IF(#REF!="","",#REF!)</f>
        <v>#REF!</v>
      </c>
      <c r="J48" s="7" t="e">
        <f>IF(#REF!="","",#REF!)</f>
        <v>#REF!</v>
      </c>
    </row>
    <row r="49" spans="2:10" x14ac:dyDescent="0.25">
      <c r="B49" s="76" t="e">
        <f>IF(#REF!="","",#REF!)</f>
        <v>#REF!</v>
      </c>
      <c r="C49" s="45" t="e">
        <f>IF(#REF!="","",#REF!)</f>
        <v>#REF!</v>
      </c>
      <c r="D49" s="45" t="e">
        <f>IF(#REF!="","",#REF!)</f>
        <v>#REF!</v>
      </c>
      <c r="E49" s="76" t="e">
        <f>IF(#REF!="","",#REF!)</f>
        <v>#REF!</v>
      </c>
      <c r="F49" s="76" t="e">
        <f>IF(#REF!="","",#REF!)</f>
        <v>#REF!</v>
      </c>
      <c r="G49" s="152" t="str">
        <f>Master[[#This Row],[Accession Prefix (NPGS)]]&amp;" "&amp;Master[[#This Row],[Accession Number -Assigned]]</f>
        <v>W6 59635</v>
      </c>
      <c r="I49" s="7" t="e">
        <f>IF(#REF!="","",#REF!)</f>
        <v>#REF!</v>
      </c>
      <c r="J49" s="7" t="e">
        <f>IF(#REF!="","",#REF!)</f>
        <v>#REF!</v>
      </c>
    </row>
    <row r="50" spans="2:10" x14ac:dyDescent="0.25">
      <c r="B50" s="76" t="e">
        <f>IF(#REF!="","",#REF!)</f>
        <v>#REF!</v>
      </c>
      <c r="C50" s="45" t="e">
        <f>IF(#REF!="","",#REF!)</f>
        <v>#REF!</v>
      </c>
      <c r="D50" s="45" t="e">
        <f>IF(#REF!="","",#REF!)</f>
        <v>#REF!</v>
      </c>
      <c r="E50" s="76" t="e">
        <f>IF(#REF!="","",#REF!)</f>
        <v>#REF!</v>
      </c>
      <c r="F50" s="76" t="e">
        <f>IF(#REF!="","",#REF!)</f>
        <v>#REF!</v>
      </c>
      <c r="G50" s="152" t="str">
        <f>Master[[#This Row],[Accession Prefix (NPGS)]]&amp;" "&amp;Master[[#This Row],[Accession Number -Assigned]]</f>
        <v>W6 59636</v>
      </c>
      <c r="I50" s="7" t="e">
        <f>IF(#REF!="","",#REF!)</f>
        <v>#REF!</v>
      </c>
      <c r="J50" s="7" t="e">
        <f>IF(#REF!="","",#REF!)</f>
        <v>#REF!</v>
      </c>
    </row>
    <row r="51" spans="2:10" x14ac:dyDescent="0.25">
      <c r="B51" s="76" t="e">
        <f>IF(#REF!="","",#REF!)</f>
        <v>#REF!</v>
      </c>
      <c r="C51" s="45" t="e">
        <f>IF(#REF!="","",#REF!)</f>
        <v>#REF!</v>
      </c>
      <c r="D51" s="45" t="e">
        <f>IF(#REF!="","",#REF!)</f>
        <v>#REF!</v>
      </c>
      <c r="E51" s="76" t="e">
        <f>IF(#REF!="","",#REF!)</f>
        <v>#REF!</v>
      </c>
      <c r="F51" s="76" t="e">
        <f>IF(#REF!="","",#REF!)</f>
        <v>#REF!</v>
      </c>
      <c r="G51" s="152" t="str">
        <f>Master[[#This Row],[Accession Prefix (NPGS)]]&amp;" "&amp;Master[[#This Row],[Accession Number -Assigned]]</f>
        <v>W6 59637</v>
      </c>
      <c r="I51" s="7" t="e">
        <f>IF(#REF!="","",#REF!)</f>
        <v>#REF!</v>
      </c>
      <c r="J51" s="7" t="e">
        <f>IF(#REF!="","",#REF!)</f>
        <v>#REF!</v>
      </c>
    </row>
    <row r="52" spans="2:10" x14ac:dyDescent="0.25">
      <c r="B52" s="76" t="e">
        <f>IF(#REF!="","",#REF!)</f>
        <v>#REF!</v>
      </c>
      <c r="C52" s="45" t="e">
        <f>IF(#REF!="","",#REF!)</f>
        <v>#REF!</v>
      </c>
      <c r="D52" s="45" t="e">
        <f>IF(#REF!="","",#REF!)</f>
        <v>#REF!</v>
      </c>
      <c r="E52" s="76" t="e">
        <f>IF(#REF!="","",#REF!)</f>
        <v>#REF!</v>
      </c>
      <c r="F52" s="76" t="e">
        <f>IF(#REF!="","",#REF!)</f>
        <v>#REF!</v>
      </c>
      <c r="G52" s="152" t="str">
        <f>Master[[#This Row],[Accession Prefix (NPGS)]]&amp;" "&amp;Master[[#This Row],[Accession Number -Assigned]]</f>
        <v>W6 59638</v>
      </c>
      <c r="I52" s="7" t="e">
        <f>IF(#REF!="","",#REF!)</f>
        <v>#REF!</v>
      </c>
      <c r="J52" s="7" t="e">
        <f>IF(#REF!="","",#REF!)</f>
        <v>#REF!</v>
      </c>
    </row>
    <row r="53" spans="2:10" x14ac:dyDescent="0.25">
      <c r="B53" s="76" t="e">
        <f>IF(#REF!="","",#REF!)</f>
        <v>#REF!</v>
      </c>
      <c r="C53" s="45" t="e">
        <f>IF(#REF!="","",#REF!)</f>
        <v>#REF!</v>
      </c>
      <c r="D53" s="45" t="e">
        <f>IF(#REF!="","",#REF!)</f>
        <v>#REF!</v>
      </c>
      <c r="E53" s="76" t="e">
        <f>IF(#REF!="","",#REF!)</f>
        <v>#REF!</v>
      </c>
      <c r="F53" s="76" t="e">
        <f>IF(#REF!="","",#REF!)</f>
        <v>#REF!</v>
      </c>
      <c r="G53" s="152" t="str">
        <f>Master[[#This Row],[Accession Prefix (NPGS)]]&amp;" "&amp;Master[[#This Row],[Accession Number -Assigned]]</f>
        <v>W6 59639</v>
      </c>
      <c r="I53" s="7" t="e">
        <f>IF(#REF!="","",#REF!)</f>
        <v>#REF!</v>
      </c>
      <c r="J53" s="7" t="e">
        <f>IF(#REF!="","",#REF!)</f>
        <v>#REF!</v>
      </c>
    </row>
    <row r="54" spans="2:10" x14ac:dyDescent="0.25">
      <c r="B54" s="76" t="e">
        <f>IF(#REF!="","",#REF!)</f>
        <v>#REF!</v>
      </c>
      <c r="C54" s="45" t="e">
        <f>IF(#REF!="","",#REF!)</f>
        <v>#REF!</v>
      </c>
      <c r="D54" s="45" t="e">
        <f>IF(#REF!="","",#REF!)</f>
        <v>#REF!</v>
      </c>
      <c r="E54" s="76" t="e">
        <f>IF(#REF!="","",#REF!)</f>
        <v>#REF!</v>
      </c>
      <c r="F54" s="76" t="e">
        <f>IF(#REF!="","",#REF!)</f>
        <v>#REF!</v>
      </c>
      <c r="G54" s="152" t="str">
        <f>Master[[#This Row],[Accession Prefix (NPGS)]]&amp;" "&amp;Master[[#This Row],[Accession Number -Assigned]]</f>
        <v>W6 59640</v>
      </c>
      <c r="I54" s="7" t="e">
        <f>IF(#REF!="","",#REF!)</f>
        <v>#REF!</v>
      </c>
      <c r="J54" s="7" t="e">
        <f>IF(#REF!="","",#REF!)</f>
        <v>#REF!</v>
      </c>
    </row>
    <row r="55" spans="2:10" x14ac:dyDescent="0.25">
      <c r="B55" s="76" t="e">
        <f>IF(#REF!="","",#REF!)</f>
        <v>#REF!</v>
      </c>
      <c r="C55" s="45" t="e">
        <f>IF(#REF!="","",#REF!)</f>
        <v>#REF!</v>
      </c>
      <c r="D55" s="45" t="e">
        <f>IF(#REF!="","",#REF!)</f>
        <v>#REF!</v>
      </c>
      <c r="E55" s="76" t="e">
        <f>IF(#REF!="","",#REF!)</f>
        <v>#REF!</v>
      </c>
      <c r="F55" s="76" t="e">
        <f>IF(#REF!="","",#REF!)</f>
        <v>#REF!</v>
      </c>
      <c r="G55" s="152" t="str">
        <f>Master[[#This Row],[Accession Prefix (NPGS)]]&amp;" "&amp;Master[[#This Row],[Accession Number -Assigned]]</f>
        <v>W6 59641</v>
      </c>
      <c r="I55" s="7" t="e">
        <f>IF(#REF!="","",#REF!)</f>
        <v>#REF!</v>
      </c>
      <c r="J55" s="7" t="e">
        <f>IF(#REF!="","",#REF!)</f>
        <v>#REF!</v>
      </c>
    </row>
    <row r="56" spans="2:10" x14ac:dyDescent="0.25">
      <c r="B56" s="76" t="e">
        <f>IF(#REF!="","",#REF!)</f>
        <v>#REF!</v>
      </c>
      <c r="C56" s="45" t="e">
        <f>IF(#REF!="","",#REF!)</f>
        <v>#REF!</v>
      </c>
      <c r="D56" s="45" t="e">
        <f>IF(#REF!="","",#REF!)</f>
        <v>#REF!</v>
      </c>
      <c r="E56" s="76" t="e">
        <f>IF(#REF!="","",#REF!)</f>
        <v>#REF!</v>
      </c>
      <c r="F56" s="76" t="e">
        <f>IF(#REF!="","",#REF!)</f>
        <v>#REF!</v>
      </c>
      <c r="G56" s="152" t="str">
        <f>Master[[#This Row],[Accession Prefix (NPGS)]]&amp;" "&amp;Master[[#This Row],[Accession Number -Assigned]]</f>
        <v>W6 59642</v>
      </c>
      <c r="I56" s="7" t="e">
        <f>IF(#REF!="","",#REF!)</f>
        <v>#REF!</v>
      </c>
      <c r="J56" s="7" t="e">
        <f>IF(#REF!="","",#REF!)</f>
        <v>#REF!</v>
      </c>
    </row>
    <row r="57" spans="2:10" x14ac:dyDescent="0.25">
      <c r="B57" s="76" t="e">
        <f>IF(#REF!="","",#REF!)</f>
        <v>#REF!</v>
      </c>
      <c r="C57" s="45" t="e">
        <f>IF(#REF!="","",#REF!)</f>
        <v>#REF!</v>
      </c>
      <c r="D57" s="45" t="e">
        <f>IF(#REF!="","",#REF!)</f>
        <v>#REF!</v>
      </c>
      <c r="E57" s="76" t="e">
        <f>IF(#REF!="","",#REF!)</f>
        <v>#REF!</v>
      </c>
      <c r="F57" s="76" t="e">
        <f>IF(#REF!="","",#REF!)</f>
        <v>#REF!</v>
      </c>
      <c r="G57" s="152" t="str">
        <f>Master[[#This Row],[Accession Prefix (NPGS)]]&amp;" "&amp;Master[[#This Row],[Accession Number -Assigned]]</f>
        <v>W6 59643</v>
      </c>
      <c r="I57" s="7" t="e">
        <f>IF(#REF!="","",#REF!)</f>
        <v>#REF!</v>
      </c>
      <c r="J57" s="7" t="e">
        <f>IF(#REF!="","",#REF!)</f>
        <v>#REF!</v>
      </c>
    </row>
    <row r="58" spans="2:10" x14ac:dyDescent="0.25">
      <c r="B58" s="76" t="e">
        <f>IF(#REF!="","",#REF!)</f>
        <v>#REF!</v>
      </c>
      <c r="C58" s="45" t="e">
        <f>IF(#REF!="","",#REF!)</f>
        <v>#REF!</v>
      </c>
      <c r="D58" s="45" t="e">
        <f>IF(#REF!="","",#REF!)</f>
        <v>#REF!</v>
      </c>
      <c r="E58" s="76" t="e">
        <f>IF(#REF!="","",#REF!)</f>
        <v>#REF!</v>
      </c>
      <c r="F58" s="76" t="e">
        <f>IF(#REF!="","",#REF!)</f>
        <v>#REF!</v>
      </c>
      <c r="G58" s="152" t="str">
        <f>Master[[#This Row],[Accession Prefix (NPGS)]]&amp;" "&amp;Master[[#This Row],[Accession Number -Assigned]]</f>
        <v>W6 59644</v>
      </c>
      <c r="I58" s="7" t="e">
        <f>IF(#REF!="","",#REF!)</f>
        <v>#REF!</v>
      </c>
      <c r="J58" s="7" t="e">
        <f>IF(#REF!="","",#REF!)</f>
        <v>#REF!</v>
      </c>
    </row>
    <row r="59" spans="2:10" x14ac:dyDescent="0.25">
      <c r="B59" s="76" t="e">
        <f>IF(#REF!="","",#REF!)</f>
        <v>#REF!</v>
      </c>
      <c r="C59" s="45" t="e">
        <f>IF(#REF!="","",#REF!)</f>
        <v>#REF!</v>
      </c>
      <c r="D59" s="45" t="e">
        <f>IF(#REF!="","",#REF!)</f>
        <v>#REF!</v>
      </c>
      <c r="E59" s="76" t="e">
        <f>IF(#REF!="","",#REF!)</f>
        <v>#REF!</v>
      </c>
      <c r="F59" s="76" t="e">
        <f>IF(#REF!="","",#REF!)</f>
        <v>#REF!</v>
      </c>
      <c r="G59" s="152" t="str">
        <f>Master[[#This Row],[Accession Prefix (NPGS)]]&amp;" "&amp;Master[[#This Row],[Accession Number -Assigned]]</f>
        <v>W6 59645</v>
      </c>
      <c r="I59" s="7" t="e">
        <f>IF(#REF!="","",#REF!)</f>
        <v>#REF!</v>
      </c>
      <c r="J59" s="7" t="e">
        <f>IF(#REF!="","",#REF!)</f>
        <v>#REF!</v>
      </c>
    </row>
    <row r="60" spans="2:10" x14ac:dyDescent="0.25">
      <c r="B60" s="76" t="e">
        <f>IF(#REF!="","",#REF!)</f>
        <v>#REF!</v>
      </c>
      <c r="C60" s="45" t="e">
        <f>IF(#REF!="","",#REF!)</f>
        <v>#REF!</v>
      </c>
      <c r="D60" s="45" t="e">
        <f>IF(#REF!="","",#REF!)</f>
        <v>#REF!</v>
      </c>
      <c r="E60" s="76" t="e">
        <f>IF(#REF!="","",#REF!)</f>
        <v>#REF!</v>
      </c>
      <c r="F60" s="76" t="e">
        <f>IF(#REF!="","",#REF!)</f>
        <v>#REF!</v>
      </c>
      <c r="G60" s="152" t="str">
        <f>Master[[#This Row],[Accession Prefix (NPGS)]]&amp;" "&amp;Master[[#This Row],[Accession Number -Assigned]]</f>
        <v>W6 59646</v>
      </c>
      <c r="I60" s="7" t="e">
        <f>IF(#REF!="","",#REF!)</f>
        <v>#REF!</v>
      </c>
      <c r="J60" s="7" t="e">
        <f>IF(#REF!="","",#REF!)</f>
        <v>#REF!</v>
      </c>
    </row>
    <row r="61" spans="2:10" x14ac:dyDescent="0.25">
      <c r="B61" s="76" t="e">
        <f>IF(#REF!="","",#REF!)</f>
        <v>#REF!</v>
      </c>
      <c r="C61" s="45" t="e">
        <f>IF(#REF!="","",#REF!)</f>
        <v>#REF!</v>
      </c>
      <c r="D61" s="45" t="e">
        <f>IF(#REF!="","",#REF!)</f>
        <v>#REF!</v>
      </c>
      <c r="E61" s="76" t="e">
        <f>IF(#REF!="","",#REF!)</f>
        <v>#REF!</v>
      </c>
      <c r="F61" s="76" t="e">
        <f>IF(#REF!="","",#REF!)</f>
        <v>#REF!</v>
      </c>
      <c r="G61" s="152" t="str">
        <f>Master[[#This Row],[Accession Prefix (NPGS)]]&amp;" "&amp;Master[[#This Row],[Accession Number -Assigned]]</f>
        <v>W6 59647</v>
      </c>
      <c r="I61" s="7" t="e">
        <f>IF(#REF!="","",#REF!)</f>
        <v>#REF!</v>
      </c>
      <c r="J61" s="7" t="e">
        <f>IF(#REF!="","",#REF!)</f>
        <v>#REF!</v>
      </c>
    </row>
    <row r="62" spans="2:10" x14ac:dyDescent="0.25">
      <c r="B62" s="76" t="e">
        <f>IF(#REF!="","",#REF!)</f>
        <v>#REF!</v>
      </c>
      <c r="C62" s="45" t="e">
        <f>IF(#REF!="","",#REF!)</f>
        <v>#REF!</v>
      </c>
      <c r="D62" s="45" t="e">
        <f>IF(#REF!="","",#REF!)</f>
        <v>#REF!</v>
      </c>
      <c r="E62" s="76" t="e">
        <f>IF(#REF!="","",#REF!)</f>
        <v>#REF!</v>
      </c>
      <c r="F62" s="76" t="e">
        <f>IF(#REF!="","",#REF!)</f>
        <v>#REF!</v>
      </c>
      <c r="G62" s="152" t="str">
        <f>Master[[#This Row],[Accession Prefix (NPGS)]]&amp;" "&amp;Master[[#This Row],[Accession Number -Assigned]]</f>
        <v>W6 59648</v>
      </c>
      <c r="I62" s="7" t="e">
        <f>IF(#REF!="","",#REF!)</f>
        <v>#REF!</v>
      </c>
      <c r="J62" s="7" t="e">
        <f>IF(#REF!="","",#REF!)</f>
        <v>#REF!</v>
      </c>
    </row>
    <row r="63" spans="2:10" x14ac:dyDescent="0.25">
      <c r="B63" s="76" t="e">
        <f>IF(#REF!="","",#REF!)</f>
        <v>#REF!</v>
      </c>
      <c r="C63" s="45" t="e">
        <f>IF(#REF!="","",#REF!)</f>
        <v>#REF!</v>
      </c>
      <c r="D63" s="45" t="e">
        <f>IF(#REF!="","",#REF!)</f>
        <v>#REF!</v>
      </c>
      <c r="E63" s="76" t="e">
        <f>IF(#REF!="","",#REF!)</f>
        <v>#REF!</v>
      </c>
      <c r="F63" s="76" t="e">
        <f>IF(#REF!="","",#REF!)</f>
        <v>#REF!</v>
      </c>
      <c r="G63" s="152" t="str">
        <f>Master[[#This Row],[Accession Prefix (NPGS)]]&amp;" "&amp;Master[[#This Row],[Accession Number -Assigned]]</f>
        <v>W6 59649</v>
      </c>
      <c r="I63" s="7" t="e">
        <f>IF(#REF!="","",#REF!)</f>
        <v>#REF!</v>
      </c>
      <c r="J63" s="7" t="e">
        <f>IF(#REF!="","",#REF!)</f>
        <v>#REF!</v>
      </c>
    </row>
    <row r="64" spans="2:10" x14ac:dyDescent="0.25">
      <c r="B64" s="76" t="e">
        <f>IF(#REF!="","",#REF!)</f>
        <v>#REF!</v>
      </c>
      <c r="C64" s="45" t="e">
        <f>IF(#REF!="","",#REF!)</f>
        <v>#REF!</v>
      </c>
      <c r="D64" s="45" t="e">
        <f>IF(#REF!="","",#REF!)</f>
        <v>#REF!</v>
      </c>
      <c r="E64" s="76" t="e">
        <f>IF(#REF!="","",#REF!)</f>
        <v>#REF!</v>
      </c>
      <c r="F64" s="76" t="e">
        <f>IF(#REF!="","",#REF!)</f>
        <v>#REF!</v>
      </c>
      <c r="G64" s="152" t="str">
        <f>Master[[#This Row],[Accession Prefix (NPGS)]]&amp;" "&amp;Master[[#This Row],[Accession Number -Assigned]]</f>
        <v>W6 59650</v>
      </c>
      <c r="I64" s="7" t="e">
        <f>IF(#REF!="","",#REF!)</f>
        <v>#REF!</v>
      </c>
      <c r="J64" s="7" t="e">
        <f>IF(#REF!="","",#REF!)</f>
        <v>#REF!</v>
      </c>
    </row>
    <row r="65" spans="2:10" x14ac:dyDescent="0.25">
      <c r="B65" s="76" t="e">
        <f>IF(#REF!="","",#REF!)</f>
        <v>#REF!</v>
      </c>
      <c r="C65" s="45" t="e">
        <f>IF(#REF!="","",#REF!)</f>
        <v>#REF!</v>
      </c>
      <c r="D65" s="45" t="e">
        <f>IF(#REF!="","",#REF!)</f>
        <v>#REF!</v>
      </c>
      <c r="E65" s="76" t="e">
        <f>IF(#REF!="","",#REF!)</f>
        <v>#REF!</v>
      </c>
      <c r="F65" s="76" t="e">
        <f>IF(#REF!="","",#REF!)</f>
        <v>#REF!</v>
      </c>
      <c r="G65" s="152" t="str">
        <f>Master[[#This Row],[Accession Prefix (NPGS)]]&amp;" "&amp;Master[[#This Row],[Accession Number -Assigned]]</f>
        <v>W6 59651</v>
      </c>
      <c r="I65" s="7" t="e">
        <f>IF(#REF!="","",#REF!)</f>
        <v>#REF!</v>
      </c>
      <c r="J65" s="7" t="e">
        <f>IF(#REF!="","",#REF!)</f>
        <v>#REF!</v>
      </c>
    </row>
    <row r="66" spans="2:10" x14ac:dyDescent="0.25">
      <c r="B66" s="76" t="e">
        <f>IF(#REF!="","",#REF!)</f>
        <v>#REF!</v>
      </c>
      <c r="C66" s="45" t="e">
        <f>IF(#REF!="","",#REF!)</f>
        <v>#REF!</v>
      </c>
      <c r="D66" s="45" t="e">
        <f>IF(#REF!="","",#REF!)</f>
        <v>#REF!</v>
      </c>
      <c r="E66" s="76" t="e">
        <f>IF(#REF!="","",#REF!)</f>
        <v>#REF!</v>
      </c>
      <c r="F66" s="76" t="e">
        <f>IF(#REF!="","",#REF!)</f>
        <v>#REF!</v>
      </c>
      <c r="G66" s="152" t="str">
        <f>Master[[#This Row],[Accession Prefix (NPGS)]]&amp;" "&amp;Master[[#This Row],[Accession Number -Assigned]]</f>
        <v>W6 59652</v>
      </c>
      <c r="I66" s="7" t="e">
        <f>IF(#REF!="","",#REF!)</f>
        <v>#REF!</v>
      </c>
      <c r="J66" s="7" t="e">
        <f>IF(#REF!="","",#REF!)</f>
        <v>#REF!</v>
      </c>
    </row>
    <row r="67" spans="2:10" x14ac:dyDescent="0.25">
      <c r="B67" s="76" t="e">
        <f>IF(#REF!="","",#REF!)</f>
        <v>#REF!</v>
      </c>
      <c r="C67" s="45" t="e">
        <f>IF(#REF!="","",#REF!)</f>
        <v>#REF!</v>
      </c>
      <c r="D67" s="45" t="e">
        <f>IF(#REF!="","",#REF!)</f>
        <v>#REF!</v>
      </c>
      <c r="E67" s="76" t="e">
        <f>IF(#REF!="","",#REF!)</f>
        <v>#REF!</v>
      </c>
      <c r="F67" s="76" t="e">
        <f>IF(#REF!="","",#REF!)</f>
        <v>#REF!</v>
      </c>
      <c r="G67" s="152" t="str">
        <f>Master[[#This Row],[Accession Prefix (NPGS)]]&amp;" "&amp;Master[[#This Row],[Accession Number -Assigned]]</f>
        <v>W6 59653</v>
      </c>
      <c r="I67" s="7" t="e">
        <f>IF(#REF!="","",#REF!)</f>
        <v>#REF!</v>
      </c>
      <c r="J67" s="7" t="e">
        <f>IF(#REF!="","",#REF!)</f>
        <v>#REF!</v>
      </c>
    </row>
    <row r="68" spans="2:10" x14ac:dyDescent="0.25">
      <c r="B68" s="76" t="e">
        <f>IF(#REF!="","",#REF!)</f>
        <v>#REF!</v>
      </c>
      <c r="C68" s="45" t="e">
        <f>IF(#REF!="","",#REF!)</f>
        <v>#REF!</v>
      </c>
      <c r="D68" s="45" t="e">
        <f>IF(#REF!="","",#REF!)</f>
        <v>#REF!</v>
      </c>
      <c r="E68" s="76" t="e">
        <f>IF(#REF!="","",#REF!)</f>
        <v>#REF!</v>
      </c>
      <c r="F68" s="76" t="e">
        <f>IF(#REF!="","",#REF!)</f>
        <v>#REF!</v>
      </c>
      <c r="G68" s="152" t="str">
        <f>Master[[#This Row],[Accession Prefix (NPGS)]]&amp;" "&amp;Master[[#This Row],[Accession Number -Assigned]]</f>
        <v>W6 59654</v>
      </c>
      <c r="I68" s="7" t="e">
        <f>IF(#REF!="","",#REF!)</f>
        <v>#REF!</v>
      </c>
      <c r="J68" s="7" t="e">
        <f>IF(#REF!="","",#REF!)</f>
        <v>#REF!</v>
      </c>
    </row>
    <row r="69" spans="2:10" x14ac:dyDescent="0.25">
      <c r="B69" s="76" t="e">
        <f>IF(#REF!="","",#REF!)</f>
        <v>#REF!</v>
      </c>
      <c r="C69" s="45" t="e">
        <f>IF(#REF!="","",#REF!)</f>
        <v>#REF!</v>
      </c>
      <c r="D69" s="45" t="e">
        <f>IF(#REF!="","",#REF!)</f>
        <v>#REF!</v>
      </c>
      <c r="E69" s="76" t="e">
        <f>IF(#REF!="","",#REF!)</f>
        <v>#REF!</v>
      </c>
      <c r="F69" s="76" t="e">
        <f>IF(#REF!="","",#REF!)</f>
        <v>#REF!</v>
      </c>
      <c r="G69" s="152" t="str">
        <f>Master[[#This Row],[Accession Prefix (NPGS)]]&amp;" "&amp;Master[[#This Row],[Accession Number -Assigned]]</f>
        <v>W6 59655</v>
      </c>
      <c r="I69" s="7" t="e">
        <f>IF(#REF!="","",#REF!)</f>
        <v>#REF!</v>
      </c>
      <c r="J69" s="7" t="e">
        <f>IF(#REF!="","",#REF!)</f>
        <v>#REF!</v>
      </c>
    </row>
    <row r="70" spans="2:10" x14ac:dyDescent="0.25">
      <c r="B70" s="76" t="e">
        <f>IF(#REF!="","",#REF!)</f>
        <v>#REF!</v>
      </c>
      <c r="C70" s="45" t="e">
        <f>IF(#REF!="","",#REF!)</f>
        <v>#REF!</v>
      </c>
      <c r="D70" s="45" t="e">
        <f>IF(#REF!="","",#REF!)</f>
        <v>#REF!</v>
      </c>
      <c r="E70" s="76" t="e">
        <f>IF(#REF!="","",#REF!)</f>
        <v>#REF!</v>
      </c>
      <c r="F70" s="76" t="e">
        <f>IF(#REF!="","",#REF!)</f>
        <v>#REF!</v>
      </c>
      <c r="G70" s="152" t="str">
        <f>Master[[#This Row],[Accession Prefix (NPGS)]]&amp;" "&amp;Master[[#This Row],[Accession Number -Assigned]]</f>
        <v>W6 59656</v>
      </c>
      <c r="I70" s="7" t="e">
        <f>IF(#REF!="","",#REF!)</f>
        <v>#REF!</v>
      </c>
      <c r="J70" s="7" t="e">
        <f>IF(#REF!="","",#REF!)</f>
        <v>#REF!</v>
      </c>
    </row>
    <row r="71" spans="2:10" x14ac:dyDescent="0.25">
      <c r="B71" s="76" t="e">
        <f>IF(#REF!="","",#REF!)</f>
        <v>#REF!</v>
      </c>
      <c r="C71" s="45" t="e">
        <f>IF(#REF!="","",#REF!)</f>
        <v>#REF!</v>
      </c>
      <c r="D71" s="45" t="e">
        <f>IF(#REF!="","",#REF!)</f>
        <v>#REF!</v>
      </c>
      <c r="E71" s="76" t="e">
        <f>IF(#REF!="","",#REF!)</f>
        <v>#REF!</v>
      </c>
      <c r="F71" s="76" t="e">
        <f>IF(#REF!="","",#REF!)</f>
        <v>#REF!</v>
      </c>
      <c r="G71" s="152" t="str">
        <f>Master[[#This Row],[Accession Prefix (NPGS)]]&amp;" "&amp;Master[[#This Row],[Accession Number -Assigned]]</f>
        <v>W6 59657</v>
      </c>
      <c r="I71" s="7" t="e">
        <f>IF(#REF!="","",#REF!)</f>
        <v>#REF!</v>
      </c>
      <c r="J71" s="7" t="e">
        <f>IF(#REF!="","",#REF!)</f>
        <v>#REF!</v>
      </c>
    </row>
    <row r="72" spans="2:10" x14ac:dyDescent="0.25">
      <c r="B72" s="76" t="e">
        <f>IF(#REF!="","",#REF!)</f>
        <v>#REF!</v>
      </c>
      <c r="C72" s="45" t="e">
        <f>IF(#REF!="","",#REF!)</f>
        <v>#REF!</v>
      </c>
      <c r="D72" s="45" t="e">
        <f>IF(#REF!="","",#REF!)</f>
        <v>#REF!</v>
      </c>
      <c r="E72" s="76" t="e">
        <f>IF(#REF!="","",#REF!)</f>
        <v>#REF!</v>
      </c>
      <c r="F72" s="76" t="e">
        <f>IF(#REF!="","",#REF!)</f>
        <v>#REF!</v>
      </c>
      <c r="G72" s="152" t="str">
        <f>Master[[#This Row],[Accession Prefix (NPGS)]]&amp;" "&amp;Master[[#This Row],[Accession Number -Assigned]]</f>
        <v>W6 59658</v>
      </c>
      <c r="I72" s="7" t="e">
        <f>IF(#REF!="","",#REF!)</f>
        <v>#REF!</v>
      </c>
      <c r="J72" s="7" t="e">
        <f>IF(#REF!="","",#REF!)</f>
        <v>#REF!</v>
      </c>
    </row>
    <row r="73" spans="2:10" x14ac:dyDescent="0.25">
      <c r="B73" s="76" t="e">
        <f>IF(#REF!="","",#REF!)</f>
        <v>#REF!</v>
      </c>
      <c r="C73" s="45" t="e">
        <f>IF(#REF!="","",#REF!)</f>
        <v>#REF!</v>
      </c>
      <c r="D73" s="45" t="e">
        <f>IF(#REF!="","",#REF!)</f>
        <v>#REF!</v>
      </c>
      <c r="E73" s="76" t="e">
        <f>IF(#REF!="","",#REF!)</f>
        <v>#REF!</v>
      </c>
      <c r="F73" s="76" t="e">
        <f>IF(#REF!="","",#REF!)</f>
        <v>#REF!</v>
      </c>
      <c r="G73" s="152" t="str">
        <f>Master[[#This Row],[Accession Prefix (NPGS)]]&amp;" "&amp;Master[[#This Row],[Accession Number -Assigned]]</f>
        <v>W6 59659</v>
      </c>
      <c r="I73" s="7" t="e">
        <f>IF(#REF!="","",#REF!)</f>
        <v>#REF!</v>
      </c>
      <c r="J73" s="7" t="e">
        <f>IF(#REF!="","",#REF!)</f>
        <v>#REF!</v>
      </c>
    </row>
    <row r="74" spans="2:10" x14ac:dyDescent="0.25">
      <c r="B74" s="76" t="e">
        <f>IF(#REF!="","",#REF!)</f>
        <v>#REF!</v>
      </c>
      <c r="C74" s="45" t="e">
        <f>IF(#REF!="","",#REF!)</f>
        <v>#REF!</v>
      </c>
      <c r="D74" s="45" t="e">
        <f>IF(#REF!="","",#REF!)</f>
        <v>#REF!</v>
      </c>
      <c r="E74" s="76" t="e">
        <f>IF(#REF!="","",#REF!)</f>
        <v>#REF!</v>
      </c>
      <c r="F74" s="76" t="e">
        <f>IF(#REF!="","",#REF!)</f>
        <v>#REF!</v>
      </c>
      <c r="G74" s="152" t="str">
        <f>Master[[#This Row],[Accession Prefix (NPGS)]]&amp;" "&amp;Master[[#This Row],[Accession Number -Assigned]]</f>
        <v>W6 59660</v>
      </c>
      <c r="I74" s="7" t="e">
        <f>IF(#REF!="","",#REF!)</f>
        <v>#REF!</v>
      </c>
      <c r="J74" s="7" t="e">
        <f>IF(#REF!="","",#REF!)</f>
        <v>#REF!</v>
      </c>
    </row>
    <row r="75" spans="2:10" x14ac:dyDescent="0.25">
      <c r="B75" s="76" t="e">
        <f>IF(#REF!="","",#REF!)</f>
        <v>#REF!</v>
      </c>
      <c r="C75" s="45" t="e">
        <f>IF(#REF!="","",#REF!)</f>
        <v>#REF!</v>
      </c>
      <c r="D75" s="45" t="e">
        <f>IF(#REF!="","",#REF!)</f>
        <v>#REF!</v>
      </c>
      <c r="E75" s="76" t="e">
        <f>IF(#REF!="","",#REF!)</f>
        <v>#REF!</v>
      </c>
      <c r="F75" s="76" t="e">
        <f>IF(#REF!="","",#REF!)</f>
        <v>#REF!</v>
      </c>
      <c r="G75" s="152" t="str">
        <f>Master[[#This Row],[Accession Prefix (NPGS)]]&amp;" "&amp;Master[[#This Row],[Accession Number -Assigned]]</f>
        <v>W6 59661</v>
      </c>
      <c r="I75" s="7" t="e">
        <f>IF(#REF!="","",#REF!)</f>
        <v>#REF!</v>
      </c>
      <c r="J75" s="7" t="e">
        <f>IF(#REF!="","",#REF!)</f>
        <v>#REF!</v>
      </c>
    </row>
    <row r="76" spans="2:10" x14ac:dyDescent="0.25">
      <c r="B76" s="76" t="e">
        <f>IF(#REF!="","",#REF!)</f>
        <v>#REF!</v>
      </c>
      <c r="C76" s="45" t="e">
        <f>IF(#REF!="","",#REF!)</f>
        <v>#REF!</v>
      </c>
      <c r="D76" s="45" t="e">
        <f>IF(#REF!="","",#REF!)</f>
        <v>#REF!</v>
      </c>
      <c r="E76" s="76" t="e">
        <f>IF(#REF!="","",#REF!)</f>
        <v>#REF!</v>
      </c>
      <c r="F76" s="76" t="e">
        <f>IF(#REF!="","",#REF!)</f>
        <v>#REF!</v>
      </c>
      <c r="G76" s="152" t="str">
        <f>Master[[#This Row],[Accession Prefix (NPGS)]]&amp;" "&amp;Master[[#This Row],[Accession Number -Assigned]]</f>
        <v>W6 59662</v>
      </c>
      <c r="I76" s="7" t="e">
        <f>IF(#REF!="","",#REF!)</f>
        <v>#REF!</v>
      </c>
      <c r="J76" s="7" t="e">
        <f>IF(#REF!="","",#REF!)</f>
        <v>#REF!</v>
      </c>
    </row>
    <row r="77" spans="2:10" x14ac:dyDescent="0.25">
      <c r="B77" s="76" t="e">
        <f>IF(#REF!="","",#REF!)</f>
        <v>#REF!</v>
      </c>
      <c r="C77" s="45" t="e">
        <f>IF(#REF!="","",#REF!)</f>
        <v>#REF!</v>
      </c>
      <c r="D77" s="45" t="e">
        <f>IF(#REF!="","",#REF!)</f>
        <v>#REF!</v>
      </c>
      <c r="E77" s="76" t="e">
        <f>IF(#REF!="","",#REF!)</f>
        <v>#REF!</v>
      </c>
      <c r="F77" s="76" t="e">
        <f>IF(#REF!="","",#REF!)</f>
        <v>#REF!</v>
      </c>
      <c r="G77" s="152" t="str">
        <f>Master[[#This Row],[Accession Prefix (NPGS)]]&amp;" "&amp;Master[[#This Row],[Accession Number -Assigned]]</f>
        <v>W6 59663</v>
      </c>
      <c r="I77" s="7" t="e">
        <f>IF(#REF!="","",#REF!)</f>
        <v>#REF!</v>
      </c>
      <c r="J77" s="7" t="e">
        <f>IF(#REF!="","",#REF!)</f>
        <v>#REF!</v>
      </c>
    </row>
    <row r="78" spans="2:10" x14ac:dyDescent="0.25">
      <c r="B78" s="76" t="e">
        <f>IF(#REF!="","",#REF!)</f>
        <v>#REF!</v>
      </c>
      <c r="C78" s="45" t="e">
        <f>IF(#REF!="","",#REF!)</f>
        <v>#REF!</v>
      </c>
      <c r="D78" s="45" t="e">
        <f>IF(#REF!="","",#REF!)</f>
        <v>#REF!</v>
      </c>
      <c r="E78" s="76" t="e">
        <f>IF(#REF!="","",#REF!)</f>
        <v>#REF!</v>
      </c>
      <c r="F78" s="76" t="e">
        <f>IF(#REF!="","",#REF!)</f>
        <v>#REF!</v>
      </c>
      <c r="G78" s="152" t="str">
        <f>Master[[#This Row],[Accession Prefix (NPGS)]]&amp;" "&amp;Master[[#This Row],[Accession Number -Assigned]]</f>
        <v>W6 59664</v>
      </c>
      <c r="I78" s="7" t="e">
        <f>IF(#REF!="","",#REF!)</f>
        <v>#REF!</v>
      </c>
      <c r="J78" s="7" t="e">
        <f>IF(#REF!="","",#REF!)</f>
        <v>#REF!</v>
      </c>
    </row>
    <row r="79" spans="2:10" x14ac:dyDescent="0.25">
      <c r="B79" s="76" t="e">
        <f>IF(#REF!="","",#REF!)</f>
        <v>#REF!</v>
      </c>
      <c r="C79" s="45" t="e">
        <f>IF(#REF!="","",#REF!)</f>
        <v>#REF!</v>
      </c>
      <c r="D79" s="45" t="e">
        <f>IF(#REF!="","",#REF!)</f>
        <v>#REF!</v>
      </c>
      <c r="E79" s="76" t="e">
        <f>IF(#REF!="","",#REF!)</f>
        <v>#REF!</v>
      </c>
      <c r="F79" s="76" t="e">
        <f>IF(#REF!="","",#REF!)</f>
        <v>#REF!</v>
      </c>
      <c r="G79" s="152" t="str">
        <f>Master[[#This Row],[Accession Prefix (NPGS)]]&amp;" "&amp;Master[[#This Row],[Accession Number -Assigned]]</f>
        <v>W6 59665</v>
      </c>
      <c r="I79" s="7" t="e">
        <f>IF(#REF!="","",#REF!)</f>
        <v>#REF!</v>
      </c>
      <c r="J79" s="7" t="e">
        <f>IF(#REF!="","",#REF!)</f>
        <v>#REF!</v>
      </c>
    </row>
    <row r="80" spans="2:10" x14ac:dyDescent="0.25">
      <c r="B80" s="76" t="e">
        <f>IF(#REF!="","",#REF!)</f>
        <v>#REF!</v>
      </c>
      <c r="C80" s="45" t="e">
        <f>IF(#REF!="","",#REF!)</f>
        <v>#REF!</v>
      </c>
      <c r="D80" s="45" t="e">
        <f>IF(#REF!="","",#REF!)</f>
        <v>#REF!</v>
      </c>
      <c r="E80" s="76" t="e">
        <f>IF(#REF!="","",#REF!)</f>
        <v>#REF!</v>
      </c>
      <c r="F80" s="76" t="e">
        <f>IF(#REF!="","",#REF!)</f>
        <v>#REF!</v>
      </c>
      <c r="G80" s="152" t="str">
        <f>Master[[#This Row],[Accession Prefix (NPGS)]]&amp;" "&amp;Master[[#This Row],[Accession Number -Assigned]]</f>
        <v>W6 59666</v>
      </c>
      <c r="I80" s="7" t="e">
        <f>IF(#REF!="","",#REF!)</f>
        <v>#REF!</v>
      </c>
      <c r="J80" s="7" t="e">
        <f>IF(#REF!="","",#REF!)</f>
        <v>#REF!</v>
      </c>
    </row>
    <row r="81" spans="2:10" x14ac:dyDescent="0.25">
      <c r="B81" s="76" t="e">
        <f>IF(#REF!="","",#REF!)</f>
        <v>#REF!</v>
      </c>
      <c r="C81" s="45" t="e">
        <f>IF(#REF!="","",#REF!)</f>
        <v>#REF!</v>
      </c>
      <c r="D81" s="45" t="e">
        <f>IF(#REF!="","",#REF!)</f>
        <v>#REF!</v>
      </c>
      <c r="E81" s="76" t="e">
        <f>IF(#REF!="","",#REF!)</f>
        <v>#REF!</v>
      </c>
      <c r="F81" s="76" t="e">
        <f>IF(#REF!="","",#REF!)</f>
        <v>#REF!</v>
      </c>
      <c r="G81" s="152" t="str">
        <f>Master[[#This Row],[Accession Prefix (NPGS)]]&amp;" "&amp;Master[[#This Row],[Accession Number -Assigned]]</f>
        <v>W6 59667</v>
      </c>
      <c r="I81" s="7" t="e">
        <f>IF(#REF!="","",#REF!)</f>
        <v>#REF!</v>
      </c>
      <c r="J81" s="7" t="e">
        <f>IF(#REF!="","",#REF!)</f>
        <v>#REF!</v>
      </c>
    </row>
    <row r="82" spans="2:10" x14ac:dyDescent="0.25">
      <c r="B82" s="76" t="e">
        <f>IF(#REF!="","",#REF!)</f>
        <v>#REF!</v>
      </c>
      <c r="C82" s="45" t="e">
        <f>IF(#REF!="","",#REF!)</f>
        <v>#REF!</v>
      </c>
      <c r="D82" s="45" t="e">
        <f>IF(#REF!="","",#REF!)</f>
        <v>#REF!</v>
      </c>
      <c r="E82" s="76" t="e">
        <f>IF(#REF!="","",#REF!)</f>
        <v>#REF!</v>
      </c>
      <c r="F82" s="76" t="e">
        <f>IF(#REF!="","",#REF!)</f>
        <v>#REF!</v>
      </c>
      <c r="G82" s="152" t="str">
        <f>Master[[#This Row],[Accession Prefix (NPGS)]]&amp;" "&amp;Master[[#This Row],[Accession Number -Assigned]]</f>
        <v>W6 59668</v>
      </c>
      <c r="I82" s="7" t="e">
        <f>IF(#REF!="","",#REF!)</f>
        <v>#REF!</v>
      </c>
      <c r="J82" s="7" t="e">
        <f>IF(#REF!="","",#REF!)</f>
        <v>#REF!</v>
      </c>
    </row>
    <row r="83" spans="2:10" x14ac:dyDescent="0.25">
      <c r="B83" s="76" t="e">
        <f>IF(#REF!="","",#REF!)</f>
        <v>#REF!</v>
      </c>
      <c r="C83" s="45" t="e">
        <f>IF(#REF!="","",#REF!)</f>
        <v>#REF!</v>
      </c>
      <c r="D83" s="45" t="e">
        <f>IF(#REF!="","",#REF!)</f>
        <v>#REF!</v>
      </c>
      <c r="E83" s="76" t="e">
        <f>IF(#REF!="","",#REF!)</f>
        <v>#REF!</v>
      </c>
      <c r="F83" s="76" t="e">
        <f>IF(#REF!="","",#REF!)</f>
        <v>#REF!</v>
      </c>
      <c r="G83" s="152" t="str">
        <f>Master[[#This Row],[Accession Prefix (NPGS)]]&amp;" "&amp;Master[[#This Row],[Accession Number -Assigned]]</f>
        <v>W6 59669</v>
      </c>
      <c r="I83" s="7" t="e">
        <f>IF(#REF!="","",#REF!)</f>
        <v>#REF!</v>
      </c>
      <c r="J83" s="7" t="e">
        <f>IF(#REF!="","",#REF!)</f>
        <v>#REF!</v>
      </c>
    </row>
    <row r="84" spans="2:10" x14ac:dyDescent="0.25">
      <c r="B84" s="76" t="e">
        <f>IF(#REF!="","",#REF!)</f>
        <v>#REF!</v>
      </c>
      <c r="C84" s="45" t="e">
        <f>IF(#REF!="","",#REF!)</f>
        <v>#REF!</v>
      </c>
      <c r="D84" s="45" t="e">
        <f>IF(#REF!="","",#REF!)</f>
        <v>#REF!</v>
      </c>
      <c r="E84" s="76" t="e">
        <f>IF(#REF!="","",#REF!)</f>
        <v>#REF!</v>
      </c>
      <c r="F84" s="76" t="e">
        <f>IF(#REF!="","",#REF!)</f>
        <v>#REF!</v>
      </c>
      <c r="G84" s="152" t="str">
        <f>Master[[#This Row],[Accession Prefix (NPGS)]]&amp;" "&amp;Master[[#This Row],[Accession Number -Assigned]]</f>
        <v>W6 59670</v>
      </c>
      <c r="I84" s="7" t="e">
        <f>IF(#REF!="","",#REF!)</f>
        <v>#REF!</v>
      </c>
      <c r="J84" s="7" t="e">
        <f>IF(#REF!="","",#REF!)</f>
        <v>#REF!</v>
      </c>
    </row>
    <row r="85" spans="2:10" x14ac:dyDescent="0.25">
      <c r="B85" s="76" t="e">
        <f>IF(#REF!="","",#REF!)</f>
        <v>#REF!</v>
      </c>
      <c r="C85" s="45" t="e">
        <f>IF(#REF!="","",#REF!)</f>
        <v>#REF!</v>
      </c>
      <c r="D85" s="45" t="e">
        <f>IF(#REF!="","",#REF!)</f>
        <v>#REF!</v>
      </c>
      <c r="E85" s="76" t="e">
        <f>IF(#REF!="","",#REF!)</f>
        <v>#REF!</v>
      </c>
      <c r="F85" s="76" t="e">
        <f>IF(#REF!="","",#REF!)</f>
        <v>#REF!</v>
      </c>
      <c r="G85" s="152" t="str">
        <f>Master[[#This Row],[Accession Prefix (NPGS)]]&amp;" "&amp;Master[[#This Row],[Accession Number -Assigned]]</f>
        <v>W6 59671</v>
      </c>
      <c r="I85" s="7" t="e">
        <f>IF(#REF!="","",#REF!)</f>
        <v>#REF!</v>
      </c>
      <c r="J85" s="7" t="e">
        <f>IF(#REF!="","",#REF!)</f>
        <v>#REF!</v>
      </c>
    </row>
    <row r="86" spans="2:10" x14ac:dyDescent="0.25">
      <c r="B86" s="76" t="e">
        <f>IF(#REF!="","",#REF!)</f>
        <v>#REF!</v>
      </c>
      <c r="C86" s="45" t="e">
        <f>IF(#REF!="","",#REF!)</f>
        <v>#REF!</v>
      </c>
      <c r="D86" s="45" t="e">
        <f>IF(#REF!="","",#REF!)</f>
        <v>#REF!</v>
      </c>
      <c r="E86" s="76" t="e">
        <f>IF(#REF!="","",#REF!)</f>
        <v>#REF!</v>
      </c>
      <c r="F86" s="76" t="e">
        <f>IF(#REF!="","",#REF!)</f>
        <v>#REF!</v>
      </c>
      <c r="G86" s="152" t="str">
        <f>Master[[#This Row],[Accession Prefix (NPGS)]]&amp;" "&amp;Master[[#This Row],[Accession Number -Assigned]]</f>
        <v>W6 59672</v>
      </c>
      <c r="I86" s="7" t="e">
        <f>IF(#REF!="","",#REF!)</f>
        <v>#REF!</v>
      </c>
      <c r="J86" s="7" t="e">
        <f>IF(#REF!="","",#REF!)</f>
        <v>#REF!</v>
      </c>
    </row>
    <row r="87" spans="2:10" x14ac:dyDescent="0.25">
      <c r="B87" s="76" t="e">
        <f>IF(#REF!="","",#REF!)</f>
        <v>#REF!</v>
      </c>
      <c r="C87" s="45" t="e">
        <f>IF(#REF!="","",#REF!)</f>
        <v>#REF!</v>
      </c>
      <c r="D87" s="45" t="e">
        <f>IF(#REF!="","",#REF!)</f>
        <v>#REF!</v>
      </c>
      <c r="E87" s="76" t="e">
        <f>IF(#REF!="","",#REF!)</f>
        <v>#REF!</v>
      </c>
      <c r="F87" s="76" t="e">
        <f>IF(#REF!="","",#REF!)</f>
        <v>#REF!</v>
      </c>
      <c r="G87" s="152" t="str">
        <f>Master[[#This Row],[Accession Prefix (NPGS)]]&amp;" "&amp;Master[[#This Row],[Accession Number -Assigned]]</f>
        <v>W6 59673</v>
      </c>
      <c r="I87" s="7" t="e">
        <f>IF(#REF!="","",#REF!)</f>
        <v>#REF!</v>
      </c>
      <c r="J87" s="7" t="e">
        <f>IF(#REF!="","",#REF!)</f>
        <v>#REF!</v>
      </c>
    </row>
    <row r="88" spans="2:10" x14ac:dyDescent="0.25">
      <c r="B88" s="76" t="e">
        <f>IF(#REF!="","",#REF!)</f>
        <v>#REF!</v>
      </c>
      <c r="C88" s="45" t="e">
        <f>IF(#REF!="","",#REF!)</f>
        <v>#REF!</v>
      </c>
      <c r="D88" s="45" t="e">
        <f>IF(#REF!="","",#REF!)</f>
        <v>#REF!</v>
      </c>
      <c r="E88" s="76" t="e">
        <f>IF(#REF!="","",#REF!)</f>
        <v>#REF!</v>
      </c>
      <c r="F88" s="76" t="e">
        <f>IF(#REF!="","",#REF!)</f>
        <v>#REF!</v>
      </c>
      <c r="G88" s="152" t="str">
        <f>Master[[#This Row],[Accession Prefix (NPGS)]]&amp;" "&amp;Master[[#This Row],[Accession Number -Assigned]]</f>
        <v>W6 59674</v>
      </c>
      <c r="I88" s="7" t="e">
        <f>IF(#REF!="","",#REF!)</f>
        <v>#REF!</v>
      </c>
      <c r="J88" s="7" t="e">
        <f>IF(#REF!="","",#REF!)</f>
        <v>#REF!</v>
      </c>
    </row>
    <row r="89" spans="2:10" x14ac:dyDescent="0.25">
      <c r="B89" s="76" t="e">
        <f>IF(#REF!="","",#REF!)</f>
        <v>#REF!</v>
      </c>
      <c r="C89" s="45" t="e">
        <f>IF(#REF!="","",#REF!)</f>
        <v>#REF!</v>
      </c>
      <c r="D89" s="45" t="e">
        <f>IF(#REF!="","",#REF!)</f>
        <v>#REF!</v>
      </c>
      <c r="E89" s="76" t="e">
        <f>IF(#REF!="","",#REF!)</f>
        <v>#REF!</v>
      </c>
      <c r="F89" s="76" t="e">
        <f>IF(#REF!="","",#REF!)</f>
        <v>#REF!</v>
      </c>
      <c r="G89" s="152" t="str">
        <f>Master[[#This Row],[Accession Prefix (NPGS)]]&amp;" "&amp;Master[[#This Row],[Accession Number -Assigned]]</f>
        <v>W6 59675</v>
      </c>
      <c r="I89" s="7" t="e">
        <f>IF(#REF!="","",#REF!)</f>
        <v>#REF!</v>
      </c>
      <c r="J89" s="7" t="e">
        <f>IF(#REF!="","",#REF!)</f>
        <v>#REF!</v>
      </c>
    </row>
    <row r="90" spans="2:10" x14ac:dyDescent="0.25">
      <c r="B90" s="76" t="e">
        <f>IF(#REF!="","",#REF!)</f>
        <v>#REF!</v>
      </c>
      <c r="C90" s="45" t="e">
        <f>IF(#REF!="","",#REF!)</f>
        <v>#REF!</v>
      </c>
      <c r="D90" s="45" t="e">
        <f>IF(#REF!="","",#REF!)</f>
        <v>#REF!</v>
      </c>
      <c r="E90" s="76" t="e">
        <f>IF(#REF!="","",#REF!)</f>
        <v>#REF!</v>
      </c>
      <c r="F90" s="76" t="e">
        <f>IF(#REF!="","",#REF!)</f>
        <v>#REF!</v>
      </c>
      <c r="G90" s="152" t="str">
        <f>Master[[#This Row],[Accession Prefix (NPGS)]]&amp;" "&amp;Master[[#This Row],[Accession Number -Assigned]]</f>
        <v>W6 59676</v>
      </c>
      <c r="I90" s="7" t="e">
        <f>IF(#REF!="","",#REF!)</f>
        <v>#REF!</v>
      </c>
      <c r="J90" s="7" t="e">
        <f>IF(#REF!="","",#REF!)</f>
        <v>#REF!</v>
      </c>
    </row>
    <row r="91" spans="2:10" x14ac:dyDescent="0.25">
      <c r="B91" s="76" t="e">
        <f>IF(#REF!="","",#REF!)</f>
        <v>#REF!</v>
      </c>
      <c r="C91" s="45" t="e">
        <f>IF(#REF!="","",#REF!)</f>
        <v>#REF!</v>
      </c>
      <c r="D91" s="45" t="e">
        <f>IF(#REF!="","",#REF!)</f>
        <v>#REF!</v>
      </c>
      <c r="E91" s="76" t="e">
        <f>IF(#REF!="","",#REF!)</f>
        <v>#REF!</v>
      </c>
      <c r="F91" s="76" t="e">
        <f>IF(#REF!="","",#REF!)</f>
        <v>#REF!</v>
      </c>
      <c r="G91" s="152" t="str">
        <f>Master[[#This Row],[Accession Prefix (NPGS)]]&amp;" "&amp;Master[[#This Row],[Accession Number -Assigned]]</f>
        <v>W6 59677</v>
      </c>
      <c r="I91" s="7" t="e">
        <f>IF(#REF!="","",#REF!)</f>
        <v>#REF!</v>
      </c>
      <c r="J91" s="7" t="e">
        <f>IF(#REF!="","",#REF!)</f>
        <v>#REF!</v>
      </c>
    </row>
    <row r="92" spans="2:10" x14ac:dyDescent="0.25">
      <c r="B92" s="76" t="e">
        <f>IF(#REF!="","",#REF!)</f>
        <v>#REF!</v>
      </c>
      <c r="C92" s="45" t="e">
        <f>IF(#REF!="","",#REF!)</f>
        <v>#REF!</v>
      </c>
      <c r="D92" s="45" t="e">
        <f>IF(#REF!="","",#REF!)</f>
        <v>#REF!</v>
      </c>
      <c r="E92" s="76" t="e">
        <f>IF(#REF!="","",#REF!)</f>
        <v>#REF!</v>
      </c>
      <c r="F92" s="76" t="e">
        <f>IF(#REF!="","",#REF!)</f>
        <v>#REF!</v>
      </c>
      <c r="G92" s="152" t="str">
        <f>Master[[#This Row],[Accession Prefix (NPGS)]]&amp;" "&amp;Master[[#This Row],[Accession Number -Assigned]]</f>
        <v>W6 59678</v>
      </c>
      <c r="I92" s="7" t="e">
        <f>IF(#REF!="","",#REF!)</f>
        <v>#REF!</v>
      </c>
      <c r="J92" s="7" t="e">
        <f>IF(#REF!="","",#REF!)</f>
        <v>#REF!</v>
      </c>
    </row>
    <row r="93" spans="2:10" x14ac:dyDescent="0.25">
      <c r="B93" s="76" t="e">
        <f>IF(#REF!="","",#REF!)</f>
        <v>#REF!</v>
      </c>
      <c r="C93" s="45" t="e">
        <f>IF(#REF!="","",#REF!)</f>
        <v>#REF!</v>
      </c>
      <c r="D93" s="45" t="e">
        <f>IF(#REF!="","",#REF!)</f>
        <v>#REF!</v>
      </c>
      <c r="E93" s="76" t="e">
        <f>IF(#REF!="","",#REF!)</f>
        <v>#REF!</v>
      </c>
      <c r="F93" s="76" t="e">
        <f>IF(#REF!="","",#REF!)</f>
        <v>#REF!</v>
      </c>
      <c r="G93" s="152" t="str">
        <f>Master[[#This Row],[Accession Prefix (NPGS)]]&amp;" "&amp;Master[[#This Row],[Accession Number -Assigned]]</f>
        <v>W6 59679</v>
      </c>
      <c r="I93" s="7" t="e">
        <f>IF(#REF!="","",#REF!)</f>
        <v>#REF!</v>
      </c>
      <c r="J93" s="7" t="e">
        <f>IF(#REF!="","",#REF!)</f>
        <v>#REF!</v>
      </c>
    </row>
    <row r="94" spans="2:10" x14ac:dyDescent="0.25">
      <c r="B94" s="76" t="e">
        <f>IF(#REF!="","",#REF!)</f>
        <v>#REF!</v>
      </c>
      <c r="C94" s="45" t="e">
        <f>IF(#REF!="","",#REF!)</f>
        <v>#REF!</v>
      </c>
      <c r="D94" s="45" t="e">
        <f>IF(#REF!="","",#REF!)</f>
        <v>#REF!</v>
      </c>
      <c r="E94" s="76" t="e">
        <f>IF(#REF!="","",#REF!)</f>
        <v>#REF!</v>
      </c>
      <c r="F94" s="76" t="e">
        <f>IF(#REF!="","",#REF!)</f>
        <v>#REF!</v>
      </c>
      <c r="G94" s="152" t="str">
        <f>Master[[#This Row],[Accession Prefix (NPGS)]]&amp;" "&amp;Master[[#This Row],[Accession Number -Assigned]]</f>
        <v>W6 59680</v>
      </c>
      <c r="I94" s="7" t="e">
        <f>IF(#REF!="","",#REF!)</f>
        <v>#REF!</v>
      </c>
      <c r="J94" s="7" t="e">
        <f>IF(#REF!="","",#REF!)</f>
        <v>#REF!</v>
      </c>
    </row>
    <row r="95" spans="2:10" x14ac:dyDescent="0.25">
      <c r="B95" s="76" t="e">
        <f>IF(#REF!="","",#REF!)</f>
        <v>#REF!</v>
      </c>
      <c r="C95" s="45" t="e">
        <f>IF(#REF!="","",#REF!)</f>
        <v>#REF!</v>
      </c>
      <c r="D95" s="45" t="e">
        <f>IF(#REF!="","",#REF!)</f>
        <v>#REF!</v>
      </c>
      <c r="E95" s="76" t="e">
        <f>IF(#REF!="","",#REF!)</f>
        <v>#REF!</v>
      </c>
      <c r="F95" s="76" t="e">
        <f>IF(#REF!="","",#REF!)</f>
        <v>#REF!</v>
      </c>
      <c r="G95" s="152" t="str">
        <f>Master[[#This Row],[Accession Prefix (NPGS)]]&amp;" "&amp;Master[[#This Row],[Accession Number -Assigned]]</f>
        <v>W6 59681</v>
      </c>
      <c r="I95" s="7" t="e">
        <f>IF(#REF!="","",#REF!)</f>
        <v>#REF!</v>
      </c>
      <c r="J95" s="7" t="e">
        <f>IF(#REF!="","",#REF!)</f>
        <v>#REF!</v>
      </c>
    </row>
    <row r="96" spans="2:10" x14ac:dyDescent="0.25">
      <c r="B96" s="76" t="e">
        <f>IF(#REF!="","",#REF!)</f>
        <v>#REF!</v>
      </c>
      <c r="C96" s="45" t="e">
        <f>IF(#REF!="","",#REF!)</f>
        <v>#REF!</v>
      </c>
      <c r="D96" s="45" t="e">
        <f>IF(#REF!="","",#REF!)</f>
        <v>#REF!</v>
      </c>
      <c r="E96" s="76" t="e">
        <f>IF(#REF!="","",#REF!)</f>
        <v>#REF!</v>
      </c>
      <c r="F96" s="76" t="e">
        <f>IF(#REF!="","",#REF!)</f>
        <v>#REF!</v>
      </c>
      <c r="G96" s="152" t="str">
        <f>Master[[#This Row],[Accession Prefix (NPGS)]]&amp;" "&amp;Master[[#This Row],[Accession Number -Assigned]]</f>
        <v>W6 59682</v>
      </c>
      <c r="I96" s="7" t="e">
        <f>IF(#REF!="","",#REF!)</f>
        <v>#REF!</v>
      </c>
      <c r="J96" s="7" t="e">
        <f>IF(#REF!="","",#REF!)</f>
        <v>#REF!</v>
      </c>
    </row>
    <row r="97" spans="2:10" x14ac:dyDescent="0.25">
      <c r="B97" s="76" t="e">
        <f>IF(#REF!="","",#REF!)</f>
        <v>#REF!</v>
      </c>
      <c r="C97" s="45" t="e">
        <f>IF(#REF!="","",#REF!)</f>
        <v>#REF!</v>
      </c>
      <c r="D97" s="45" t="e">
        <f>IF(#REF!="","",#REF!)</f>
        <v>#REF!</v>
      </c>
      <c r="E97" s="76" t="e">
        <f>IF(#REF!="","",#REF!)</f>
        <v>#REF!</v>
      </c>
      <c r="F97" s="76" t="e">
        <f>IF(#REF!="","",#REF!)</f>
        <v>#REF!</v>
      </c>
      <c r="G97" s="152" t="str">
        <f>Master[[#This Row],[Accession Prefix (NPGS)]]&amp;" "&amp;Master[[#This Row],[Accession Number -Assigned]]</f>
        <v>W6 59683</v>
      </c>
      <c r="I97" s="7" t="e">
        <f>IF(#REF!="","",#REF!)</f>
        <v>#REF!</v>
      </c>
      <c r="J97" s="7" t="e">
        <f>IF(#REF!="","",#REF!)</f>
        <v>#REF!</v>
      </c>
    </row>
    <row r="98" spans="2:10" x14ac:dyDescent="0.25">
      <c r="B98" s="76" t="e">
        <f>IF(#REF!="","",#REF!)</f>
        <v>#REF!</v>
      </c>
      <c r="C98" s="45" t="e">
        <f>IF(#REF!="","",#REF!)</f>
        <v>#REF!</v>
      </c>
      <c r="D98" s="45" t="e">
        <f>IF(#REF!="","",#REF!)</f>
        <v>#REF!</v>
      </c>
      <c r="E98" s="76" t="e">
        <f>IF(#REF!="","",#REF!)</f>
        <v>#REF!</v>
      </c>
      <c r="F98" s="76" t="e">
        <f>IF(#REF!="","",#REF!)</f>
        <v>#REF!</v>
      </c>
      <c r="G98" s="152" t="str">
        <f>Master[[#This Row],[Accession Prefix (NPGS)]]&amp;" "&amp;Master[[#This Row],[Accession Number -Assigned]]</f>
        <v>W6 59684</v>
      </c>
      <c r="I98" s="7" t="e">
        <f>IF(#REF!="","",#REF!)</f>
        <v>#REF!</v>
      </c>
      <c r="J98" s="7" t="e">
        <f>IF(#REF!="","",#REF!)</f>
        <v>#REF!</v>
      </c>
    </row>
    <row r="99" spans="2:10" x14ac:dyDescent="0.25">
      <c r="B99" s="76" t="e">
        <f>IF(#REF!="","",#REF!)</f>
        <v>#REF!</v>
      </c>
      <c r="C99" s="45" t="e">
        <f>IF(#REF!="","",#REF!)</f>
        <v>#REF!</v>
      </c>
      <c r="D99" s="45" t="e">
        <f>IF(#REF!="","",#REF!)</f>
        <v>#REF!</v>
      </c>
      <c r="E99" s="76" t="e">
        <f>IF(#REF!="","",#REF!)</f>
        <v>#REF!</v>
      </c>
      <c r="F99" s="76" t="e">
        <f>IF(#REF!="","",#REF!)</f>
        <v>#REF!</v>
      </c>
      <c r="G99" s="152" t="str">
        <f>Master[[#This Row],[Accession Prefix (NPGS)]]&amp;" "&amp;Master[[#This Row],[Accession Number -Assigned]]</f>
        <v>W6 59685</v>
      </c>
      <c r="I99" s="7" t="e">
        <f>IF(#REF!="","",#REF!)</f>
        <v>#REF!</v>
      </c>
      <c r="J99" s="7" t="e">
        <f>IF(#REF!="","",#REF!)</f>
        <v>#REF!</v>
      </c>
    </row>
    <row r="100" spans="2:10" x14ac:dyDescent="0.25">
      <c r="B100" s="76" t="e">
        <f>IF(#REF!="","",#REF!)</f>
        <v>#REF!</v>
      </c>
      <c r="C100" s="45" t="e">
        <f>IF(#REF!="","",#REF!)</f>
        <v>#REF!</v>
      </c>
      <c r="D100" s="45" t="e">
        <f>IF(#REF!="","",#REF!)</f>
        <v>#REF!</v>
      </c>
      <c r="E100" s="76" t="e">
        <f>IF(#REF!="","",#REF!)</f>
        <v>#REF!</v>
      </c>
      <c r="F100" s="76" t="e">
        <f>IF(#REF!="","",#REF!)</f>
        <v>#REF!</v>
      </c>
      <c r="G100" s="152" t="str">
        <f>Master[[#This Row],[Accession Prefix (NPGS)]]&amp;" "&amp;Master[[#This Row],[Accession Number -Assigned]]</f>
        <v>W6 59686</v>
      </c>
      <c r="I100" s="7" t="e">
        <f>IF(#REF!="","",#REF!)</f>
        <v>#REF!</v>
      </c>
      <c r="J100" s="7" t="e">
        <f>IF(#REF!="","",#REF!)</f>
        <v>#REF!</v>
      </c>
    </row>
    <row r="101" spans="2:10" x14ac:dyDescent="0.25">
      <c r="B101" s="76" t="e">
        <f>IF(#REF!="","",#REF!)</f>
        <v>#REF!</v>
      </c>
      <c r="C101" s="45" t="e">
        <f>IF(#REF!="","",#REF!)</f>
        <v>#REF!</v>
      </c>
      <c r="D101" s="45" t="e">
        <f>IF(#REF!="","",#REF!)</f>
        <v>#REF!</v>
      </c>
      <c r="E101" s="76" t="e">
        <f>IF(#REF!="","",#REF!)</f>
        <v>#REF!</v>
      </c>
      <c r="F101" s="76" t="e">
        <f>IF(#REF!="","",#REF!)</f>
        <v>#REF!</v>
      </c>
      <c r="G101" s="152" t="str">
        <f>Master[[#This Row],[Accession Prefix (NPGS)]]&amp;" "&amp;Master[[#This Row],[Accession Number -Assigned]]</f>
        <v>W6 59687</v>
      </c>
      <c r="I101" s="7" t="e">
        <f>IF(#REF!="","",#REF!)</f>
        <v>#REF!</v>
      </c>
      <c r="J101" s="7" t="e">
        <f>IF(#REF!="","",#REF!)</f>
        <v>#REF!</v>
      </c>
    </row>
    <row r="102" spans="2:10" x14ac:dyDescent="0.25">
      <c r="B102" s="76" t="e">
        <f>IF(#REF!="","",#REF!)</f>
        <v>#REF!</v>
      </c>
      <c r="C102" s="45" t="e">
        <f>IF(#REF!="","",#REF!)</f>
        <v>#REF!</v>
      </c>
      <c r="D102" s="45" t="e">
        <f>IF(#REF!="","",#REF!)</f>
        <v>#REF!</v>
      </c>
      <c r="E102" s="76" t="e">
        <f>IF(#REF!="","",#REF!)</f>
        <v>#REF!</v>
      </c>
      <c r="F102" s="76" t="e">
        <f>IF(#REF!="","",#REF!)</f>
        <v>#REF!</v>
      </c>
      <c r="G102" s="152" t="str">
        <f>Master[[#This Row],[Accession Prefix (NPGS)]]&amp;" "&amp;Master[[#This Row],[Accession Number -Assigned]]</f>
        <v>W6 59688</v>
      </c>
      <c r="I102" s="7" t="e">
        <f>IF(#REF!="","",#REF!)</f>
        <v>#REF!</v>
      </c>
      <c r="J102" s="7" t="e">
        <f>IF(#REF!="","",#REF!)</f>
        <v>#REF!</v>
      </c>
    </row>
    <row r="103" spans="2:10" x14ac:dyDescent="0.25">
      <c r="B103" s="76" t="e">
        <f>IF(#REF!="","",#REF!)</f>
        <v>#REF!</v>
      </c>
      <c r="C103" s="45" t="e">
        <f>IF(#REF!="","",#REF!)</f>
        <v>#REF!</v>
      </c>
      <c r="D103" s="45" t="e">
        <f>IF(#REF!="","",#REF!)</f>
        <v>#REF!</v>
      </c>
      <c r="E103" s="76" t="e">
        <f>IF(#REF!="","",#REF!)</f>
        <v>#REF!</v>
      </c>
      <c r="F103" s="76" t="e">
        <f>IF(#REF!="","",#REF!)</f>
        <v>#REF!</v>
      </c>
      <c r="G103" s="152" t="str">
        <f>Master[[#This Row],[Accession Prefix (NPGS)]]&amp;" "&amp;Master[[#This Row],[Accession Number -Assigned]]</f>
        <v>W6 59689</v>
      </c>
      <c r="I103" s="7" t="e">
        <f>IF(#REF!="","",#REF!)</f>
        <v>#REF!</v>
      </c>
      <c r="J103" s="7" t="e">
        <f>IF(#REF!="","",#REF!)</f>
        <v>#REF!</v>
      </c>
    </row>
    <row r="104" spans="2:10" x14ac:dyDescent="0.25">
      <c r="B104" s="76" t="e">
        <f>IF(#REF!="","",#REF!)</f>
        <v>#REF!</v>
      </c>
      <c r="C104" s="45" t="e">
        <f>IF(#REF!="","",#REF!)</f>
        <v>#REF!</v>
      </c>
      <c r="D104" s="45" t="e">
        <f>IF(#REF!="","",#REF!)</f>
        <v>#REF!</v>
      </c>
      <c r="E104" s="76" t="e">
        <f>IF(#REF!="","",#REF!)</f>
        <v>#REF!</v>
      </c>
      <c r="F104" s="76" t="e">
        <f>IF(#REF!="","",#REF!)</f>
        <v>#REF!</v>
      </c>
      <c r="G104" s="152" t="str">
        <f>Master[[#This Row],[Accession Prefix (NPGS)]]&amp;" "&amp;Master[[#This Row],[Accession Number -Assigned]]</f>
        <v>W6 59690</v>
      </c>
      <c r="I104" s="7" t="e">
        <f>IF(#REF!="","",#REF!)</f>
        <v>#REF!</v>
      </c>
      <c r="J104" s="7" t="e">
        <f>IF(#REF!="","",#REF!)</f>
        <v>#REF!</v>
      </c>
    </row>
    <row r="105" spans="2:10" x14ac:dyDescent="0.25">
      <c r="B105" s="76" t="e">
        <f>IF(#REF!="","",#REF!)</f>
        <v>#REF!</v>
      </c>
      <c r="C105" s="45" t="e">
        <f>IF(#REF!="","",#REF!)</f>
        <v>#REF!</v>
      </c>
      <c r="D105" s="45" t="e">
        <f>IF(#REF!="","",#REF!)</f>
        <v>#REF!</v>
      </c>
      <c r="E105" s="76" t="e">
        <f>IF(#REF!="","",#REF!)</f>
        <v>#REF!</v>
      </c>
      <c r="F105" s="76" t="e">
        <f>IF(#REF!="","",#REF!)</f>
        <v>#REF!</v>
      </c>
      <c r="G105" s="152" t="str">
        <f>Master[[#This Row],[Accession Prefix (NPGS)]]&amp;" "&amp;Master[[#This Row],[Accession Number -Assigned]]</f>
        <v>W6 59691</v>
      </c>
      <c r="I105" s="7" t="e">
        <f>IF(#REF!="","",#REF!)</f>
        <v>#REF!</v>
      </c>
      <c r="J105" s="7" t="e">
        <f>IF(#REF!="","",#REF!)</f>
        <v>#REF!</v>
      </c>
    </row>
    <row r="106" spans="2:10" x14ac:dyDescent="0.25">
      <c r="B106" s="76" t="e">
        <f>IF(#REF!="","",#REF!)</f>
        <v>#REF!</v>
      </c>
      <c r="C106" s="45" t="e">
        <f>IF(#REF!="","",#REF!)</f>
        <v>#REF!</v>
      </c>
      <c r="D106" s="45" t="e">
        <f>IF(#REF!="","",#REF!)</f>
        <v>#REF!</v>
      </c>
      <c r="E106" s="76" t="e">
        <f>IF(#REF!="","",#REF!)</f>
        <v>#REF!</v>
      </c>
      <c r="F106" s="76" t="e">
        <f>IF(#REF!="","",#REF!)</f>
        <v>#REF!</v>
      </c>
      <c r="G106" s="152" t="str">
        <f>Master[[#This Row],[Accession Prefix (NPGS)]]&amp;" "&amp;Master[[#This Row],[Accession Number -Assigned]]</f>
        <v>W6 59692</v>
      </c>
      <c r="I106" s="7" t="e">
        <f>IF(#REF!="","",#REF!)</f>
        <v>#REF!</v>
      </c>
      <c r="J106" s="7" t="e">
        <f>IF(#REF!="","",#REF!)</f>
        <v>#REF!</v>
      </c>
    </row>
    <row r="107" spans="2:10" x14ac:dyDescent="0.25">
      <c r="B107" s="76" t="e">
        <f>IF(#REF!="","",#REF!)</f>
        <v>#REF!</v>
      </c>
      <c r="C107" s="45" t="e">
        <f>IF(#REF!="","",#REF!)</f>
        <v>#REF!</v>
      </c>
      <c r="D107" s="45" t="e">
        <f>IF(#REF!="","",#REF!)</f>
        <v>#REF!</v>
      </c>
      <c r="E107" s="76" t="e">
        <f>IF(#REF!="","",#REF!)</f>
        <v>#REF!</v>
      </c>
      <c r="F107" s="76" t="e">
        <f>IF(#REF!="","",#REF!)</f>
        <v>#REF!</v>
      </c>
      <c r="G107" s="152" t="str">
        <f>Master[[#This Row],[Accession Prefix (NPGS)]]&amp;" "&amp;Master[[#This Row],[Accession Number -Assigned]]</f>
        <v>W6 59693</v>
      </c>
      <c r="I107" s="7" t="e">
        <f>IF(#REF!="","",#REF!)</f>
        <v>#REF!</v>
      </c>
      <c r="J107" s="7" t="e">
        <f>IF(#REF!="","",#REF!)</f>
        <v>#REF!</v>
      </c>
    </row>
    <row r="108" spans="2:10" x14ac:dyDescent="0.25">
      <c r="B108" s="76" t="e">
        <f>IF(#REF!="","",#REF!)</f>
        <v>#REF!</v>
      </c>
      <c r="C108" s="45" t="e">
        <f>IF(#REF!="","",#REF!)</f>
        <v>#REF!</v>
      </c>
      <c r="D108" s="45" t="e">
        <f>IF(#REF!="","",#REF!)</f>
        <v>#REF!</v>
      </c>
      <c r="E108" s="76" t="e">
        <f>IF(#REF!="","",#REF!)</f>
        <v>#REF!</v>
      </c>
      <c r="F108" s="76" t="e">
        <f>IF(#REF!="","",#REF!)</f>
        <v>#REF!</v>
      </c>
      <c r="G108" s="152" t="str">
        <f>Master[[#This Row],[Accession Prefix (NPGS)]]&amp;" "&amp;Master[[#This Row],[Accession Number -Assigned]]</f>
        <v>W6 59694</v>
      </c>
      <c r="I108" s="7" t="e">
        <f>IF(#REF!="","",#REF!)</f>
        <v>#REF!</v>
      </c>
      <c r="J108" s="7" t="e">
        <f>IF(#REF!="","",#REF!)</f>
        <v>#REF!</v>
      </c>
    </row>
    <row r="109" spans="2:10" x14ac:dyDescent="0.25">
      <c r="B109" s="76" t="e">
        <f>IF(#REF!="","",#REF!)</f>
        <v>#REF!</v>
      </c>
      <c r="C109" s="45" t="e">
        <f>IF(#REF!="","",#REF!)</f>
        <v>#REF!</v>
      </c>
      <c r="D109" s="45" t="e">
        <f>IF(#REF!="","",#REF!)</f>
        <v>#REF!</v>
      </c>
      <c r="E109" s="76" t="e">
        <f>IF(#REF!="","",#REF!)</f>
        <v>#REF!</v>
      </c>
      <c r="F109" s="76" t="e">
        <f>IF(#REF!="","",#REF!)</f>
        <v>#REF!</v>
      </c>
      <c r="G109" s="152" t="str">
        <f>Master[[#This Row],[Accession Prefix (NPGS)]]&amp;" "&amp;Master[[#This Row],[Accession Number -Assigned]]</f>
        <v>W6 59695</v>
      </c>
      <c r="I109" s="7" t="e">
        <f>IF(#REF!="","",#REF!)</f>
        <v>#REF!</v>
      </c>
      <c r="J109" s="7" t="e">
        <f>IF(#REF!="","",#REF!)</f>
        <v>#REF!</v>
      </c>
    </row>
    <row r="110" spans="2:10" x14ac:dyDescent="0.25">
      <c r="B110" s="76" t="e">
        <f>IF(#REF!="","",#REF!)</f>
        <v>#REF!</v>
      </c>
      <c r="C110" s="45" t="e">
        <f>IF(#REF!="","",#REF!)</f>
        <v>#REF!</v>
      </c>
      <c r="D110" s="45" t="e">
        <f>IF(#REF!="","",#REF!)</f>
        <v>#REF!</v>
      </c>
      <c r="E110" s="76" t="e">
        <f>IF(#REF!="","",#REF!)</f>
        <v>#REF!</v>
      </c>
      <c r="F110" s="76" t="e">
        <f>IF(#REF!="","",#REF!)</f>
        <v>#REF!</v>
      </c>
      <c r="G110" s="152" t="str">
        <f>Master[[#This Row],[Accession Prefix (NPGS)]]&amp;" "&amp;Master[[#This Row],[Accession Number -Assigned]]</f>
        <v>W6 59696</v>
      </c>
      <c r="I110" s="7" t="e">
        <f>IF(#REF!="","",#REF!)</f>
        <v>#REF!</v>
      </c>
      <c r="J110" s="7" t="e">
        <f>IF(#REF!="","",#REF!)</f>
        <v>#REF!</v>
      </c>
    </row>
    <row r="111" spans="2:10" x14ac:dyDescent="0.25">
      <c r="B111" s="76" t="e">
        <f>IF(#REF!="","",#REF!)</f>
        <v>#REF!</v>
      </c>
      <c r="C111" s="45" t="e">
        <f>IF(#REF!="","",#REF!)</f>
        <v>#REF!</v>
      </c>
      <c r="D111" s="45" t="e">
        <f>IF(#REF!="","",#REF!)</f>
        <v>#REF!</v>
      </c>
      <c r="E111" s="76" t="e">
        <f>IF(#REF!="","",#REF!)</f>
        <v>#REF!</v>
      </c>
      <c r="F111" s="76" t="e">
        <f>IF(#REF!="","",#REF!)</f>
        <v>#REF!</v>
      </c>
      <c r="G111" s="152" t="str">
        <f>Master[[#This Row],[Accession Prefix (NPGS)]]&amp;" "&amp;Master[[#This Row],[Accession Number -Assigned]]</f>
        <v>W6 59697</v>
      </c>
      <c r="I111" s="7" t="e">
        <f>IF(#REF!="","",#REF!)</f>
        <v>#REF!</v>
      </c>
      <c r="J111" s="7" t="e">
        <f>IF(#REF!="","",#REF!)</f>
        <v>#REF!</v>
      </c>
    </row>
    <row r="112" spans="2:10" x14ac:dyDescent="0.25">
      <c r="B112" s="76" t="e">
        <f>IF(#REF!="","",#REF!)</f>
        <v>#REF!</v>
      </c>
      <c r="C112" s="45" t="e">
        <f>IF(#REF!="","",#REF!)</f>
        <v>#REF!</v>
      </c>
      <c r="D112" s="45" t="e">
        <f>IF(#REF!="","",#REF!)</f>
        <v>#REF!</v>
      </c>
      <c r="E112" s="76" t="e">
        <f>IF(#REF!="","",#REF!)</f>
        <v>#REF!</v>
      </c>
      <c r="F112" s="76" t="e">
        <f>IF(#REF!="","",#REF!)</f>
        <v>#REF!</v>
      </c>
      <c r="G112" s="152" t="str">
        <f>Master[[#This Row],[Accession Prefix (NPGS)]]&amp;" "&amp;Master[[#This Row],[Accession Number -Assigned]]</f>
        <v>W6 59698</v>
      </c>
      <c r="I112" s="7" t="e">
        <f>IF(#REF!="","",#REF!)</f>
        <v>#REF!</v>
      </c>
      <c r="J112" s="7" t="e">
        <f>IF(#REF!="","",#REF!)</f>
        <v>#REF!</v>
      </c>
    </row>
    <row r="113" spans="2:10" x14ac:dyDescent="0.25">
      <c r="B113" s="76" t="e">
        <f>IF(#REF!="","",#REF!)</f>
        <v>#REF!</v>
      </c>
      <c r="C113" s="45" t="e">
        <f>IF(#REF!="","",#REF!)</f>
        <v>#REF!</v>
      </c>
      <c r="D113" s="45" t="e">
        <f>IF(#REF!="","",#REF!)</f>
        <v>#REF!</v>
      </c>
      <c r="E113" s="76" t="e">
        <f>IF(#REF!="","",#REF!)</f>
        <v>#REF!</v>
      </c>
      <c r="F113" s="76" t="e">
        <f>IF(#REF!="","",#REF!)</f>
        <v>#REF!</v>
      </c>
      <c r="G113" s="152" t="str">
        <f>Master[[#This Row],[Accession Prefix (NPGS)]]&amp;" "&amp;Master[[#This Row],[Accession Number -Assigned]]</f>
        <v>W6 59699</v>
      </c>
      <c r="I113" s="7" t="e">
        <f>IF(#REF!="","",#REF!)</f>
        <v>#REF!</v>
      </c>
      <c r="J113" s="7" t="e">
        <f>IF(#REF!="","",#REF!)</f>
        <v>#REF!</v>
      </c>
    </row>
    <row r="114" spans="2:10" x14ac:dyDescent="0.25">
      <c r="B114" s="76" t="e">
        <f>IF(#REF!="","",#REF!)</f>
        <v>#REF!</v>
      </c>
      <c r="C114" s="45" t="e">
        <f>IF(#REF!="","",#REF!)</f>
        <v>#REF!</v>
      </c>
      <c r="D114" s="45" t="e">
        <f>IF(#REF!="","",#REF!)</f>
        <v>#REF!</v>
      </c>
      <c r="E114" s="76" t="e">
        <f>IF(#REF!="","",#REF!)</f>
        <v>#REF!</v>
      </c>
      <c r="F114" s="76" t="e">
        <f>IF(#REF!="","",#REF!)</f>
        <v>#REF!</v>
      </c>
      <c r="G114" s="152" t="str">
        <f>Master[[#This Row],[Accession Prefix (NPGS)]]&amp;" "&amp;Master[[#This Row],[Accession Number -Assigned]]</f>
        <v>W6 59700</v>
      </c>
      <c r="I114" s="7" t="e">
        <f>IF(#REF!="","",#REF!)</f>
        <v>#REF!</v>
      </c>
      <c r="J114" s="7" t="e">
        <f>IF(#REF!="","",#REF!)</f>
        <v>#REF!</v>
      </c>
    </row>
    <row r="115" spans="2:10" x14ac:dyDescent="0.25">
      <c r="B115" s="76" t="e">
        <f>IF(#REF!="","",#REF!)</f>
        <v>#REF!</v>
      </c>
      <c r="C115" s="45" t="e">
        <f>IF(#REF!="","",#REF!)</f>
        <v>#REF!</v>
      </c>
      <c r="D115" s="45" t="e">
        <f>IF(#REF!="","",#REF!)</f>
        <v>#REF!</v>
      </c>
      <c r="E115" s="76" t="e">
        <f>IF(#REF!="","",#REF!)</f>
        <v>#REF!</v>
      </c>
      <c r="F115" s="76" t="e">
        <f>IF(#REF!="","",#REF!)</f>
        <v>#REF!</v>
      </c>
      <c r="G115" s="152" t="str">
        <f>Master[[#This Row],[Accession Prefix (NPGS)]]&amp;" "&amp;Master[[#This Row],[Accession Number -Assigned]]</f>
        <v>W6 59701</v>
      </c>
      <c r="I115" s="7" t="e">
        <f>IF(#REF!="","",#REF!)</f>
        <v>#REF!</v>
      </c>
      <c r="J115" s="7" t="e">
        <f>IF(#REF!="","",#REF!)</f>
        <v>#REF!</v>
      </c>
    </row>
    <row r="116" spans="2:10" x14ac:dyDescent="0.25">
      <c r="B116" s="76" t="e">
        <f>IF(#REF!="","",#REF!)</f>
        <v>#REF!</v>
      </c>
      <c r="C116" s="45" t="e">
        <f>IF(#REF!="","",#REF!)</f>
        <v>#REF!</v>
      </c>
      <c r="D116" s="45" t="e">
        <f>IF(#REF!="","",#REF!)</f>
        <v>#REF!</v>
      </c>
      <c r="E116" s="76" t="e">
        <f>IF(#REF!="","",#REF!)</f>
        <v>#REF!</v>
      </c>
      <c r="F116" s="76" t="e">
        <f>IF(#REF!="","",#REF!)</f>
        <v>#REF!</v>
      </c>
      <c r="G116" s="152" t="str">
        <f>Master[[#This Row],[Accession Prefix (NPGS)]]&amp;" "&amp;Master[[#This Row],[Accession Number -Assigned]]</f>
        <v>W6 59702</v>
      </c>
      <c r="I116" s="7" t="e">
        <f>IF(#REF!="","",#REF!)</f>
        <v>#REF!</v>
      </c>
      <c r="J116" s="7" t="e">
        <f>IF(#REF!="","",#REF!)</f>
        <v>#REF!</v>
      </c>
    </row>
    <row r="117" spans="2:10" x14ac:dyDescent="0.25">
      <c r="B117" s="76" t="e">
        <f>IF(#REF!="","",#REF!)</f>
        <v>#REF!</v>
      </c>
      <c r="C117" s="45" t="e">
        <f>IF(#REF!="","",#REF!)</f>
        <v>#REF!</v>
      </c>
      <c r="D117" s="45" t="e">
        <f>IF(#REF!="","",#REF!)</f>
        <v>#REF!</v>
      </c>
      <c r="E117" s="76" t="e">
        <f>IF(#REF!="","",#REF!)</f>
        <v>#REF!</v>
      </c>
      <c r="F117" s="76" t="e">
        <f>IF(#REF!="","",#REF!)</f>
        <v>#REF!</v>
      </c>
      <c r="G117" s="152" t="str">
        <f>Master[[#This Row],[Accession Prefix (NPGS)]]&amp;" "&amp;Master[[#This Row],[Accession Number -Assigned]]</f>
        <v>W6 59703</v>
      </c>
      <c r="I117" s="7" t="e">
        <f>IF(#REF!="","",#REF!)</f>
        <v>#REF!</v>
      </c>
      <c r="J117" s="7" t="e">
        <f>IF(#REF!="","",#REF!)</f>
        <v>#REF!</v>
      </c>
    </row>
    <row r="118" spans="2:10" x14ac:dyDescent="0.25">
      <c r="B118" s="76" t="e">
        <f>IF(#REF!="","",#REF!)</f>
        <v>#REF!</v>
      </c>
      <c r="C118" s="45" t="e">
        <f>IF(#REF!="","",#REF!)</f>
        <v>#REF!</v>
      </c>
      <c r="D118" s="45" t="e">
        <f>IF(#REF!="","",#REF!)</f>
        <v>#REF!</v>
      </c>
      <c r="E118" s="76" t="e">
        <f>IF(#REF!="","",#REF!)</f>
        <v>#REF!</v>
      </c>
      <c r="F118" s="76" t="e">
        <f>IF(#REF!="","",#REF!)</f>
        <v>#REF!</v>
      </c>
      <c r="G118" s="152" t="str">
        <f>Master[[#This Row],[Accession Prefix (NPGS)]]&amp;" "&amp;Master[[#This Row],[Accession Number -Assigned]]</f>
        <v>W6 59704</v>
      </c>
      <c r="I118" s="7" t="e">
        <f>IF(#REF!="","",#REF!)</f>
        <v>#REF!</v>
      </c>
      <c r="J118" s="7" t="e">
        <f>IF(#REF!="","",#REF!)</f>
        <v>#REF!</v>
      </c>
    </row>
    <row r="119" spans="2:10" x14ac:dyDescent="0.25">
      <c r="B119" s="76" t="e">
        <f>IF(#REF!="","",#REF!)</f>
        <v>#REF!</v>
      </c>
      <c r="C119" s="45" t="e">
        <f>IF(#REF!="","",#REF!)</f>
        <v>#REF!</v>
      </c>
      <c r="D119" s="45" t="e">
        <f>IF(#REF!="","",#REF!)</f>
        <v>#REF!</v>
      </c>
      <c r="E119" s="76" t="e">
        <f>IF(#REF!="","",#REF!)</f>
        <v>#REF!</v>
      </c>
      <c r="F119" s="76" t="e">
        <f>IF(#REF!="","",#REF!)</f>
        <v>#REF!</v>
      </c>
      <c r="G119" s="152" t="str">
        <f>Master[[#This Row],[Accession Prefix (NPGS)]]&amp;" "&amp;Master[[#This Row],[Accession Number -Assigned]]</f>
        <v>W6 59705</v>
      </c>
      <c r="I119" s="7" t="e">
        <f>IF(#REF!="","",#REF!)</f>
        <v>#REF!</v>
      </c>
      <c r="J119" s="7" t="e">
        <f>IF(#REF!="","",#REF!)</f>
        <v>#REF!</v>
      </c>
    </row>
    <row r="120" spans="2:10" x14ac:dyDescent="0.25">
      <c r="B120" s="76" t="e">
        <f>IF(#REF!="","",#REF!)</f>
        <v>#REF!</v>
      </c>
      <c r="C120" s="45" t="e">
        <f>IF(#REF!="","",#REF!)</f>
        <v>#REF!</v>
      </c>
      <c r="D120" s="45" t="e">
        <f>IF(#REF!="","",#REF!)</f>
        <v>#REF!</v>
      </c>
      <c r="E120" s="76" t="e">
        <f>IF(#REF!="","",#REF!)</f>
        <v>#REF!</v>
      </c>
      <c r="F120" s="76" t="e">
        <f>IF(#REF!="","",#REF!)</f>
        <v>#REF!</v>
      </c>
      <c r="G120" s="152" t="str">
        <f>Master[[#This Row],[Accession Prefix (NPGS)]]&amp;" "&amp;Master[[#This Row],[Accession Number -Assigned]]</f>
        <v>W6 59706</v>
      </c>
      <c r="I120" s="7" t="e">
        <f>IF(#REF!="","",#REF!)</f>
        <v>#REF!</v>
      </c>
      <c r="J120" s="7" t="e">
        <f>IF(#REF!="","",#REF!)</f>
        <v>#REF!</v>
      </c>
    </row>
    <row r="121" spans="2:10" x14ac:dyDescent="0.25">
      <c r="B121" s="76" t="e">
        <f>IF(#REF!="","",#REF!)</f>
        <v>#REF!</v>
      </c>
      <c r="C121" s="45" t="e">
        <f>IF(#REF!="","",#REF!)</f>
        <v>#REF!</v>
      </c>
      <c r="D121" s="45" t="e">
        <f>IF(#REF!="","",#REF!)</f>
        <v>#REF!</v>
      </c>
      <c r="E121" s="76" t="e">
        <f>IF(#REF!="","",#REF!)</f>
        <v>#REF!</v>
      </c>
      <c r="F121" s="76" t="e">
        <f>IF(#REF!="","",#REF!)</f>
        <v>#REF!</v>
      </c>
      <c r="G121" s="152" t="str">
        <f>Master[[#This Row],[Accession Prefix (NPGS)]]&amp;" "&amp;Master[[#This Row],[Accession Number -Assigned]]</f>
        <v>W6 59707</v>
      </c>
      <c r="I121" s="7" t="e">
        <f>IF(#REF!="","",#REF!)</f>
        <v>#REF!</v>
      </c>
      <c r="J121" s="7" t="e">
        <f>IF(#REF!="","",#REF!)</f>
        <v>#REF!</v>
      </c>
    </row>
    <row r="122" spans="2:10" x14ac:dyDescent="0.25">
      <c r="B122" s="76" t="e">
        <f>IF(#REF!="","",#REF!)</f>
        <v>#REF!</v>
      </c>
      <c r="C122" s="45" t="e">
        <f>IF(#REF!="","",#REF!)</f>
        <v>#REF!</v>
      </c>
      <c r="D122" s="45" t="e">
        <f>IF(#REF!="","",#REF!)</f>
        <v>#REF!</v>
      </c>
      <c r="E122" s="76" t="e">
        <f>IF(#REF!="","",#REF!)</f>
        <v>#REF!</v>
      </c>
      <c r="F122" s="76" t="e">
        <f>IF(#REF!="","",#REF!)</f>
        <v>#REF!</v>
      </c>
      <c r="G122" s="152" t="str">
        <f>Master[[#This Row],[Accession Prefix (NPGS)]]&amp;" "&amp;Master[[#This Row],[Accession Number -Assigned]]</f>
        <v>W6 59708</v>
      </c>
      <c r="I122" s="7" t="e">
        <f>IF(#REF!="","",#REF!)</f>
        <v>#REF!</v>
      </c>
      <c r="J122" s="7" t="e">
        <f>IF(#REF!="","",#REF!)</f>
        <v>#REF!</v>
      </c>
    </row>
    <row r="123" spans="2:10" x14ac:dyDescent="0.25">
      <c r="B123" s="76" t="e">
        <f>IF(#REF!="","",#REF!)</f>
        <v>#REF!</v>
      </c>
      <c r="C123" s="45" t="e">
        <f>IF(#REF!="","",#REF!)</f>
        <v>#REF!</v>
      </c>
      <c r="D123" s="45" t="e">
        <f>IF(#REF!="","",#REF!)</f>
        <v>#REF!</v>
      </c>
      <c r="E123" s="76" t="e">
        <f>IF(#REF!="","",#REF!)</f>
        <v>#REF!</v>
      </c>
      <c r="F123" s="76" t="e">
        <f>IF(#REF!="","",#REF!)</f>
        <v>#REF!</v>
      </c>
      <c r="G123" s="152" t="str">
        <f>Master[[#This Row],[Accession Prefix (NPGS)]]&amp;" "&amp;Master[[#This Row],[Accession Number -Assigned]]</f>
        <v>W6 59709</v>
      </c>
      <c r="I123" s="7" t="e">
        <f>IF(#REF!="","",#REF!)</f>
        <v>#REF!</v>
      </c>
      <c r="J123" s="7" t="e">
        <f>IF(#REF!="","",#REF!)</f>
        <v>#REF!</v>
      </c>
    </row>
    <row r="124" spans="2:10" x14ac:dyDescent="0.25">
      <c r="B124" s="76" t="e">
        <f>IF(#REF!="","",#REF!)</f>
        <v>#REF!</v>
      </c>
      <c r="C124" s="45" t="e">
        <f>IF(#REF!="","",#REF!)</f>
        <v>#REF!</v>
      </c>
      <c r="D124" s="45" t="e">
        <f>IF(#REF!="","",#REF!)</f>
        <v>#REF!</v>
      </c>
      <c r="E124" s="76" t="e">
        <f>IF(#REF!="","",#REF!)</f>
        <v>#REF!</v>
      </c>
      <c r="F124" s="76" t="e">
        <f>IF(#REF!="","",#REF!)</f>
        <v>#REF!</v>
      </c>
      <c r="G124" s="152" t="str">
        <f>Master[[#This Row],[Accession Prefix (NPGS)]]&amp;" "&amp;Master[[#This Row],[Accession Number -Assigned]]</f>
        <v>W6 59710</v>
      </c>
      <c r="I124" s="7" t="e">
        <f>IF(#REF!="","",#REF!)</f>
        <v>#REF!</v>
      </c>
      <c r="J124" s="7" t="e">
        <f>IF(#REF!="","",#REF!)</f>
        <v>#REF!</v>
      </c>
    </row>
    <row r="125" spans="2:10" x14ac:dyDescent="0.25">
      <c r="B125" s="76" t="e">
        <f>IF(#REF!="","",#REF!)</f>
        <v>#REF!</v>
      </c>
      <c r="C125" s="45" t="e">
        <f>IF(#REF!="","",#REF!)</f>
        <v>#REF!</v>
      </c>
      <c r="D125" s="45" t="e">
        <f>IF(#REF!="","",#REF!)</f>
        <v>#REF!</v>
      </c>
      <c r="E125" s="76" t="e">
        <f>IF(#REF!="","",#REF!)</f>
        <v>#REF!</v>
      </c>
      <c r="F125" s="76" t="e">
        <f>IF(#REF!="","",#REF!)</f>
        <v>#REF!</v>
      </c>
      <c r="G125" s="152" t="str">
        <f>Master[[#This Row],[Accession Prefix (NPGS)]]&amp;" "&amp;Master[[#This Row],[Accession Number -Assigned]]</f>
        <v>W6 59711</v>
      </c>
      <c r="I125" s="7" t="e">
        <f>IF(#REF!="","",#REF!)</f>
        <v>#REF!</v>
      </c>
      <c r="J125" s="7" t="e">
        <f>IF(#REF!="","",#REF!)</f>
        <v>#REF!</v>
      </c>
    </row>
    <row r="126" spans="2:10" x14ac:dyDescent="0.25">
      <c r="B126" s="76" t="e">
        <f>IF(#REF!="","",#REF!)</f>
        <v>#REF!</v>
      </c>
      <c r="C126" s="45" t="e">
        <f>IF(#REF!="","",#REF!)</f>
        <v>#REF!</v>
      </c>
      <c r="D126" s="45" t="e">
        <f>IF(#REF!="","",#REF!)</f>
        <v>#REF!</v>
      </c>
      <c r="E126" s="76" t="e">
        <f>IF(#REF!="","",#REF!)</f>
        <v>#REF!</v>
      </c>
      <c r="F126" s="76" t="e">
        <f>IF(#REF!="","",#REF!)</f>
        <v>#REF!</v>
      </c>
      <c r="G126" s="152" t="str">
        <f>Master[[#This Row],[Accession Prefix (NPGS)]]&amp;" "&amp;Master[[#This Row],[Accession Number -Assigned]]</f>
        <v>W6 59712</v>
      </c>
      <c r="I126" s="7" t="e">
        <f>IF(#REF!="","",#REF!)</f>
        <v>#REF!</v>
      </c>
      <c r="J126" s="7" t="e">
        <f>IF(#REF!="","",#REF!)</f>
        <v>#REF!</v>
      </c>
    </row>
    <row r="127" spans="2:10" x14ac:dyDescent="0.25">
      <c r="B127" s="76" t="e">
        <f>IF(#REF!="","",#REF!)</f>
        <v>#REF!</v>
      </c>
      <c r="C127" s="45" t="e">
        <f>IF(#REF!="","",#REF!)</f>
        <v>#REF!</v>
      </c>
      <c r="D127" s="45" t="e">
        <f>IF(#REF!="","",#REF!)</f>
        <v>#REF!</v>
      </c>
      <c r="E127" s="76" t="e">
        <f>IF(#REF!="","",#REF!)</f>
        <v>#REF!</v>
      </c>
      <c r="F127" s="76" t="e">
        <f>IF(#REF!="","",#REF!)</f>
        <v>#REF!</v>
      </c>
      <c r="G127" s="152" t="str">
        <f>Master[[#This Row],[Accession Prefix (NPGS)]]&amp;" "&amp;Master[[#This Row],[Accession Number -Assigned]]</f>
        <v>W6 59713</v>
      </c>
      <c r="I127" s="7" t="e">
        <f>IF(#REF!="","",#REF!)</f>
        <v>#REF!</v>
      </c>
      <c r="J127" s="7" t="e">
        <f>IF(#REF!="","",#REF!)</f>
        <v>#REF!</v>
      </c>
    </row>
    <row r="128" spans="2:10" x14ac:dyDescent="0.25">
      <c r="B128" s="76" t="e">
        <f>IF(#REF!="","",#REF!)</f>
        <v>#REF!</v>
      </c>
      <c r="C128" s="45" t="e">
        <f>IF(#REF!="","",#REF!)</f>
        <v>#REF!</v>
      </c>
      <c r="D128" s="45" t="e">
        <f>IF(#REF!="","",#REF!)</f>
        <v>#REF!</v>
      </c>
      <c r="E128" s="76" t="e">
        <f>IF(#REF!="","",#REF!)</f>
        <v>#REF!</v>
      </c>
      <c r="F128" s="76" t="e">
        <f>IF(#REF!="","",#REF!)</f>
        <v>#REF!</v>
      </c>
      <c r="G128" s="152" t="str">
        <f>Master[[#This Row],[Accession Prefix (NPGS)]]&amp;" "&amp;Master[[#This Row],[Accession Number -Assigned]]</f>
        <v>W6 59714</v>
      </c>
      <c r="I128" s="7" t="e">
        <f>IF(#REF!="","",#REF!)</f>
        <v>#REF!</v>
      </c>
      <c r="J128" s="7" t="e">
        <f>IF(#REF!="","",#REF!)</f>
        <v>#REF!</v>
      </c>
    </row>
    <row r="129" spans="2:10" x14ac:dyDescent="0.25">
      <c r="B129" s="76" t="e">
        <f>IF(#REF!="","",#REF!)</f>
        <v>#REF!</v>
      </c>
      <c r="C129" s="45" t="e">
        <f>IF(#REF!="","",#REF!)</f>
        <v>#REF!</v>
      </c>
      <c r="D129" s="45" t="e">
        <f>IF(#REF!="","",#REF!)</f>
        <v>#REF!</v>
      </c>
      <c r="E129" s="76" t="e">
        <f>IF(#REF!="","",#REF!)</f>
        <v>#REF!</v>
      </c>
      <c r="F129" s="76" t="e">
        <f>IF(#REF!="","",#REF!)</f>
        <v>#REF!</v>
      </c>
      <c r="G129" s="152" t="str">
        <f>Master[[#This Row],[Accession Prefix (NPGS)]]&amp;" "&amp;Master[[#This Row],[Accession Number -Assigned]]</f>
        <v>W6 59715</v>
      </c>
      <c r="I129" s="7" t="e">
        <f>IF(#REF!="","",#REF!)</f>
        <v>#REF!</v>
      </c>
      <c r="J129" s="7" t="e">
        <f>IF(#REF!="","",#REF!)</f>
        <v>#REF!</v>
      </c>
    </row>
    <row r="130" spans="2:10" x14ac:dyDescent="0.25">
      <c r="B130" s="76" t="e">
        <f>IF(#REF!="","",#REF!)</f>
        <v>#REF!</v>
      </c>
      <c r="C130" s="45" t="e">
        <f>IF(#REF!="","",#REF!)</f>
        <v>#REF!</v>
      </c>
      <c r="D130" s="45" t="e">
        <f>IF(#REF!="","",#REF!)</f>
        <v>#REF!</v>
      </c>
      <c r="E130" s="76" t="e">
        <f>IF(#REF!="","",#REF!)</f>
        <v>#REF!</v>
      </c>
      <c r="F130" s="76" t="e">
        <f>IF(#REF!="","",#REF!)</f>
        <v>#REF!</v>
      </c>
      <c r="G130" s="152" t="str">
        <f>Master[[#This Row],[Accession Prefix (NPGS)]]&amp;" "&amp;Master[[#This Row],[Accession Number -Assigned]]</f>
        <v>W6 59716</v>
      </c>
      <c r="I130" s="7" t="e">
        <f>IF(#REF!="","",#REF!)</f>
        <v>#REF!</v>
      </c>
      <c r="J130" s="7" t="e">
        <f>IF(#REF!="","",#REF!)</f>
        <v>#REF!</v>
      </c>
    </row>
    <row r="131" spans="2:10" x14ac:dyDescent="0.25">
      <c r="B131" s="76" t="e">
        <f>IF(#REF!="","",#REF!)</f>
        <v>#REF!</v>
      </c>
      <c r="C131" s="45" t="e">
        <f>IF(#REF!="","",#REF!)</f>
        <v>#REF!</v>
      </c>
      <c r="D131" s="45" t="e">
        <f>IF(#REF!="","",#REF!)</f>
        <v>#REF!</v>
      </c>
      <c r="E131" s="76" t="e">
        <f>IF(#REF!="","",#REF!)</f>
        <v>#REF!</v>
      </c>
      <c r="F131" s="76" t="e">
        <f>IF(#REF!="","",#REF!)</f>
        <v>#REF!</v>
      </c>
      <c r="G131" s="152" t="str">
        <f>Master[[#This Row],[Accession Prefix (NPGS)]]&amp;" "&amp;Master[[#This Row],[Accession Number -Assigned]]</f>
        <v>W6 59717</v>
      </c>
      <c r="I131" s="7" t="e">
        <f>IF(#REF!="","",#REF!)</f>
        <v>#REF!</v>
      </c>
      <c r="J131" s="7" t="e">
        <f>IF(#REF!="","",#REF!)</f>
        <v>#REF!</v>
      </c>
    </row>
    <row r="132" spans="2:10" x14ac:dyDescent="0.25">
      <c r="B132" s="76" t="e">
        <f>IF(#REF!="","",#REF!)</f>
        <v>#REF!</v>
      </c>
      <c r="C132" s="45" t="e">
        <f>IF(#REF!="","",#REF!)</f>
        <v>#REF!</v>
      </c>
      <c r="D132" s="45" t="e">
        <f>IF(#REF!="","",#REF!)</f>
        <v>#REF!</v>
      </c>
      <c r="E132" s="76" t="e">
        <f>IF(#REF!="","",#REF!)</f>
        <v>#REF!</v>
      </c>
      <c r="F132" s="76" t="e">
        <f>IF(#REF!="","",#REF!)</f>
        <v>#REF!</v>
      </c>
      <c r="G132" s="152" t="str">
        <f>Master[[#This Row],[Accession Prefix (NPGS)]]&amp;" "&amp;Master[[#This Row],[Accession Number -Assigned]]</f>
        <v>W6 59718</v>
      </c>
      <c r="I132" s="7" t="e">
        <f>IF(#REF!="","",#REF!)</f>
        <v>#REF!</v>
      </c>
      <c r="J132" s="7" t="e">
        <f>IF(#REF!="","",#REF!)</f>
        <v>#REF!</v>
      </c>
    </row>
    <row r="133" spans="2:10" x14ac:dyDescent="0.25">
      <c r="B133" s="76" t="e">
        <f>IF(#REF!="","",#REF!)</f>
        <v>#REF!</v>
      </c>
      <c r="C133" s="45" t="e">
        <f>IF(#REF!="","",#REF!)</f>
        <v>#REF!</v>
      </c>
      <c r="D133" s="45" t="e">
        <f>IF(#REF!="","",#REF!)</f>
        <v>#REF!</v>
      </c>
      <c r="E133" s="76" t="e">
        <f>IF(#REF!="","",#REF!)</f>
        <v>#REF!</v>
      </c>
      <c r="F133" s="76" t="e">
        <f>IF(#REF!="","",#REF!)</f>
        <v>#REF!</v>
      </c>
      <c r="G133" s="152" t="str">
        <f>Master[[#This Row],[Accession Prefix (NPGS)]]&amp;" "&amp;Master[[#This Row],[Accession Number -Assigned]]</f>
        <v>W6 59719</v>
      </c>
      <c r="I133" s="7" t="e">
        <f>IF(#REF!="","",#REF!)</f>
        <v>#REF!</v>
      </c>
      <c r="J133" s="7" t="e">
        <f>IF(#REF!="","",#REF!)</f>
        <v>#REF!</v>
      </c>
    </row>
    <row r="134" spans="2:10" x14ac:dyDescent="0.25">
      <c r="B134" s="76" t="e">
        <f>IF(#REF!="","",#REF!)</f>
        <v>#REF!</v>
      </c>
      <c r="C134" s="45" t="e">
        <f>IF(#REF!="","",#REF!)</f>
        <v>#REF!</v>
      </c>
      <c r="D134" s="45" t="e">
        <f>IF(#REF!="","",#REF!)</f>
        <v>#REF!</v>
      </c>
      <c r="E134" s="76" t="e">
        <f>IF(#REF!="","",#REF!)</f>
        <v>#REF!</v>
      </c>
      <c r="F134" s="76" t="e">
        <f>IF(#REF!="","",#REF!)</f>
        <v>#REF!</v>
      </c>
      <c r="G134" s="152" t="str">
        <f>Master[[#This Row],[Accession Prefix (NPGS)]]&amp;" "&amp;Master[[#This Row],[Accession Number -Assigned]]</f>
        <v>W6 59720</v>
      </c>
      <c r="I134" s="7" t="e">
        <f>IF(#REF!="","",#REF!)</f>
        <v>#REF!</v>
      </c>
      <c r="J134" s="7" t="e">
        <f>IF(#REF!="","",#REF!)</f>
        <v>#REF!</v>
      </c>
    </row>
    <row r="135" spans="2:10" x14ac:dyDescent="0.25">
      <c r="B135" s="76" t="e">
        <f>IF(#REF!="","",#REF!)</f>
        <v>#REF!</v>
      </c>
      <c r="C135" s="45" t="e">
        <f>IF(#REF!="","",#REF!)</f>
        <v>#REF!</v>
      </c>
      <c r="D135" s="45" t="e">
        <f>IF(#REF!="","",#REF!)</f>
        <v>#REF!</v>
      </c>
      <c r="E135" s="76" t="e">
        <f>IF(#REF!="","",#REF!)</f>
        <v>#REF!</v>
      </c>
      <c r="F135" s="76" t="e">
        <f>IF(#REF!="","",#REF!)</f>
        <v>#REF!</v>
      </c>
      <c r="G135" s="152" t="str">
        <f>Master[[#This Row],[Accession Prefix (NPGS)]]&amp;" "&amp;Master[[#This Row],[Accession Number -Assigned]]</f>
        <v>W6 59721</v>
      </c>
      <c r="I135" s="7" t="e">
        <f>IF(#REF!="","",#REF!)</f>
        <v>#REF!</v>
      </c>
      <c r="J135" s="7" t="e">
        <f>IF(#REF!="","",#REF!)</f>
        <v>#REF!</v>
      </c>
    </row>
    <row r="136" spans="2:10" x14ac:dyDescent="0.25">
      <c r="B136" s="76" t="e">
        <f>IF(#REF!="","",#REF!)</f>
        <v>#REF!</v>
      </c>
      <c r="C136" s="45" t="e">
        <f>IF(#REF!="","",#REF!)</f>
        <v>#REF!</v>
      </c>
      <c r="D136" s="45" t="e">
        <f>IF(#REF!="","",#REF!)</f>
        <v>#REF!</v>
      </c>
      <c r="E136" s="76" t="e">
        <f>IF(#REF!="","",#REF!)</f>
        <v>#REF!</v>
      </c>
      <c r="F136" s="76" t="e">
        <f>IF(#REF!="","",#REF!)</f>
        <v>#REF!</v>
      </c>
      <c r="G136" s="152" t="str">
        <f>Master[[#This Row],[Accession Prefix (NPGS)]]&amp;" "&amp;Master[[#This Row],[Accession Number -Assigned]]</f>
        <v>W6 59722</v>
      </c>
      <c r="I136" s="7" t="e">
        <f>IF(#REF!="","",#REF!)</f>
        <v>#REF!</v>
      </c>
      <c r="J136" s="7" t="e">
        <f>IF(#REF!="","",#REF!)</f>
        <v>#REF!</v>
      </c>
    </row>
    <row r="137" spans="2:10" x14ac:dyDescent="0.25">
      <c r="B137" s="76" t="e">
        <f>IF(#REF!="","",#REF!)</f>
        <v>#REF!</v>
      </c>
      <c r="C137" s="45" t="e">
        <f>IF(#REF!="","",#REF!)</f>
        <v>#REF!</v>
      </c>
      <c r="D137" s="45" t="e">
        <f>IF(#REF!="","",#REF!)</f>
        <v>#REF!</v>
      </c>
      <c r="E137" s="76" t="e">
        <f>IF(#REF!="","",#REF!)</f>
        <v>#REF!</v>
      </c>
      <c r="F137" s="76" t="e">
        <f>IF(#REF!="","",#REF!)</f>
        <v>#REF!</v>
      </c>
      <c r="G137" s="152" t="str">
        <f>Master[[#This Row],[Accession Prefix (NPGS)]]&amp;" "&amp;Master[[#This Row],[Accession Number -Assigned]]</f>
        <v>W6 59723</v>
      </c>
      <c r="I137" s="7" t="e">
        <f>IF(#REF!="","",#REF!)</f>
        <v>#REF!</v>
      </c>
      <c r="J137" s="7" t="e">
        <f>IF(#REF!="","",#REF!)</f>
        <v>#REF!</v>
      </c>
    </row>
    <row r="138" spans="2:10" x14ac:dyDescent="0.25">
      <c r="B138" s="76" t="e">
        <f>IF(#REF!="","",#REF!)</f>
        <v>#REF!</v>
      </c>
      <c r="C138" s="45" t="e">
        <f>IF(#REF!="","",#REF!)</f>
        <v>#REF!</v>
      </c>
      <c r="D138" s="45" t="e">
        <f>IF(#REF!="","",#REF!)</f>
        <v>#REF!</v>
      </c>
      <c r="E138" s="76" t="e">
        <f>IF(#REF!="","",#REF!)</f>
        <v>#REF!</v>
      </c>
      <c r="F138" s="76" t="e">
        <f>IF(#REF!="","",#REF!)</f>
        <v>#REF!</v>
      </c>
      <c r="G138" s="152" t="str">
        <f>Master[[#This Row],[Accession Prefix (NPGS)]]&amp;" "&amp;Master[[#This Row],[Accession Number -Assigned]]</f>
        <v>W6 59724</v>
      </c>
      <c r="I138" s="7" t="e">
        <f>IF(#REF!="","",#REF!)</f>
        <v>#REF!</v>
      </c>
      <c r="J138" s="7" t="e">
        <f>IF(#REF!="","",#REF!)</f>
        <v>#REF!</v>
      </c>
    </row>
    <row r="139" spans="2:10" x14ac:dyDescent="0.25">
      <c r="B139" s="76" t="e">
        <f>IF(#REF!="","",#REF!)</f>
        <v>#REF!</v>
      </c>
      <c r="C139" s="45" t="e">
        <f>IF(#REF!="","",#REF!)</f>
        <v>#REF!</v>
      </c>
      <c r="D139" s="45" t="e">
        <f>IF(#REF!="","",#REF!)</f>
        <v>#REF!</v>
      </c>
      <c r="E139" s="76" t="e">
        <f>IF(#REF!="","",#REF!)</f>
        <v>#REF!</v>
      </c>
      <c r="F139" s="76" t="e">
        <f>IF(#REF!="","",#REF!)</f>
        <v>#REF!</v>
      </c>
      <c r="G139" s="152" t="str">
        <f>Master[[#This Row],[Accession Prefix (NPGS)]]&amp;" "&amp;Master[[#This Row],[Accession Number -Assigned]]</f>
        <v>W6 59725</v>
      </c>
      <c r="I139" s="7" t="e">
        <f>IF(#REF!="","",#REF!)</f>
        <v>#REF!</v>
      </c>
      <c r="J139" s="7" t="e">
        <f>IF(#REF!="","",#REF!)</f>
        <v>#REF!</v>
      </c>
    </row>
    <row r="140" spans="2:10" x14ac:dyDescent="0.25">
      <c r="B140" s="76" t="e">
        <f>IF(#REF!="","",#REF!)</f>
        <v>#REF!</v>
      </c>
      <c r="C140" s="45" t="e">
        <f>IF(#REF!="","",#REF!)</f>
        <v>#REF!</v>
      </c>
      <c r="D140" s="45" t="e">
        <f>IF(#REF!="","",#REF!)</f>
        <v>#REF!</v>
      </c>
      <c r="E140" s="76" t="e">
        <f>IF(#REF!="","",#REF!)</f>
        <v>#REF!</v>
      </c>
      <c r="F140" s="76" t="e">
        <f>IF(#REF!="","",#REF!)</f>
        <v>#REF!</v>
      </c>
      <c r="G140" s="152" t="str">
        <f>Master[[#This Row],[Accession Prefix (NPGS)]]&amp;" "&amp;Master[[#This Row],[Accession Number -Assigned]]</f>
        <v>W6 59726</v>
      </c>
      <c r="I140" s="7" t="e">
        <f>IF(#REF!="","",#REF!)</f>
        <v>#REF!</v>
      </c>
      <c r="J140" s="7" t="e">
        <f>IF(#REF!="","",#REF!)</f>
        <v>#REF!</v>
      </c>
    </row>
    <row r="141" spans="2:10" x14ac:dyDescent="0.25">
      <c r="B141" s="76" t="e">
        <f>IF(#REF!="","",#REF!)</f>
        <v>#REF!</v>
      </c>
      <c r="C141" s="45" t="e">
        <f>IF(#REF!="","",#REF!)</f>
        <v>#REF!</v>
      </c>
      <c r="D141" s="45" t="e">
        <f>IF(#REF!="","",#REF!)</f>
        <v>#REF!</v>
      </c>
      <c r="E141" s="76" t="e">
        <f>IF(#REF!="","",#REF!)</f>
        <v>#REF!</v>
      </c>
      <c r="F141" s="76" t="e">
        <f>IF(#REF!="","",#REF!)</f>
        <v>#REF!</v>
      </c>
      <c r="G141" s="152" t="str">
        <f>Master[[#This Row],[Accession Prefix (NPGS)]]&amp;" "&amp;Master[[#This Row],[Accession Number -Assigned]]</f>
        <v>W6 59727</v>
      </c>
      <c r="I141" s="7" t="e">
        <f>IF(#REF!="","",#REF!)</f>
        <v>#REF!</v>
      </c>
      <c r="J141" s="7" t="e">
        <f>IF(#REF!="","",#REF!)</f>
        <v>#REF!</v>
      </c>
    </row>
    <row r="142" spans="2:10" x14ac:dyDescent="0.25">
      <c r="B142" s="76" t="e">
        <f>IF(#REF!="","",#REF!)</f>
        <v>#REF!</v>
      </c>
      <c r="C142" s="45" t="e">
        <f>IF(#REF!="","",#REF!)</f>
        <v>#REF!</v>
      </c>
      <c r="D142" s="45" t="e">
        <f>IF(#REF!="","",#REF!)</f>
        <v>#REF!</v>
      </c>
      <c r="E142" s="76" t="e">
        <f>IF(#REF!="","",#REF!)</f>
        <v>#REF!</v>
      </c>
      <c r="F142" s="76" t="e">
        <f>IF(#REF!="","",#REF!)</f>
        <v>#REF!</v>
      </c>
      <c r="G142" s="152" t="str">
        <f>Master[[#This Row],[Accession Prefix (NPGS)]]&amp;" "&amp;Master[[#This Row],[Accession Number -Assigned]]</f>
        <v>W6 59728</v>
      </c>
      <c r="I142" s="7" t="e">
        <f>IF(#REF!="","",#REF!)</f>
        <v>#REF!</v>
      </c>
      <c r="J142" s="7" t="e">
        <f>IF(#REF!="","",#REF!)</f>
        <v>#REF!</v>
      </c>
    </row>
    <row r="143" spans="2:10" x14ac:dyDescent="0.25">
      <c r="B143" s="76" t="e">
        <f>IF(#REF!="","",#REF!)</f>
        <v>#REF!</v>
      </c>
      <c r="C143" s="45" t="e">
        <f>IF(#REF!="","",#REF!)</f>
        <v>#REF!</v>
      </c>
      <c r="D143" s="45" t="e">
        <f>IF(#REF!="","",#REF!)</f>
        <v>#REF!</v>
      </c>
      <c r="E143" s="76" t="e">
        <f>IF(#REF!="","",#REF!)</f>
        <v>#REF!</v>
      </c>
      <c r="F143" s="76" t="e">
        <f>IF(#REF!="","",#REF!)</f>
        <v>#REF!</v>
      </c>
      <c r="G143" s="152" t="str">
        <f>Master[[#This Row],[Accession Prefix (NPGS)]]&amp;" "&amp;Master[[#This Row],[Accession Number -Assigned]]</f>
        <v>W6 59729</v>
      </c>
      <c r="I143" s="7" t="e">
        <f>IF(#REF!="","",#REF!)</f>
        <v>#REF!</v>
      </c>
      <c r="J143" s="7" t="e">
        <f>IF(#REF!="","",#REF!)</f>
        <v>#REF!</v>
      </c>
    </row>
    <row r="144" spans="2:10" x14ac:dyDescent="0.25">
      <c r="B144" s="76" t="e">
        <f>IF(#REF!="","",#REF!)</f>
        <v>#REF!</v>
      </c>
      <c r="C144" s="45" t="e">
        <f>IF(#REF!="","",#REF!)</f>
        <v>#REF!</v>
      </c>
      <c r="D144" s="45" t="e">
        <f>IF(#REF!="","",#REF!)</f>
        <v>#REF!</v>
      </c>
      <c r="E144" s="76" t="e">
        <f>IF(#REF!="","",#REF!)</f>
        <v>#REF!</v>
      </c>
      <c r="F144" s="76" t="e">
        <f>IF(#REF!="","",#REF!)</f>
        <v>#REF!</v>
      </c>
      <c r="G144" s="152" t="str">
        <f>Master[[#This Row],[Accession Prefix (NPGS)]]&amp;" "&amp;Master[[#This Row],[Accession Number -Assigned]]</f>
        <v>W6 59730</v>
      </c>
      <c r="I144" s="7" t="e">
        <f>IF(#REF!="","",#REF!)</f>
        <v>#REF!</v>
      </c>
      <c r="J144" s="7" t="e">
        <f>IF(#REF!="","",#REF!)</f>
        <v>#REF!</v>
      </c>
    </row>
    <row r="145" spans="2:10" x14ac:dyDescent="0.25">
      <c r="B145" s="76" t="e">
        <f>IF(#REF!="","",#REF!)</f>
        <v>#REF!</v>
      </c>
      <c r="C145" s="45" t="e">
        <f>IF(#REF!="","",#REF!)</f>
        <v>#REF!</v>
      </c>
      <c r="D145" s="45" t="e">
        <f>IF(#REF!="","",#REF!)</f>
        <v>#REF!</v>
      </c>
      <c r="E145" s="76" t="e">
        <f>IF(#REF!="","",#REF!)</f>
        <v>#REF!</v>
      </c>
      <c r="F145" s="76" t="e">
        <f>IF(#REF!="","",#REF!)</f>
        <v>#REF!</v>
      </c>
      <c r="G145" s="152" t="str">
        <f>Master[[#This Row],[Accession Prefix (NPGS)]]&amp;" "&amp;Master[[#This Row],[Accession Number -Assigned]]</f>
        <v>W6 59731</v>
      </c>
      <c r="I145" s="7" t="e">
        <f>IF(#REF!="","",#REF!)</f>
        <v>#REF!</v>
      </c>
      <c r="J145" s="7" t="e">
        <f>IF(#REF!="","",#REF!)</f>
        <v>#REF!</v>
      </c>
    </row>
    <row r="146" spans="2:10" x14ac:dyDescent="0.25">
      <c r="B146" s="76" t="e">
        <f>IF(#REF!="","",#REF!)</f>
        <v>#REF!</v>
      </c>
      <c r="C146" s="45" t="e">
        <f>IF(#REF!="","",#REF!)</f>
        <v>#REF!</v>
      </c>
      <c r="D146" s="45" t="e">
        <f>IF(#REF!="","",#REF!)</f>
        <v>#REF!</v>
      </c>
      <c r="E146" s="76" t="e">
        <f>IF(#REF!="","",#REF!)</f>
        <v>#REF!</v>
      </c>
      <c r="F146" s="76" t="e">
        <f>IF(#REF!="","",#REF!)</f>
        <v>#REF!</v>
      </c>
      <c r="G146" s="152" t="str">
        <f>Master[[#This Row],[Accession Prefix (NPGS)]]&amp;" "&amp;Master[[#This Row],[Accession Number -Assigned]]</f>
        <v>W6 59732</v>
      </c>
      <c r="I146" s="7" t="e">
        <f>IF(#REF!="","",#REF!)</f>
        <v>#REF!</v>
      </c>
      <c r="J146" s="7" t="e">
        <f>IF(#REF!="","",#REF!)</f>
        <v>#REF!</v>
      </c>
    </row>
    <row r="147" spans="2:10" x14ac:dyDescent="0.25">
      <c r="B147" s="76" t="e">
        <f>IF(#REF!="","",#REF!)</f>
        <v>#REF!</v>
      </c>
      <c r="C147" s="45" t="e">
        <f>IF(#REF!="","",#REF!)</f>
        <v>#REF!</v>
      </c>
      <c r="D147" s="45" t="e">
        <f>IF(#REF!="","",#REF!)</f>
        <v>#REF!</v>
      </c>
      <c r="E147" s="76" t="e">
        <f>IF(#REF!="","",#REF!)</f>
        <v>#REF!</v>
      </c>
      <c r="F147" s="76" t="e">
        <f>IF(#REF!="","",#REF!)</f>
        <v>#REF!</v>
      </c>
      <c r="G147" s="152" t="str">
        <f>Master[[#This Row],[Accession Prefix (NPGS)]]&amp;" "&amp;Master[[#This Row],[Accession Number -Assigned]]</f>
        <v>W6 59733</v>
      </c>
      <c r="I147" s="7" t="e">
        <f>IF(#REF!="","",#REF!)</f>
        <v>#REF!</v>
      </c>
      <c r="J147" s="7" t="e">
        <f>IF(#REF!="","",#REF!)</f>
        <v>#REF!</v>
      </c>
    </row>
    <row r="148" spans="2:10" x14ac:dyDescent="0.25">
      <c r="B148" s="76" t="e">
        <f>IF(#REF!="","",#REF!)</f>
        <v>#REF!</v>
      </c>
      <c r="C148" s="45" t="e">
        <f>IF(#REF!="","",#REF!)</f>
        <v>#REF!</v>
      </c>
      <c r="D148" s="45" t="e">
        <f>IF(#REF!="","",#REF!)</f>
        <v>#REF!</v>
      </c>
      <c r="E148" s="76" t="e">
        <f>IF(#REF!="","",#REF!)</f>
        <v>#REF!</v>
      </c>
      <c r="F148" s="76" t="e">
        <f>IF(#REF!="","",#REF!)</f>
        <v>#REF!</v>
      </c>
      <c r="G148" s="152" t="str">
        <f>Master[[#This Row],[Accession Prefix (NPGS)]]&amp;" "&amp;Master[[#This Row],[Accession Number -Assigned]]</f>
        <v>W6 59734</v>
      </c>
      <c r="I148" s="7" t="e">
        <f>IF(#REF!="","",#REF!)</f>
        <v>#REF!</v>
      </c>
      <c r="J148" s="7" t="e">
        <f>IF(#REF!="","",#REF!)</f>
        <v>#REF!</v>
      </c>
    </row>
    <row r="149" spans="2:10" x14ac:dyDescent="0.25">
      <c r="B149" s="76" t="e">
        <f>IF(#REF!="","",#REF!)</f>
        <v>#REF!</v>
      </c>
      <c r="C149" s="45" t="e">
        <f>IF(#REF!="","",#REF!)</f>
        <v>#REF!</v>
      </c>
      <c r="D149" s="45" t="e">
        <f>IF(#REF!="","",#REF!)</f>
        <v>#REF!</v>
      </c>
      <c r="E149" s="76" t="e">
        <f>IF(#REF!="","",#REF!)</f>
        <v>#REF!</v>
      </c>
      <c r="F149" s="76" t="e">
        <f>IF(#REF!="","",#REF!)</f>
        <v>#REF!</v>
      </c>
      <c r="G149" s="152" t="str">
        <f>Master[[#This Row],[Accession Prefix (NPGS)]]&amp;" "&amp;Master[[#This Row],[Accession Number -Assigned]]</f>
        <v>W6 59735</v>
      </c>
      <c r="I149" s="7" t="e">
        <f>IF(#REF!="","",#REF!)</f>
        <v>#REF!</v>
      </c>
      <c r="J149" s="7" t="e">
        <f>IF(#REF!="","",#REF!)</f>
        <v>#REF!</v>
      </c>
    </row>
    <row r="150" spans="2:10" x14ac:dyDescent="0.25">
      <c r="B150" s="76" t="e">
        <f>IF(#REF!="","",#REF!)</f>
        <v>#REF!</v>
      </c>
      <c r="C150" s="45" t="e">
        <f>IF(#REF!="","",#REF!)</f>
        <v>#REF!</v>
      </c>
      <c r="D150" s="45" t="e">
        <f>IF(#REF!="","",#REF!)</f>
        <v>#REF!</v>
      </c>
      <c r="E150" s="76" t="e">
        <f>IF(#REF!="","",#REF!)</f>
        <v>#REF!</v>
      </c>
      <c r="F150" s="76" t="e">
        <f>IF(#REF!="","",#REF!)</f>
        <v>#REF!</v>
      </c>
      <c r="G150" s="152" t="str">
        <f>Master[[#This Row],[Accession Prefix (NPGS)]]&amp;" "&amp;Master[[#This Row],[Accession Number -Assigned]]</f>
        <v>W6 59736</v>
      </c>
      <c r="I150" s="7" t="e">
        <f>IF(#REF!="","",#REF!)</f>
        <v>#REF!</v>
      </c>
      <c r="J150" s="7" t="e">
        <f>IF(#REF!="","",#REF!)</f>
        <v>#REF!</v>
      </c>
    </row>
    <row r="151" spans="2:10" x14ac:dyDescent="0.25">
      <c r="B151" s="76" t="e">
        <f>IF(#REF!="","",#REF!)</f>
        <v>#REF!</v>
      </c>
      <c r="C151" s="45" t="e">
        <f>IF(#REF!="","",#REF!)</f>
        <v>#REF!</v>
      </c>
      <c r="D151" s="45" t="e">
        <f>IF(#REF!="","",#REF!)</f>
        <v>#REF!</v>
      </c>
      <c r="E151" s="76" t="e">
        <f>IF(#REF!="","",#REF!)</f>
        <v>#REF!</v>
      </c>
      <c r="F151" s="76" t="e">
        <f>IF(#REF!="","",#REF!)</f>
        <v>#REF!</v>
      </c>
      <c r="G151" s="152" t="str">
        <f>Master[[#This Row],[Accession Prefix (NPGS)]]&amp;" "&amp;Master[[#This Row],[Accession Number -Assigned]]</f>
        <v>W6 59737</v>
      </c>
      <c r="I151" s="7" t="e">
        <f>IF(#REF!="","",#REF!)</f>
        <v>#REF!</v>
      </c>
      <c r="J151" s="7" t="e">
        <f>IF(#REF!="","",#REF!)</f>
        <v>#REF!</v>
      </c>
    </row>
    <row r="152" spans="2:10" x14ac:dyDescent="0.25">
      <c r="B152" s="76" t="e">
        <f>IF(#REF!="","",#REF!)</f>
        <v>#REF!</v>
      </c>
      <c r="C152" s="45" t="e">
        <f>IF(#REF!="","",#REF!)</f>
        <v>#REF!</v>
      </c>
      <c r="D152" s="45" t="e">
        <f>IF(#REF!="","",#REF!)</f>
        <v>#REF!</v>
      </c>
      <c r="E152" s="76" t="e">
        <f>IF(#REF!="","",#REF!)</f>
        <v>#REF!</v>
      </c>
      <c r="F152" s="76" t="e">
        <f>IF(#REF!="","",#REF!)</f>
        <v>#REF!</v>
      </c>
      <c r="G152" s="152" t="str">
        <f>Master[[#This Row],[Accession Prefix (NPGS)]]&amp;" "&amp;Master[[#This Row],[Accession Number -Assigned]]</f>
        <v xml:space="preserve"> </v>
      </c>
      <c r="I152" s="7" t="e">
        <f>IF(#REF!="","",#REF!)</f>
        <v>#REF!</v>
      </c>
      <c r="J152" s="7" t="e">
        <f>IF(#REF!="","",#REF!)</f>
        <v>#REF!</v>
      </c>
    </row>
    <row r="153" spans="2:10" x14ac:dyDescent="0.25">
      <c r="B153" s="76" t="e">
        <f>IF(#REF!="","",#REF!)</f>
        <v>#REF!</v>
      </c>
      <c r="C153" s="45" t="e">
        <f>IF(#REF!="","",#REF!)</f>
        <v>#REF!</v>
      </c>
      <c r="D153" s="45" t="e">
        <f>IF(#REF!="","",#REF!)</f>
        <v>#REF!</v>
      </c>
      <c r="E153" s="76" t="e">
        <f>IF(#REF!="","",#REF!)</f>
        <v>#REF!</v>
      </c>
      <c r="F153" s="76" t="e">
        <f>IF(#REF!="","",#REF!)</f>
        <v>#REF!</v>
      </c>
      <c r="G153" s="152" t="str">
        <f>Master[[#This Row],[Accession Prefix (NPGS)]]&amp;" "&amp;Master[[#This Row],[Accession Number -Assigned]]</f>
        <v xml:space="preserve"> </v>
      </c>
      <c r="I153" s="7" t="e">
        <f>IF(#REF!="","",#REF!)</f>
        <v>#REF!</v>
      </c>
      <c r="J153" s="7" t="e">
        <f>IF(#REF!="","",#REF!)</f>
        <v>#REF!</v>
      </c>
    </row>
    <row r="154" spans="2:10" x14ac:dyDescent="0.25">
      <c r="B154" s="76" t="e">
        <f>IF(#REF!="","",#REF!)</f>
        <v>#REF!</v>
      </c>
      <c r="C154" s="45" t="e">
        <f>IF(#REF!="","",#REF!)</f>
        <v>#REF!</v>
      </c>
      <c r="D154" s="45" t="e">
        <f>IF(#REF!="","",#REF!)</f>
        <v>#REF!</v>
      </c>
      <c r="E154" s="76" t="e">
        <f>IF(#REF!="","",#REF!)</f>
        <v>#REF!</v>
      </c>
      <c r="F154" s="76" t="e">
        <f>IF(#REF!="","",#REF!)</f>
        <v>#REF!</v>
      </c>
      <c r="G154" s="152" t="str">
        <f>Master[[#This Row],[Accession Prefix (NPGS)]]&amp;" "&amp;Master[[#This Row],[Accession Number -Assigned]]</f>
        <v xml:space="preserve"> </v>
      </c>
      <c r="I154" s="7" t="e">
        <f>IF(#REF!="","",#REF!)</f>
        <v>#REF!</v>
      </c>
      <c r="J154" s="7" t="e">
        <f>IF(#REF!="","",#REF!)</f>
        <v>#REF!</v>
      </c>
    </row>
    <row r="155" spans="2:10" x14ac:dyDescent="0.25">
      <c r="B155" s="76" t="e">
        <f>IF(#REF!="","",#REF!)</f>
        <v>#REF!</v>
      </c>
      <c r="C155" s="45" t="e">
        <f>IF(#REF!="","",#REF!)</f>
        <v>#REF!</v>
      </c>
      <c r="D155" s="45" t="e">
        <f>IF(#REF!="","",#REF!)</f>
        <v>#REF!</v>
      </c>
      <c r="E155" s="76" t="e">
        <f>IF(#REF!="","",#REF!)</f>
        <v>#REF!</v>
      </c>
      <c r="F155" s="76" t="e">
        <f>IF(#REF!="","",#REF!)</f>
        <v>#REF!</v>
      </c>
      <c r="G155" s="152" t="str">
        <f>Master[[#This Row],[Accession Prefix (NPGS)]]&amp;" "&amp;Master[[#This Row],[Accession Number -Assigned]]</f>
        <v xml:space="preserve"> </v>
      </c>
      <c r="I155" s="7" t="e">
        <f>IF(#REF!="","",#REF!)</f>
        <v>#REF!</v>
      </c>
      <c r="J155" s="7" t="e">
        <f>IF(#REF!="","",#REF!)</f>
        <v>#REF!</v>
      </c>
    </row>
    <row r="156" spans="2:10" x14ac:dyDescent="0.25">
      <c r="B156" s="76" t="e">
        <f>IF(#REF!="","",#REF!)</f>
        <v>#REF!</v>
      </c>
      <c r="C156" s="45" t="e">
        <f>IF(#REF!="","",#REF!)</f>
        <v>#REF!</v>
      </c>
      <c r="D156" s="45" t="e">
        <f>IF(#REF!="","",#REF!)</f>
        <v>#REF!</v>
      </c>
      <c r="E156" s="76" t="e">
        <f>IF(#REF!="","",#REF!)</f>
        <v>#REF!</v>
      </c>
      <c r="F156" s="76" t="e">
        <f>IF(#REF!="","",#REF!)</f>
        <v>#REF!</v>
      </c>
      <c r="G156" s="152" t="str">
        <f>Master[[#This Row],[Accession Prefix (NPGS)]]&amp;" "&amp;Master[[#This Row],[Accession Number -Assigned]]</f>
        <v xml:space="preserve"> </v>
      </c>
      <c r="I156" s="7" t="e">
        <f>IF(#REF!="","",#REF!)</f>
        <v>#REF!</v>
      </c>
      <c r="J156" s="7" t="e">
        <f>IF(#REF!="","",#REF!)</f>
        <v>#REF!</v>
      </c>
    </row>
    <row r="157" spans="2:10" x14ac:dyDescent="0.25">
      <c r="B157" s="76" t="e">
        <f>IF(#REF!="","",#REF!)</f>
        <v>#REF!</v>
      </c>
      <c r="C157" s="45" t="e">
        <f>IF(#REF!="","",#REF!)</f>
        <v>#REF!</v>
      </c>
      <c r="D157" s="45" t="e">
        <f>IF(#REF!="","",#REF!)</f>
        <v>#REF!</v>
      </c>
      <c r="E157" s="76" t="e">
        <f>IF(#REF!="","",#REF!)</f>
        <v>#REF!</v>
      </c>
      <c r="F157" s="76" t="e">
        <f>IF(#REF!="","",#REF!)</f>
        <v>#REF!</v>
      </c>
      <c r="G157" s="152" t="str">
        <f>Master[[#This Row],[Accession Prefix (NPGS)]]&amp;" "&amp;Master[[#This Row],[Accession Number -Assigned]]</f>
        <v xml:space="preserve"> </v>
      </c>
      <c r="I157" s="7" t="e">
        <f>IF(#REF!="","",#REF!)</f>
        <v>#REF!</v>
      </c>
      <c r="J157" s="7" t="e">
        <f>IF(#REF!="","",#REF!)</f>
        <v>#REF!</v>
      </c>
    </row>
    <row r="158" spans="2:10" x14ac:dyDescent="0.25">
      <c r="B158" s="76" t="e">
        <f>IF(#REF!="","",#REF!)</f>
        <v>#REF!</v>
      </c>
      <c r="C158" s="45" t="e">
        <f>IF(#REF!="","",#REF!)</f>
        <v>#REF!</v>
      </c>
      <c r="D158" s="45" t="e">
        <f>IF(#REF!="","",#REF!)</f>
        <v>#REF!</v>
      </c>
      <c r="E158" s="76" t="e">
        <f>IF(#REF!="","",#REF!)</f>
        <v>#REF!</v>
      </c>
      <c r="F158" s="76" t="e">
        <f>IF(#REF!="","",#REF!)</f>
        <v>#REF!</v>
      </c>
      <c r="G158" s="152" t="str">
        <f>Master[[#This Row],[Accession Prefix (NPGS)]]&amp;" "&amp;Master[[#This Row],[Accession Number -Assigned]]</f>
        <v xml:space="preserve"> </v>
      </c>
      <c r="I158" s="7" t="e">
        <f>IF(#REF!="","",#REF!)</f>
        <v>#REF!</v>
      </c>
      <c r="J158" s="7" t="e">
        <f>IF(#REF!="","",#REF!)</f>
        <v>#REF!</v>
      </c>
    </row>
    <row r="159" spans="2:10" x14ac:dyDescent="0.25">
      <c r="B159" s="76" t="e">
        <f>IF(#REF!="","",#REF!)</f>
        <v>#REF!</v>
      </c>
      <c r="C159" s="45" t="e">
        <f>IF(#REF!="","",#REF!)</f>
        <v>#REF!</v>
      </c>
      <c r="D159" s="45" t="e">
        <f>IF(#REF!="","",#REF!)</f>
        <v>#REF!</v>
      </c>
      <c r="E159" s="76" t="e">
        <f>IF(#REF!="","",#REF!)</f>
        <v>#REF!</v>
      </c>
      <c r="F159" s="76" t="e">
        <f>IF(#REF!="","",#REF!)</f>
        <v>#REF!</v>
      </c>
      <c r="G159" s="152" t="str">
        <f>Master[[#This Row],[Accession Prefix (NPGS)]]&amp;" "&amp;Master[[#This Row],[Accession Number -Assigned]]</f>
        <v xml:space="preserve"> </v>
      </c>
      <c r="I159" s="7" t="e">
        <f>IF(#REF!="","",#REF!)</f>
        <v>#REF!</v>
      </c>
      <c r="J159" s="7" t="e">
        <f>IF(#REF!="","",#REF!)</f>
        <v>#REF!</v>
      </c>
    </row>
    <row r="160" spans="2:10" x14ac:dyDescent="0.25">
      <c r="B160" s="76" t="e">
        <f>IF(#REF!="","",#REF!)</f>
        <v>#REF!</v>
      </c>
      <c r="C160" s="45" t="e">
        <f>IF(#REF!="","",#REF!)</f>
        <v>#REF!</v>
      </c>
      <c r="D160" s="45" t="e">
        <f>IF(#REF!="","",#REF!)</f>
        <v>#REF!</v>
      </c>
      <c r="E160" s="76" t="e">
        <f>IF(#REF!="","",#REF!)</f>
        <v>#REF!</v>
      </c>
      <c r="F160" s="76" t="e">
        <f>IF(#REF!="","",#REF!)</f>
        <v>#REF!</v>
      </c>
      <c r="G160" s="152" t="str">
        <f>Master[[#This Row],[Accession Prefix (NPGS)]]&amp;" "&amp;Master[[#This Row],[Accession Number -Assigned]]</f>
        <v xml:space="preserve"> </v>
      </c>
      <c r="I160" s="7" t="e">
        <f>IF(#REF!="","",#REF!)</f>
        <v>#REF!</v>
      </c>
      <c r="J160" s="7" t="e">
        <f>IF(#REF!="","",#REF!)</f>
        <v>#REF!</v>
      </c>
    </row>
    <row r="161" spans="2:10" x14ac:dyDescent="0.25">
      <c r="B161" s="76" t="e">
        <f>IF(#REF!="","",#REF!)</f>
        <v>#REF!</v>
      </c>
      <c r="C161" s="45" t="e">
        <f>IF(#REF!="","",#REF!)</f>
        <v>#REF!</v>
      </c>
      <c r="D161" s="45" t="e">
        <f>IF(#REF!="","",#REF!)</f>
        <v>#REF!</v>
      </c>
      <c r="E161" s="76" t="e">
        <f>IF(#REF!="","",#REF!)</f>
        <v>#REF!</v>
      </c>
      <c r="F161" s="76" t="e">
        <f>IF(#REF!="","",#REF!)</f>
        <v>#REF!</v>
      </c>
      <c r="G161" s="152" t="str">
        <f>Master[[#This Row],[Accession Prefix (NPGS)]]&amp;" "&amp;Master[[#This Row],[Accession Number -Assigned]]</f>
        <v xml:space="preserve"> </v>
      </c>
      <c r="I161" s="7" t="e">
        <f>IF(#REF!="","",#REF!)</f>
        <v>#REF!</v>
      </c>
      <c r="J161" s="7" t="e">
        <f>IF(#REF!="","",#REF!)</f>
        <v>#REF!</v>
      </c>
    </row>
    <row r="162" spans="2:10" x14ac:dyDescent="0.25">
      <c r="B162" s="76" t="e">
        <f>IF(#REF!="","",#REF!)</f>
        <v>#REF!</v>
      </c>
      <c r="C162" s="45" t="e">
        <f>IF(#REF!="","",#REF!)</f>
        <v>#REF!</v>
      </c>
      <c r="D162" s="45" t="e">
        <f>IF(#REF!="","",#REF!)</f>
        <v>#REF!</v>
      </c>
      <c r="E162" s="76" t="e">
        <f>IF(#REF!="","",#REF!)</f>
        <v>#REF!</v>
      </c>
      <c r="F162" s="76" t="e">
        <f>IF(#REF!="","",#REF!)</f>
        <v>#REF!</v>
      </c>
      <c r="G162" s="152" t="str">
        <f>Master[[#This Row],[Accession Prefix (NPGS)]]&amp;" "&amp;Master[[#This Row],[Accession Number -Assigned]]</f>
        <v xml:space="preserve"> </v>
      </c>
      <c r="I162" s="7" t="e">
        <f>IF(#REF!="","",#REF!)</f>
        <v>#REF!</v>
      </c>
      <c r="J162" s="7" t="e">
        <f>IF(#REF!="","",#REF!)</f>
        <v>#REF!</v>
      </c>
    </row>
    <row r="163" spans="2:10" x14ac:dyDescent="0.25">
      <c r="B163" s="76" t="e">
        <f>IF(#REF!="","",#REF!)</f>
        <v>#REF!</v>
      </c>
      <c r="C163" s="45" t="e">
        <f>IF(#REF!="","",#REF!)</f>
        <v>#REF!</v>
      </c>
      <c r="D163" s="45" t="e">
        <f>IF(#REF!="","",#REF!)</f>
        <v>#REF!</v>
      </c>
      <c r="E163" s="76" t="e">
        <f>IF(#REF!="","",#REF!)</f>
        <v>#REF!</v>
      </c>
      <c r="F163" s="76" t="e">
        <f>IF(#REF!="","",#REF!)</f>
        <v>#REF!</v>
      </c>
      <c r="G163" s="152" t="str">
        <f>Master[[#This Row],[Accession Prefix (NPGS)]]&amp;" "&amp;Master[[#This Row],[Accession Number -Assigned]]</f>
        <v xml:space="preserve"> </v>
      </c>
      <c r="I163" s="7" t="e">
        <f>IF(#REF!="","",#REF!)</f>
        <v>#REF!</v>
      </c>
      <c r="J163" s="7" t="e">
        <f>IF(#REF!="","",#REF!)</f>
        <v>#REF!</v>
      </c>
    </row>
    <row r="164" spans="2:10" x14ac:dyDescent="0.25">
      <c r="B164" s="76" t="e">
        <f>IF(#REF!="","",#REF!)</f>
        <v>#REF!</v>
      </c>
      <c r="C164" s="45" t="e">
        <f>IF(#REF!="","",#REF!)</f>
        <v>#REF!</v>
      </c>
      <c r="D164" s="45" t="e">
        <f>IF(#REF!="","",#REF!)</f>
        <v>#REF!</v>
      </c>
      <c r="E164" s="76" t="e">
        <f>IF(#REF!="","",#REF!)</f>
        <v>#REF!</v>
      </c>
      <c r="F164" s="76" t="e">
        <f>IF(#REF!="","",#REF!)</f>
        <v>#REF!</v>
      </c>
      <c r="G164" s="152" t="str">
        <f>Master[[#This Row],[Accession Prefix (NPGS)]]&amp;" "&amp;Master[[#This Row],[Accession Number -Assigned]]</f>
        <v xml:space="preserve"> </v>
      </c>
      <c r="I164" s="7" t="e">
        <f>IF(#REF!="","",#REF!)</f>
        <v>#REF!</v>
      </c>
      <c r="J164" s="7" t="e">
        <f>IF(#REF!="","",#REF!)</f>
        <v>#REF!</v>
      </c>
    </row>
    <row r="165" spans="2:10" x14ac:dyDescent="0.25">
      <c r="B165" s="76" t="e">
        <f>IF(#REF!="","",#REF!)</f>
        <v>#REF!</v>
      </c>
      <c r="C165" s="45" t="e">
        <f>IF(#REF!="","",#REF!)</f>
        <v>#REF!</v>
      </c>
      <c r="D165" s="45" t="e">
        <f>IF(#REF!="","",#REF!)</f>
        <v>#REF!</v>
      </c>
      <c r="E165" s="76" t="e">
        <f>IF(#REF!="","",#REF!)</f>
        <v>#REF!</v>
      </c>
      <c r="F165" s="76" t="e">
        <f>IF(#REF!="","",#REF!)</f>
        <v>#REF!</v>
      </c>
      <c r="G165" s="152" t="str">
        <f>Master[[#This Row],[Accession Prefix (NPGS)]]&amp;" "&amp;Master[[#This Row],[Accession Number -Assigned]]</f>
        <v xml:space="preserve"> </v>
      </c>
      <c r="I165" s="7" t="e">
        <f>IF(#REF!="","",#REF!)</f>
        <v>#REF!</v>
      </c>
      <c r="J165" s="7" t="e">
        <f>IF(#REF!="","",#REF!)</f>
        <v>#REF!</v>
      </c>
    </row>
    <row r="166" spans="2:10" x14ac:dyDescent="0.25">
      <c r="B166" s="76" t="e">
        <f>IF(#REF!="","",#REF!)</f>
        <v>#REF!</v>
      </c>
      <c r="C166" s="45" t="e">
        <f>IF(#REF!="","",#REF!)</f>
        <v>#REF!</v>
      </c>
      <c r="D166" s="45" t="e">
        <f>IF(#REF!="","",#REF!)</f>
        <v>#REF!</v>
      </c>
      <c r="E166" s="76" t="e">
        <f>IF(#REF!="","",#REF!)</f>
        <v>#REF!</v>
      </c>
      <c r="F166" s="76" t="e">
        <f>IF(#REF!="","",#REF!)</f>
        <v>#REF!</v>
      </c>
      <c r="G166" s="152" t="str">
        <f>Master[[#This Row],[Accession Prefix (NPGS)]]&amp;" "&amp;Master[[#This Row],[Accession Number -Assigned]]</f>
        <v xml:space="preserve"> </v>
      </c>
      <c r="I166" s="7" t="e">
        <f>IF(#REF!="","",#REF!)</f>
        <v>#REF!</v>
      </c>
      <c r="J166" s="7" t="e">
        <f>IF(#REF!="","",#REF!)</f>
        <v>#REF!</v>
      </c>
    </row>
    <row r="167" spans="2:10" x14ac:dyDescent="0.25">
      <c r="B167" s="76" t="e">
        <f>IF(#REF!="","",#REF!)</f>
        <v>#REF!</v>
      </c>
      <c r="C167" s="45" t="e">
        <f>IF(#REF!="","",#REF!)</f>
        <v>#REF!</v>
      </c>
      <c r="D167" s="45" t="e">
        <f>IF(#REF!="","",#REF!)</f>
        <v>#REF!</v>
      </c>
      <c r="E167" s="76" t="e">
        <f>IF(#REF!="","",#REF!)</f>
        <v>#REF!</v>
      </c>
      <c r="F167" s="76" t="e">
        <f>IF(#REF!="","",#REF!)</f>
        <v>#REF!</v>
      </c>
      <c r="G167" s="152" t="str">
        <f>Master[[#This Row],[Accession Prefix (NPGS)]]&amp;" "&amp;Master[[#This Row],[Accession Number -Assigned]]</f>
        <v xml:space="preserve"> </v>
      </c>
      <c r="I167" s="7" t="e">
        <f>IF(#REF!="","",#REF!)</f>
        <v>#REF!</v>
      </c>
      <c r="J167" s="7" t="e">
        <f>IF(#REF!="","",#REF!)</f>
        <v>#REF!</v>
      </c>
    </row>
    <row r="168" spans="2:10" x14ac:dyDescent="0.25">
      <c r="B168" s="76" t="e">
        <f>IF(#REF!="","",#REF!)</f>
        <v>#REF!</v>
      </c>
      <c r="C168" s="45" t="e">
        <f>IF(#REF!="","",#REF!)</f>
        <v>#REF!</v>
      </c>
      <c r="D168" s="45" t="e">
        <f>IF(#REF!="","",#REF!)</f>
        <v>#REF!</v>
      </c>
      <c r="E168" s="76" t="e">
        <f>IF(#REF!="","",#REF!)</f>
        <v>#REF!</v>
      </c>
      <c r="F168" s="76" t="e">
        <f>IF(#REF!="","",#REF!)</f>
        <v>#REF!</v>
      </c>
      <c r="G168" s="152" t="str">
        <f>Master[[#This Row],[Accession Prefix (NPGS)]]&amp;" "&amp;Master[[#This Row],[Accession Number -Assigned]]</f>
        <v xml:space="preserve"> </v>
      </c>
      <c r="I168" s="7" t="e">
        <f>IF(#REF!="","",#REF!)</f>
        <v>#REF!</v>
      </c>
      <c r="J168" s="7" t="e">
        <f>IF(#REF!="","",#REF!)</f>
        <v>#REF!</v>
      </c>
    </row>
    <row r="169" spans="2:10" x14ac:dyDescent="0.25">
      <c r="B169" s="76" t="e">
        <f>IF(#REF!="","",#REF!)</f>
        <v>#REF!</v>
      </c>
      <c r="C169" s="45" t="e">
        <f>IF(#REF!="","",#REF!)</f>
        <v>#REF!</v>
      </c>
      <c r="D169" s="45" t="e">
        <f>IF(#REF!="","",#REF!)</f>
        <v>#REF!</v>
      </c>
      <c r="E169" s="76" t="e">
        <f>IF(#REF!="","",#REF!)</f>
        <v>#REF!</v>
      </c>
      <c r="F169" s="76" t="e">
        <f>IF(#REF!="","",#REF!)</f>
        <v>#REF!</v>
      </c>
      <c r="G169" s="152" t="str">
        <f>Master[[#This Row],[Accession Prefix (NPGS)]]&amp;" "&amp;Master[[#This Row],[Accession Number -Assigned]]</f>
        <v xml:space="preserve"> </v>
      </c>
      <c r="I169" s="7" t="e">
        <f>IF(#REF!="","",#REF!)</f>
        <v>#REF!</v>
      </c>
      <c r="J169" s="7" t="e">
        <f>IF(#REF!="","",#REF!)</f>
        <v>#REF!</v>
      </c>
    </row>
    <row r="170" spans="2:10" x14ac:dyDescent="0.25">
      <c r="B170" s="76" t="e">
        <f>IF(#REF!="","",#REF!)</f>
        <v>#REF!</v>
      </c>
      <c r="C170" s="45" t="e">
        <f>IF(#REF!="","",#REF!)</f>
        <v>#REF!</v>
      </c>
      <c r="D170" s="45" t="e">
        <f>IF(#REF!="","",#REF!)</f>
        <v>#REF!</v>
      </c>
      <c r="E170" s="76" t="e">
        <f>IF(#REF!="","",#REF!)</f>
        <v>#REF!</v>
      </c>
      <c r="F170" s="76" t="e">
        <f>IF(#REF!="","",#REF!)</f>
        <v>#REF!</v>
      </c>
      <c r="G170" s="152" t="str">
        <f>Master[[#This Row],[Accession Prefix (NPGS)]]&amp;" "&amp;Master[[#This Row],[Accession Number -Assigned]]</f>
        <v xml:space="preserve"> </v>
      </c>
      <c r="I170" s="7" t="e">
        <f>IF(#REF!="","",#REF!)</f>
        <v>#REF!</v>
      </c>
      <c r="J170" s="7" t="e">
        <f>IF(#REF!="","",#REF!)</f>
        <v>#REF!</v>
      </c>
    </row>
    <row r="171" spans="2:10" x14ac:dyDescent="0.25">
      <c r="B171" s="76" t="e">
        <f>IF(#REF!="","",#REF!)</f>
        <v>#REF!</v>
      </c>
      <c r="C171" s="45" t="e">
        <f>IF(#REF!="","",#REF!)</f>
        <v>#REF!</v>
      </c>
      <c r="D171" s="45" t="e">
        <f>IF(#REF!="","",#REF!)</f>
        <v>#REF!</v>
      </c>
      <c r="E171" s="76" t="e">
        <f>IF(#REF!="","",#REF!)</f>
        <v>#REF!</v>
      </c>
      <c r="F171" s="76" t="e">
        <f>IF(#REF!="","",#REF!)</f>
        <v>#REF!</v>
      </c>
      <c r="G171" s="152" t="str">
        <f>Master[[#This Row],[Accession Prefix (NPGS)]]&amp;" "&amp;Master[[#This Row],[Accession Number -Assigned]]</f>
        <v xml:space="preserve"> </v>
      </c>
      <c r="I171" s="7" t="e">
        <f>IF(#REF!="","",#REF!)</f>
        <v>#REF!</v>
      </c>
      <c r="J171" s="7" t="e">
        <f>IF(#REF!="","",#REF!)</f>
        <v>#REF!</v>
      </c>
    </row>
    <row r="172" spans="2:10" x14ac:dyDescent="0.25">
      <c r="B172" s="76" t="e">
        <f>IF(#REF!="","",#REF!)</f>
        <v>#REF!</v>
      </c>
      <c r="C172" s="45" t="e">
        <f>IF(#REF!="","",#REF!)</f>
        <v>#REF!</v>
      </c>
      <c r="D172" s="45" t="e">
        <f>IF(#REF!="","",#REF!)</f>
        <v>#REF!</v>
      </c>
      <c r="E172" s="76" t="e">
        <f>IF(#REF!="","",#REF!)</f>
        <v>#REF!</v>
      </c>
      <c r="F172" s="76" t="e">
        <f>IF(#REF!="","",#REF!)</f>
        <v>#REF!</v>
      </c>
      <c r="G172" s="152" t="str">
        <f>Master[[#This Row],[Accession Prefix (NPGS)]]&amp;" "&amp;Master[[#This Row],[Accession Number -Assigned]]</f>
        <v xml:space="preserve"> </v>
      </c>
      <c r="I172" s="7" t="e">
        <f>IF(#REF!="","",#REF!)</f>
        <v>#REF!</v>
      </c>
      <c r="J172" s="7" t="e">
        <f>IF(#REF!="","",#REF!)</f>
        <v>#REF!</v>
      </c>
    </row>
    <row r="173" spans="2:10" x14ac:dyDescent="0.25">
      <c r="B173" s="76" t="e">
        <f>IF(#REF!="","",#REF!)</f>
        <v>#REF!</v>
      </c>
      <c r="C173" s="45" t="e">
        <f>IF(#REF!="","",#REF!)</f>
        <v>#REF!</v>
      </c>
      <c r="D173" s="45" t="e">
        <f>IF(#REF!="","",#REF!)</f>
        <v>#REF!</v>
      </c>
      <c r="E173" s="76" t="e">
        <f>IF(#REF!="","",#REF!)</f>
        <v>#REF!</v>
      </c>
      <c r="F173" s="76" t="e">
        <f>IF(#REF!="","",#REF!)</f>
        <v>#REF!</v>
      </c>
      <c r="G173" s="152" t="str">
        <f>Master[[#This Row],[Accession Prefix (NPGS)]]&amp;" "&amp;Master[[#This Row],[Accession Number -Assigned]]</f>
        <v xml:space="preserve"> </v>
      </c>
      <c r="I173" s="7" t="e">
        <f>IF(#REF!="","",#REF!)</f>
        <v>#REF!</v>
      </c>
      <c r="J173" s="7" t="e">
        <f>IF(#REF!="","",#REF!)</f>
        <v>#REF!</v>
      </c>
    </row>
    <row r="174" spans="2:10" x14ac:dyDescent="0.25">
      <c r="B174" s="76" t="e">
        <f>IF(#REF!="","",#REF!)</f>
        <v>#REF!</v>
      </c>
      <c r="C174" s="45" t="e">
        <f>IF(#REF!="","",#REF!)</f>
        <v>#REF!</v>
      </c>
      <c r="D174" s="45" t="e">
        <f>IF(#REF!="","",#REF!)</f>
        <v>#REF!</v>
      </c>
      <c r="E174" s="76" t="e">
        <f>IF(#REF!="","",#REF!)</f>
        <v>#REF!</v>
      </c>
      <c r="F174" s="76" t="e">
        <f>IF(#REF!="","",#REF!)</f>
        <v>#REF!</v>
      </c>
      <c r="G174" s="152" t="str">
        <f>Master[[#This Row],[Accession Prefix (NPGS)]]&amp;" "&amp;Master[[#This Row],[Accession Number -Assigned]]</f>
        <v xml:space="preserve"> </v>
      </c>
      <c r="I174" s="7" t="e">
        <f>IF(#REF!="","",#REF!)</f>
        <v>#REF!</v>
      </c>
      <c r="J174" s="7" t="e">
        <f>IF(#REF!="","",#REF!)</f>
        <v>#REF!</v>
      </c>
    </row>
    <row r="175" spans="2:10" x14ac:dyDescent="0.25">
      <c r="B175" s="76" t="e">
        <f>IF(#REF!="","",#REF!)</f>
        <v>#REF!</v>
      </c>
      <c r="C175" s="45" t="e">
        <f>IF(#REF!="","",#REF!)</f>
        <v>#REF!</v>
      </c>
      <c r="D175" s="45" t="e">
        <f>IF(#REF!="","",#REF!)</f>
        <v>#REF!</v>
      </c>
      <c r="E175" s="76" t="e">
        <f>IF(#REF!="","",#REF!)</f>
        <v>#REF!</v>
      </c>
      <c r="F175" s="76" t="e">
        <f>IF(#REF!="","",#REF!)</f>
        <v>#REF!</v>
      </c>
      <c r="G175" s="152" t="str">
        <f>Master[[#This Row],[Accession Prefix (NPGS)]]&amp;" "&amp;Master[[#This Row],[Accession Number -Assigned]]</f>
        <v xml:space="preserve"> </v>
      </c>
      <c r="I175" s="7" t="e">
        <f>IF(#REF!="","",#REF!)</f>
        <v>#REF!</v>
      </c>
      <c r="J175" s="7" t="e">
        <f>IF(#REF!="","",#REF!)</f>
        <v>#REF!</v>
      </c>
    </row>
    <row r="176" spans="2:10" x14ac:dyDescent="0.25">
      <c r="B176" s="76" t="e">
        <f>IF(#REF!="","",#REF!)</f>
        <v>#REF!</v>
      </c>
      <c r="C176" s="45" t="e">
        <f>IF(#REF!="","",#REF!)</f>
        <v>#REF!</v>
      </c>
      <c r="D176" s="45" t="e">
        <f>IF(#REF!="","",#REF!)</f>
        <v>#REF!</v>
      </c>
      <c r="E176" s="76" t="e">
        <f>IF(#REF!="","",#REF!)</f>
        <v>#REF!</v>
      </c>
      <c r="F176" s="76" t="e">
        <f>IF(#REF!="","",#REF!)</f>
        <v>#REF!</v>
      </c>
      <c r="G176" s="152" t="str">
        <f>Master[[#This Row],[Accession Prefix (NPGS)]]&amp;" "&amp;Master[[#This Row],[Accession Number -Assigned]]</f>
        <v xml:space="preserve"> </v>
      </c>
      <c r="I176" s="7" t="e">
        <f>IF(#REF!="","",#REF!)</f>
        <v>#REF!</v>
      </c>
      <c r="J176" s="7" t="e">
        <f>IF(#REF!="","",#REF!)</f>
        <v>#REF!</v>
      </c>
    </row>
    <row r="177" spans="2:10" x14ac:dyDescent="0.25">
      <c r="B177" s="76" t="e">
        <f>IF(#REF!="","",#REF!)</f>
        <v>#REF!</v>
      </c>
      <c r="C177" s="45" t="e">
        <f>IF(#REF!="","",#REF!)</f>
        <v>#REF!</v>
      </c>
      <c r="D177" s="45" t="e">
        <f>IF(#REF!="","",#REF!)</f>
        <v>#REF!</v>
      </c>
      <c r="E177" s="76" t="e">
        <f>IF(#REF!="","",#REF!)</f>
        <v>#REF!</v>
      </c>
      <c r="F177" s="76" t="e">
        <f>IF(#REF!="","",#REF!)</f>
        <v>#REF!</v>
      </c>
      <c r="G177" s="152" t="str">
        <f>Master[[#This Row],[Accession Prefix (NPGS)]]&amp;" "&amp;Master[[#This Row],[Accession Number -Assigned]]</f>
        <v xml:space="preserve"> </v>
      </c>
      <c r="I177" s="7" t="e">
        <f>IF(#REF!="","",#REF!)</f>
        <v>#REF!</v>
      </c>
      <c r="J177" s="7" t="e">
        <f>IF(#REF!="","",#REF!)</f>
        <v>#REF!</v>
      </c>
    </row>
    <row r="178" spans="2:10" x14ac:dyDescent="0.25">
      <c r="B178" s="76" t="e">
        <f>IF(#REF!="","",#REF!)</f>
        <v>#REF!</v>
      </c>
      <c r="C178" s="45" t="e">
        <f>IF(#REF!="","",#REF!)</f>
        <v>#REF!</v>
      </c>
      <c r="D178" s="45" t="e">
        <f>IF(#REF!="","",#REF!)</f>
        <v>#REF!</v>
      </c>
      <c r="E178" s="76" t="e">
        <f>IF(#REF!="","",#REF!)</f>
        <v>#REF!</v>
      </c>
      <c r="F178" s="76" t="e">
        <f>IF(#REF!="","",#REF!)</f>
        <v>#REF!</v>
      </c>
      <c r="G178" s="152" t="str">
        <f>Master[[#This Row],[Accession Prefix (NPGS)]]&amp;" "&amp;Master[[#This Row],[Accession Number -Assigned]]</f>
        <v xml:space="preserve"> </v>
      </c>
      <c r="I178" s="7" t="e">
        <f>IF(#REF!="","",#REF!)</f>
        <v>#REF!</v>
      </c>
      <c r="J178" s="7" t="e">
        <f>IF(#REF!="","",#REF!)</f>
        <v>#REF!</v>
      </c>
    </row>
    <row r="179" spans="2:10" x14ac:dyDescent="0.25">
      <c r="B179" s="76" t="e">
        <f>IF(#REF!="","",#REF!)</f>
        <v>#REF!</v>
      </c>
      <c r="C179" s="45" t="e">
        <f>IF(#REF!="","",#REF!)</f>
        <v>#REF!</v>
      </c>
      <c r="D179" s="45" t="e">
        <f>IF(#REF!="","",#REF!)</f>
        <v>#REF!</v>
      </c>
      <c r="E179" s="76" t="e">
        <f>IF(#REF!="","",#REF!)</f>
        <v>#REF!</v>
      </c>
      <c r="F179" s="76" t="e">
        <f>IF(#REF!="","",#REF!)</f>
        <v>#REF!</v>
      </c>
      <c r="G179" s="152" t="str">
        <f>Master[[#This Row],[Accession Prefix (NPGS)]]&amp;" "&amp;Master[[#This Row],[Accession Number -Assigned]]</f>
        <v xml:space="preserve"> </v>
      </c>
      <c r="I179" s="7" t="e">
        <f>IF(#REF!="","",#REF!)</f>
        <v>#REF!</v>
      </c>
      <c r="J179" s="7" t="e">
        <f>IF(#REF!="","",#REF!)</f>
        <v>#REF!</v>
      </c>
    </row>
    <row r="180" spans="2:10" x14ac:dyDescent="0.25">
      <c r="B180" s="76" t="e">
        <f>IF(#REF!="","",#REF!)</f>
        <v>#REF!</v>
      </c>
      <c r="C180" s="45" t="e">
        <f>IF(#REF!="","",#REF!)</f>
        <v>#REF!</v>
      </c>
      <c r="D180" s="45" t="e">
        <f>IF(#REF!="","",#REF!)</f>
        <v>#REF!</v>
      </c>
      <c r="E180" s="76" t="e">
        <f>IF(#REF!="","",#REF!)</f>
        <v>#REF!</v>
      </c>
      <c r="F180" s="76" t="e">
        <f>IF(#REF!="","",#REF!)</f>
        <v>#REF!</v>
      </c>
      <c r="G180" s="152" t="str">
        <f>Master[[#This Row],[Accession Prefix (NPGS)]]&amp;" "&amp;Master[[#This Row],[Accession Number -Assigned]]</f>
        <v xml:space="preserve"> </v>
      </c>
      <c r="I180" s="7" t="e">
        <f>IF(#REF!="","",#REF!)</f>
        <v>#REF!</v>
      </c>
      <c r="J180" s="7" t="e">
        <f>IF(#REF!="","",#REF!)</f>
        <v>#REF!</v>
      </c>
    </row>
    <row r="181" spans="2:10" x14ac:dyDescent="0.25">
      <c r="B181" s="76" t="e">
        <f>IF(#REF!="","",#REF!)</f>
        <v>#REF!</v>
      </c>
      <c r="C181" s="45" t="e">
        <f>IF(#REF!="","",#REF!)</f>
        <v>#REF!</v>
      </c>
      <c r="D181" s="45" t="e">
        <f>IF(#REF!="","",#REF!)</f>
        <v>#REF!</v>
      </c>
      <c r="E181" s="76" t="e">
        <f>IF(#REF!="","",#REF!)</f>
        <v>#REF!</v>
      </c>
      <c r="F181" s="76" t="e">
        <f>IF(#REF!="","",#REF!)</f>
        <v>#REF!</v>
      </c>
      <c r="G181" s="152" t="str">
        <f>Master[[#This Row],[Accession Prefix (NPGS)]]&amp;" "&amp;Master[[#This Row],[Accession Number -Assigned]]</f>
        <v xml:space="preserve"> </v>
      </c>
      <c r="I181" s="7" t="e">
        <f>IF(#REF!="","",#REF!)</f>
        <v>#REF!</v>
      </c>
      <c r="J181" s="7" t="e">
        <f>IF(#REF!="","",#REF!)</f>
        <v>#REF!</v>
      </c>
    </row>
    <row r="182" spans="2:10" x14ac:dyDescent="0.25">
      <c r="B182" s="76" t="e">
        <f>IF(#REF!="","",#REF!)</f>
        <v>#REF!</v>
      </c>
      <c r="C182" s="45" t="e">
        <f>IF(#REF!="","",#REF!)</f>
        <v>#REF!</v>
      </c>
      <c r="D182" s="45" t="e">
        <f>IF(#REF!="","",#REF!)</f>
        <v>#REF!</v>
      </c>
      <c r="E182" s="76" t="e">
        <f>IF(#REF!="","",#REF!)</f>
        <v>#REF!</v>
      </c>
      <c r="F182" s="76" t="e">
        <f>IF(#REF!="","",#REF!)</f>
        <v>#REF!</v>
      </c>
      <c r="G182" s="152" t="str">
        <f>Master[[#This Row],[Accession Prefix (NPGS)]]&amp;" "&amp;Master[[#This Row],[Accession Number -Assigned]]</f>
        <v xml:space="preserve"> </v>
      </c>
      <c r="I182" s="7" t="e">
        <f>IF(#REF!="","",#REF!)</f>
        <v>#REF!</v>
      </c>
      <c r="J182" s="7" t="e">
        <f>IF(#REF!="","",#REF!)</f>
        <v>#REF!</v>
      </c>
    </row>
    <row r="183" spans="2:10" x14ac:dyDescent="0.25">
      <c r="B183" s="76" t="e">
        <f>IF(#REF!="","",#REF!)</f>
        <v>#REF!</v>
      </c>
      <c r="C183" s="45" t="e">
        <f>IF(#REF!="","",#REF!)</f>
        <v>#REF!</v>
      </c>
      <c r="D183" s="45" t="e">
        <f>IF(#REF!="","",#REF!)</f>
        <v>#REF!</v>
      </c>
      <c r="E183" s="76" t="e">
        <f>IF(#REF!="","",#REF!)</f>
        <v>#REF!</v>
      </c>
      <c r="F183" s="76" t="e">
        <f>IF(#REF!="","",#REF!)</f>
        <v>#REF!</v>
      </c>
      <c r="G183" s="152" t="str">
        <f>Master[[#This Row],[Accession Prefix (NPGS)]]&amp;" "&amp;Master[[#This Row],[Accession Number -Assigned]]</f>
        <v xml:space="preserve"> </v>
      </c>
      <c r="I183" s="7" t="e">
        <f>IF(#REF!="","",#REF!)</f>
        <v>#REF!</v>
      </c>
      <c r="J183" s="7" t="e">
        <f>IF(#REF!="","",#REF!)</f>
        <v>#REF!</v>
      </c>
    </row>
    <row r="184" spans="2:10" x14ac:dyDescent="0.25">
      <c r="B184" s="76" t="e">
        <f>IF(#REF!="","",#REF!)</f>
        <v>#REF!</v>
      </c>
      <c r="C184" s="45" t="e">
        <f>IF(#REF!="","",#REF!)</f>
        <v>#REF!</v>
      </c>
      <c r="D184" s="45" t="e">
        <f>IF(#REF!="","",#REF!)</f>
        <v>#REF!</v>
      </c>
      <c r="E184" s="76" t="e">
        <f>IF(#REF!="","",#REF!)</f>
        <v>#REF!</v>
      </c>
      <c r="F184" s="76" t="e">
        <f>IF(#REF!="","",#REF!)</f>
        <v>#REF!</v>
      </c>
      <c r="G184" s="152" t="str">
        <f>Master[[#This Row],[Accession Prefix (NPGS)]]&amp;" "&amp;Master[[#This Row],[Accession Number -Assigned]]</f>
        <v xml:space="preserve"> </v>
      </c>
      <c r="I184" s="7" t="e">
        <f>IF(#REF!="","",#REF!)</f>
        <v>#REF!</v>
      </c>
      <c r="J184" s="7" t="e">
        <f>IF(#REF!="","",#REF!)</f>
        <v>#REF!</v>
      </c>
    </row>
    <row r="185" spans="2:10" x14ac:dyDescent="0.25">
      <c r="B185" s="76" t="e">
        <f>IF(#REF!="","",#REF!)</f>
        <v>#REF!</v>
      </c>
      <c r="C185" s="45" t="e">
        <f>IF(#REF!="","",#REF!)</f>
        <v>#REF!</v>
      </c>
      <c r="D185" s="45" t="e">
        <f>IF(#REF!="","",#REF!)</f>
        <v>#REF!</v>
      </c>
      <c r="E185" s="76" t="e">
        <f>IF(#REF!="","",#REF!)</f>
        <v>#REF!</v>
      </c>
      <c r="F185" s="76" t="e">
        <f>IF(#REF!="","",#REF!)</f>
        <v>#REF!</v>
      </c>
      <c r="G185" s="152" t="str">
        <f>Master[[#This Row],[Accession Prefix (NPGS)]]&amp;" "&amp;Master[[#This Row],[Accession Number -Assigned]]</f>
        <v xml:space="preserve"> </v>
      </c>
      <c r="I185" s="7" t="e">
        <f>IF(#REF!="","",#REF!)</f>
        <v>#REF!</v>
      </c>
      <c r="J185" s="7" t="e">
        <f>IF(#REF!="","",#REF!)</f>
        <v>#REF!</v>
      </c>
    </row>
    <row r="186" spans="2:10" x14ac:dyDescent="0.25">
      <c r="B186" s="76" t="e">
        <f>IF(#REF!="","",#REF!)</f>
        <v>#REF!</v>
      </c>
      <c r="C186" s="45" t="e">
        <f>IF(#REF!="","",#REF!)</f>
        <v>#REF!</v>
      </c>
      <c r="D186" s="45" t="e">
        <f>IF(#REF!="","",#REF!)</f>
        <v>#REF!</v>
      </c>
      <c r="E186" s="76" t="e">
        <f>IF(#REF!="","",#REF!)</f>
        <v>#REF!</v>
      </c>
      <c r="F186" s="76" t="e">
        <f>IF(#REF!="","",#REF!)</f>
        <v>#REF!</v>
      </c>
      <c r="G186" s="152" t="str">
        <f>Master[[#This Row],[Accession Prefix (NPGS)]]&amp;" "&amp;Master[[#This Row],[Accession Number -Assigned]]</f>
        <v xml:space="preserve"> </v>
      </c>
      <c r="I186" s="7" t="e">
        <f>IF(#REF!="","",#REF!)</f>
        <v>#REF!</v>
      </c>
      <c r="J186" s="7" t="e">
        <f>IF(#REF!="","",#REF!)</f>
        <v>#REF!</v>
      </c>
    </row>
    <row r="187" spans="2:10" x14ac:dyDescent="0.25">
      <c r="B187" s="76" t="e">
        <f>IF(#REF!="","",#REF!)</f>
        <v>#REF!</v>
      </c>
      <c r="C187" s="45" t="e">
        <f>IF(#REF!="","",#REF!)</f>
        <v>#REF!</v>
      </c>
      <c r="D187" s="45" t="e">
        <f>IF(#REF!="","",#REF!)</f>
        <v>#REF!</v>
      </c>
      <c r="E187" s="76" t="e">
        <f>IF(#REF!="","",#REF!)</f>
        <v>#REF!</v>
      </c>
      <c r="F187" s="76" t="e">
        <f>IF(#REF!="","",#REF!)</f>
        <v>#REF!</v>
      </c>
      <c r="G187" s="152" t="str">
        <f>Master[[#This Row],[Accession Prefix (NPGS)]]&amp;" "&amp;Master[[#This Row],[Accession Number -Assigned]]</f>
        <v xml:space="preserve"> </v>
      </c>
      <c r="I187" s="7" t="e">
        <f>IF(#REF!="","",#REF!)</f>
        <v>#REF!</v>
      </c>
      <c r="J187" s="7" t="e">
        <f>IF(#REF!="","",#REF!)</f>
        <v>#REF!</v>
      </c>
    </row>
    <row r="188" spans="2:10" x14ac:dyDescent="0.25">
      <c r="B188" s="76" t="e">
        <f>IF(#REF!="","",#REF!)</f>
        <v>#REF!</v>
      </c>
      <c r="C188" s="45" t="e">
        <f>IF(#REF!="","",#REF!)</f>
        <v>#REF!</v>
      </c>
      <c r="D188" s="45" t="e">
        <f>IF(#REF!="","",#REF!)</f>
        <v>#REF!</v>
      </c>
      <c r="E188" s="76" t="e">
        <f>IF(#REF!="","",#REF!)</f>
        <v>#REF!</v>
      </c>
      <c r="F188" s="76" t="e">
        <f>IF(#REF!="","",#REF!)</f>
        <v>#REF!</v>
      </c>
      <c r="G188" s="152" t="str">
        <f>Master[[#This Row],[Accession Prefix (NPGS)]]&amp;" "&amp;Master[[#This Row],[Accession Number -Assigned]]</f>
        <v xml:space="preserve"> </v>
      </c>
      <c r="I188" s="7" t="e">
        <f>IF(#REF!="","",#REF!)</f>
        <v>#REF!</v>
      </c>
      <c r="J188" s="7" t="e">
        <f>IF(#REF!="","",#REF!)</f>
        <v>#REF!</v>
      </c>
    </row>
    <row r="189" spans="2:10" x14ac:dyDescent="0.25">
      <c r="B189" s="76" t="e">
        <f>IF(#REF!="","",#REF!)</f>
        <v>#REF!</v>
      </c>
      <c r="C189" s="45" t="e">
        <f>IF(#REF!="","",#REF!)</f>
        <v>#REF!</v>
      </c>
      <c r="D189" s="45" t="e">
        <f>IF(#REF!="","",#REF!)</f>
        <v>#REF!</v>
      </c>
      <c r="E189" s="76" t="e">
        <f>IF(#REF!="","",#REF!)</f>
        <v>#REF!</v>
      </c>
      <c r="F189" s="76" t="e">
        <f>IF(#REF!="","",#REF!)</f>
        <v>#REF!</v>
      </c>
      <c r="G189" s="152" t="str">
        <f>Master[[#This Row],[Accession Prefix (NPGS)]]&amp;" "&amp;Master[[#This Row],[Accession Number -Assigned]]</f>
        <v xml:space="preserve"> </v>
      </c>
      <c r="I189" s="7" t="e">
        <f>IF(#REF!="","",#REF!)</f>
        <v>#REF!</v>
      </c>
      <c r="J189" s="7" t="e">
        <f>IF(#REF!="","",#REF!)</f>
        <v>#REF!</v>
      </c>
    </row>
    <row r="190" spans="2:10" x14ac:dyDescent="0.25">
      <c r="B190" s="76" t="e">
        <f>IF(#REF!="","",#REF!)</f>
        <v>#REF!</v>
      </c>
      <c r="C190" s="45" t="e">
        <f>IF(#REF!="","",#REF!)</f>
        <v>#REF!</v>
      </c>
      <c r="D190" s="45" t="e">
        <f>IF(#REF!="","",#REF!)</f>
        <v>#REF!</v>
      </c>
      <c r="E190" s="76" t="e">
        <f>IF(#REF!="","",#REF!)</f>
        <v>#REF!</v>
      </c>
      <c r="F190" s="76" t="e">
        <f>IF(#REF!="","",#REF!)</f>
        <v>#REF!</v>
      </c>
      <c r="G190" s="152" t="str">
        <f>Master[[#This Row],[Accession Prefix (NPGS)]]&amp;" "&amp;Master[[#This Row],[Accession Number -Assigned]]</f>
        <v xml:space="preserve"> </v>
      </c>
      <c r="I190" s="7" t="e">
        <f>IF(#REF!="","",#REF!)</f>
        <v>#REF!</v>
      </c>
      <c r="J190" s="7" t="e">
        <f>IF(#REF!="","",#REF!)</f>
        <v>#REF!</v>
      </c>
    </row>
    <row r="191" spans="2:10" x14ac:dyDescent="0.25">
      <c r="B191" s="76" t="e">
        <f>IF(#REF!="","",#REF!)</f>
        <v>#REF!</v>
      </c>
      <c r="C191" s="45" t="e">
        <f>IF(#REF!="","",#REF!)</f>
        <v>#REF!</v>
      </c>
      <c r="D191" s="45" t="e">
        <f>IF(#REF!="","",#REF!)</f>
        <v>#REF!</v>
      </c>
      <c r="E191" s="76" t="e">
        <f>IF(#REF!="","",#REF!)</f>
        <v>#REF!</v>
      </c>
      <c r="F191" s="76" t="e">
        <f>IF(#REF!="","",#REF!)</f>
        <v>#REF!</v>
      </c>
      <c r="G191" s="152" t="str">
        <f>Master[[#This Row],[Accession Prefix (NPGS)]]&amp;" "&amp;Master[[#This Row],[Accession Number -Assigned]]</f>
        <v xml:space="preserve"> </v>
      </c>
      <c r="I191" s="7" t="e">
        <f>IF(#REF!="","",#REF!)</f>
        <v>#REF!</v>
      </c>
      <c r="J191" s="7" t="e">
        <f>IF(#REF!="","",#REF!)</f>
        <v>#REF!</v>
      </c>
    </row>
    <row r="192" spans="2:10" x14ac:dyDescent="0.25">
      <c r="B192" s="76" t="e">
        <f>IF(#REF!="","",#REF!)</f>
        <v>#REF!</v>
      </c>
      <c r="C192" s="45" t="e">
        <f>IF(#REF!="","",#REF!)</f>
        <v>#REF!</v>
      </c>
      <c r="D192" s="45" t="e">
        <f>IF(#REF!="","",#REF!)</f>
        <v>#REF!</v>
      </c>
      <c r="E192" s="76" t="e">
        <f>IF(#REF!="","",#REF!)</f>
        <v>#REF!</v>
      </c>
      <c r="F192" s="76" t="e">
        <f>IF(#REF!="","",#REF!)</f>
        <v>#REF!</v>
      </c>
      <c r="G192" s="152" t="str">
        <f>Master[[#This Row],[Accession Prefix (NPGS)]]&amp;" "&amp;Master[[#This Row],[Accession Number -Assigned]]</f>
        <v xml:space="preserve"> </v>
      </c>
      <c r="I192" s="7" t="e">
        <f>IF(#REF!="","",#REF!)</f>
        <v>#REF!</v>
      </c>
      <c r="J192" s="7" t="e">
        <f>IF(#REF!="","",#REF!)</f>
        <v>#REF!</v>
      </c>
    </row>
    <row r="193" spans="2:10" x14ac:dyDescent="0.25">
      <c r="B193" s="76" t="e">
        <f>IF(#REF!="","",#REF!)</f>
        <v>#REF!</v>
      </c>
      <c r="C193" s="45" t="e">
        <f>IF(#REF!="","",#REF!)</f>
        <v>#REF!</v>
      </c>
      <c r="D193" s="45" t="e">
        <f>IF(#REF!="","",#REF!)</f>
        <v>#REF!</v>
      </c>
      <c r="E193" s="76" t="e">
        <f>IF(#REF!="","",#REF!)</f>
        <v>#REF!</v>
      </c>
      <c r="F193" s="76" t="e">
        <f>IF(#REF!="","",#REF!)</f>
        <v>#REF!</v>
      </c>
      <c r="G193" s="152" t="str">
        <f>Master[[#This Row],[Accession Prefix (NPGS)]]&amp;" "&amp;Master[[#This Row],[Accession Number -Assigned]]</f>
        <v xml:space="preserve"> </v>
      </c>
      <c r="I193" s="7" t="e">
        <f>IF(#REF!="","",#REF!)</f>
        <v>#REF!</v>
      </c>
      <c r="J193" s="7" t="e">
        <f>IF(#REF!="","",#REF!)</f>
        <v>#REF!</v>
      </c>
    </row>
    <row r="194" spans="2:10" x14ac:dyDescent="0.25">
      <c r="B194" s="76" t="e">
        <f>IF(#REF!="","",#REF!)</f>
        <v>#REF!</v>
      </c>
      <c r="C194" s="45" t="e">
        <f>IF(#REF!="","",#REF!)</f>
        <v>#REF!</v>
      </c>
      <c r="D194" s="45" t="e">
        <f>IF(#REF!="","",#REF!)</f>
        <v>#REF!</v>
      </c>
      <c r="E194" s="76" t="e">
        <f>IF(#REF!="","",#REF!)</f>
        <v>#REF!</v>
      </c>
      <c r="F194" s="76" t="e">
        <f>IF(#REF!="","",#REF!)</f>
        <v>#REF!</v>
      </c>
      <c r="G194" s="152" t="str">
        <f>Master[[#This Row],[Accession Prefix (NPGS)]]&amp;" "&amp;Master[[#This Row],[Accession Number -Assigned]]</f>
        <v xml:space="preserve"> </v>
      </c>
      <c r="I194" s="7" t="e">
        <f>IF(#REF!="","",#REF!)</f>
        <v>#REF!</v>
      </c>
      <c r="J194" s="7" t="e">
        <f>IF(#REF!="","",#REF!)</f>
        <v>#REF!</v>
      </c>
    </row>
    <row r="195" spans="2:10" x14ac:dyDescent="0.25">
      <c r="B195" s="76" t="e">
        <f>IF(#REF!="","",#REF!)</f>
        <v>#REF!</v>
      </c>
      <c r="C195" s="45" t="e">
        <f>IF(#REF!="","",#REF!)</f>
        <v>#REF!</v>
      </c>
      <c r="D195" s="45" t="e">
        <f>IF(#REF!="","",#REF!)</f>
        <v>#REF!</v>
      </c>
      <c r="E195" s="76" t="e">
        <f>IF(#REF!="","",#REF!)</f>
        <v>#REF!</v>
      </c>
      <c r="F195" s="76" t="e">
        <f>IF(#REF!="","",#REF!)</f>
        <v>#REF!</v>
      </c>
      <c r="G195" s="152" t="str">
        <f>Master[[#This Row],[Accession Prefix (NPGS)]]&amp;" "&amp;Master[[#This Row],[Accession Number -Assigned]]</f>
        <v xml:space="preserve"> </v>
      </c>
      <c r="I195" s="7" t="e">
        <f>IF(#REF!="","",#REF!)</f>
        <v>#REF!</v>
      </c>
      <c r="J195" s="7" t="e">
        <f>IF(#REF!="","",#REF!)</f>
        <v>#REF!</v>
      </c>
    </row>
    <row r="196" spans="2:10" x14ac:dyDescent="0.25">
      <c r="B196" s="76" t="e">
        <f>IF(#REF!="","",#REF!)</f>
        <v>#REF!</v>
      </c>
      <c r="C196" s="45" t="e">
        <f>IF(#REF!="","",#REF!)</f>
        <v>#REF!</v>
      </c>
      <c r="D196" s="45" t="e">
        <f>IF(#REF!="","",#REF!)</f>
        <v>#REF!</v>
      </c>
      <c r="E196" s="76" t="e">
        <f>IF(#REF!="","",#REF!)</f>
        <v>#REF!</v>
      </c>
      <c r="F196" s="76" t="e">
        <f>IF(#REF!="","",#REF!)</f>
        <v>#REF!</v>
      </c>
      <c r="G196" s="152" t="str">
        <f>Master[[#This Row],[Accession Prefix (NPGS)]]&amp;" "&amp;Master[[#This Row],[Accession Number -Assigned]]</f>
        <v xml:space="preserve"> </v>
      </c>
      <c r="I196" s="7" t="e">
        <f>IF(#REF!="","",#REF!)</f>
        <v>#REF!</v>
      </c>
      <c r="J196" s="7" t="e">
        <f>IF(#REF!="","",#REF!)</f>
        <v>#REF!</v>
      </c>
    </row>
    <row r="197" spans="2:10" x14ac:dyDescent="0.25">
      <c r="B197" s="76" t="e">
        <f>IF(#REF!="","",#REF!)</f>
        <v>#REF!</v>
      </c>
      <c r="C197" s="45" t="e">
        <f>IF(#REF!="","",#REF!)</f>
        <v>#REF!</v>
      </c>
      <c r="D197" s="45" t="e">
        <f>IF(#REF!="","",#REF!)</f>
        <v>#REF!</v>
      </c>
      <c r="E197" s="76" t="e">
        <f>IF(#REF!="","",#REF!)</f>
        <v>#REF!</v>
      </c>
      <c r="F197" s="76" t="e">
        <f>IF(#REF!="","",#REF!)</f>
        <v>#REF!</v>
      </c>
      <c r="G197" s="152" t="str">
        <f>Master[[#This Row],[Accession Prefix (NPGS)]]&amp;" "&amp;Master[[#This Row],[Accession Number -Assigned]]</f>
        <v xml:space="preserve"> </v>
      </c>
      <c r="I197" s="7" t="e">
        <f>IF(#REF!="","",#REF!)</f>
        <v>#REF!</v>
      </c>
      <c r="J197" s="7" t="e">
        <f>IF(#REF!="","",#REF!)</f>
        <v>#REF!</v>
      </c>
    </row>
    <row r="198" spans="2:10" x14ac:dyDescent="0.25">
      <c r="B198" s="76" t="e">
        <f>IF(#REF!="","",#REF!)</f>
        <v>#REF!</v>
      </c>
      <c r="C198" s="45" t="e">
        <f>IF(#REF!="","",#REF!)</f>
        <v>#REF!</v>
      </c>
      <c r="D198" s="45" t="e">
        <f>IF(#REF!="","",#REF!)</f>
        <v>#REF!</v>
      </c>
      <c r="E198" s="76" t="e">
        <f>IF(#REF!="","",#REF!)</f>
        <v>#REF!</v>
      </c>
      <c r="F198" s="76" t="e">
        <f>IF(#REF!="","",#REF!)</f>
        <v>#REF!</v>
      </c>
      <c r="G198" s="152" t="str">
        <f>Master[[#This Row],[Accession Prefix (NPGS)]]&amp;" "&amp;Master[[#This Row],[Accession Number -Assigned]]</f>
        <v xml:space="preserve"> </v>
      </c>
      <c r="I198" s="7" t="e">
        <f>IF(#REF!="","",#REF!)</f>
        <v>#REF!</v>
      </c>
      <c r="J198" s="7" t="e">
        <f>IF(#REF!="","",#REF!)</f>
        <v>#REF!</v>
      </c>
    </row>
    <row r="199" spans="2:10" x14ac:dyDescent="0.25">
      <c r="B199" s="76" t="e">
        <f>IF(#REF!="","",#REF!)</f>
        <v>#REF!</v>
      </c>
      <c r="C199" s="45" t="e">
        <f>IF(#REF!="","",#REF!)</f>
        <v>#REF!</v>
      </c>
      <c r="D199" s="45" t="e">
        <f>IF(#REF!="","",#REF!)</f>
        <v>#REF!</v>
      </c>
      <c r="E199" s="76" t="e">
        <f>IF(#REF!="","",#REF!)</f>
        <v>#REF!</v>
      </c>
      <c r="F199" s="76" t="e">
        <f>IF(#REF!="","",#REF!)</f>
        <v>#REF!</v>
      </c>
      <c r="G199" s="152" t="str">
        <f>Master[[#This Row],[Accession Prefix (NPGS)]]&amp;" "&amp;Master[[#This Row],[Accession Number -Assigned]]</f>
        <v xml:space="preserve"> </v>
      </c>
      <c r="I199" s="7" t="e">
        <f>IF(#REF!="","",#REF!)</f>
        <v>#REF!</v>
      </c>
      <c r="J199" s="7" t="e">
        <f>IF(#REF!="","",#REF!)</f>
        <v>#REF!</v>
      </c>
    </row>
    <row r="200" spans="2:10" x14ac:dyDescent="0.25">
      <c r="B200" s="76" t="e">
        <f>IF(#REF!="","",#REF!)</f>
        <v>#REF!</v>
      </c>
      <c r="C200" s="45" t="e">
        <f>IF(#REF!="","",#REF!)</f>
        <v>#REF!</v>
      </c>
      <c r="D200" s="45" t="e">
        <f>IF(#REF!="","",#REF!)</f>
        <v>#REF!</v>
      </c>
      <c r="E200" s="76" t="e">
        <f>IF(#REF!="","",#REF!)</f>
        <v>#REF!</v>
      </c>
      <c r="F200" s="76" t="e">
        <f>IF(#REF!="","",#REF!)</f>
        <v>#REF!</v>
      </c>
      <c r="G200" s="152" t="str">
        <f>Master[[#This Row],[Accession Prefix (NPGS)]]&amp;" "&amp;Master[[#This Row],[Accession Number -Assigned]]</f>
        <v xml:space="preserve"> </v>
      </c>
      <c r="I200" s="7" t="e">
        <f>IF(#REF!="","",#REF!)</f>
        <v>#REF!</v>
      </c>
      <c r="J200" s="7" t="e">
        <f>IF(#REF!="","",#REF!)</f>
        <v>#REF!</v>
      </c>
    </row>
    <row r="201" spans="2:10" x14ac:dyDescent="0.25">
      <c r="B201" s="76" t="e">
        <f>IF(#REF!="","",#REF!)</f>
        <v>#REF!</v>
      </c>
      <c r="C201" s="45" t="e">
        <f>IF(#REF!="","",#REF!)</f>
        <v>#REF!</v>
      </c>
      <c r="D201" s="45" t="e">
        <f>IF(#REF!="","",#REF!)</f>
        <v>#REF!</v>
      </c>
      <c r="E201" s="76" t="e">
        <f>IF(#REF!="","",#REF!)</f>
        <v>#REF!</v>
      </c>
      <c r="F201" s="76" t="e">
        <f>IF(#REF!="","",#REF!)</f>
        <v>#REF!</v>
      </c>
      <c r="G201" s="152" t="str">
        <f>Master[[#This Row],[Accession Prefix (NPGS)]]&amp;" "&amp;Master[[#This Row],[Accession Number -Assigned]]</f>
        <v xml:space="preserve"> </v>
      </c>
      <c r="I201" s="7" t="e">
        <f>IF(#REF!="","",#REF!)</f>
        <v>#REF!</v>
      </c>
      <c r="J201" s="7" t="e">
        <f>IF(#REF!="","",#REF!)</f>
        <v>#REF!</v>
      </c>
    </row>
  </sheetData>
  <pageMargins left="0.7" right="0.7" top="0.75" bottom="0.75" header="0.3" footer="0.3"/>
  <legacy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3">
    <tabColor theme="4" tint="0.59999389629810485"/>
  </sheetPr>
  <dimension ref="A1:O201"/>
  <sheetViews>
    <sheetView topLeftCell="B1" workbookViewId="0">
      <selection activeCell="B4" sqref="B4"/>
    </sheetView>
  </sheetViews>
  <sheetFormatPr defaultRowHeight="15" x14ac:dyDescent="0.25"/>
  <cols>
    <col min="1" max="1" width="12.42578125" customWidth="1"/>
    <col min="2" max="2" width="32.42578125" bestFit="1" customWidth="1"/>
    <col min="3" max="3" width="12.28515625" customWidth="1"/>
    <col min="4" max="4" width="16.7109375" bestFit="1" customWidth="1"/>
    <col min="5" max="5" width="12.28515625" bestFit="1" customWidth="1"/>
    <col min="6" max="6" width="16.28515625" customWidth="1"/>
    <col min="7" max="7" width="14.28515625" bestFit="1" customWidth="1"/>
    <col min="8" max="8" width="15.7109375" customWidth="1"/>
    <col min="9" max="9" width="13.7109375" bestFit="1" customWidth="1"/>
    <col min="10" max="10" width="5.42578125" bestFit="1" customWidth="1"/>
    <col min="11" max="11" width="13.85546875" bestFit="1" customWidth="1"/>
    <col min="12" max="12" width="23.5703125" bestFit="1" customWidth="1"/>
    <col min="13" max="13" width="13.85546875" bestFit="1" customWidth="1"/>
    <col min="14" max="14" width="11.7109375" bestFit="1" customWidth="1"/>
    <col min="15" max="15" width="13.85546875" bestFit="1" customWidth="1"/>
    <col min="16" max="16" width="23.5703125" bestFit="1" customWidth="1"/>
  </cols>
  <sheetData>
    <row r="1" spans="1:15" s="116" customFormat="1" ht="60" x14ac:dyDescent="0.25">
      <c r="A1" s="116" t="s">
        <v>80</v>
      </c>
      <c r="B1" s="118" t="s">
        <v>74</v>
      </c>
      <c r="C1" s="118" t="s">
        <v>81</v>
      </c>
      <c r="D1" s="116" t="s">
        <v>82</v>
      </c>
      <c r="E1" s="122" t="s">
        <v>83</v>
      </c>
      <c r="F1" s="116" t="s">
        <v>84</v>
      </c>
      <c r="G1" s="116" t="s">
        <v>85</v>
      </c>
      <c r="H1" s="116" t="s">
        <v>86</v>
      </c>
      <c r="I1" s="116" t="s">
        <v>9</v>
      </c>
    </row>
    <row r="2" spans="1:15" ht="15.75" x14ac:dyDescent="0.25">
      <c r="A2" s="1">
        <v>999999999</v>
      </c>
      <c r="B2" t="str">
        <f>Master[[#This Row],[Accession Prefix (NPGS)]]&amp;" "&amp;Master[[#This Row],[Accession Number -Assigned]]&amp;" COLLECTED "&amp;TEXT(Master[[#This Row],[Date Collected or Developed]], "MM/DD/YYYY")</f>
        <v>W6 57036 COLLECTED 07/09/2018</v>
      </c>
      <c r="C2" t="str">
        <f>"ASPECT"</f>
        <v>ASPECT</v>
      </c>
      <c r="D2" s="17" t="str">
        <f>IF(Master[[#This Row],[ASPECT -lookup picker]]="","",Master[[#This Row],[ASPECT -lookup picker]])</f>
        <v/>
      </c>
      <c r="E2" s="109"/>
      <c r="H2" t="str">
        <f>IF(Master[[#This Row],[ASPECT Original Value]]="","",Master[[#This Row],[ASPECT Original Value]])</f>
        <v/>
      </c>
      <c r="K2" s="3"/>
      <c r="O2" s="3"/>
    </row>
    <row r="3" spans="1:15" x14ac:dyDescent="0.25">
      <c r="A3" s="7"/>
      <c r="B3" t="str">
        <f>Master[[#This Row],[Accession Prefix (NPGS)]]&amp;" "&amp;Master[[#This Row],[Accession Number -Assigned]]&amp;" COLLECTED "&amp;TEXT(Master[[#This Row],[Date Collected or Developed]], "MM/DD/YYYY")</f>
        <v>W6  COLLECTED COLL_DT</v>
      </c>
      <c r="C3" t="str">
        <f t="shared" ref="C3:C21" si="0">"ASPECT"</f>
        <v>ASPECT</v>
      </c>
      <c r="D3" s="17" t="str">
        <f>IF(Master[[#This Row],[ASPECT -lookup picker]]="","",Master[[#This Row],[ASPECT -lookup picker]])</f>
        <v/>
      </c>
      <c r="E3" s="109"/>
      <c r="H3" t="str">
        <f>IF(Master[[#This Row],[ASPECT Original Value]]="","",Master[[#This Row],[ASPECT Original Value]])</f>
        <v>ASPECT</v>
      </c>
      <c r="K3" s="3"/>
      <c r="O3" s="3"/>
    </row>
    <row r="4" spans="1:15" x14ac:dyDescent="0.25">
      <c r="A4" s="7"/>
      <c r="B4" t="str">
        <f>Master[[#This Row],[Accession Prefix (NPGS)]]&amp;" "&amp;Master[[#This Row],[Accession Number -Assigned]]&amp;" COLLECTED "&amp;TEXT(Master[[#This Row],[Date Collected or Developed]], "MM/DD/YYYY")</f>
        <v>W6 59590 COLLECTED 07/01/2020</v>
      </c>
      <c r="C4" t="str">
        <f t="shared" si="0"/>
        <v>ASPECT</v>
      </c>
      <c r="D4" s="17" t="str">
        <f>IF(Master[[#This Row],[ASPECT -lookup picker]]="","",Master[[#This Row],[ASPECT -lookup picker]])</f>
        <v>North</v>
      </c>
      <c r="E4" s="109"/>
      <c r="H4" t="str">
        <f>IF(Master[[#This Row],[ASPECT Original Value]]="","",Master[[#This Row],[ASPECT Original Value]])</f>
        <v>N</v>
      </c>
      <c r="K4" s="3"/>
      <c r="O4" s="3"/>
    </row>
    <row r="5" spans="1:15" x14ac:dyDescent="0.25">
      <c r="A5" s="7"/>
      <c r="B5" t="str">
        <f>Master[[#This Row],[Accession Prefix (NPGS)]]&amp;" "&amp;Master[[#This Row],[Accession Number -Assigned]]&amp;" COLLECTED "&amp;TEXT(Master[[#This Row],[Date Collected or Developed]], "MM/DD/YYYY")</f>
        <v>W6 59591 COLLECTED 07/14/2020</v>
      </c>
      <c r="C5" t="str">
        <f t="shared" si="0"/>
        <v>ASPECT</v>
      </c>
      <c r="D5" s="17" t="str">
        <f>IF(Master[[#This Row],[ASPECT -lookup picker]]="","",Master[[#This Row],[ASPECT -lookup picker]])</f>
        <v>Southeast</v>
      </c>
      <c r="E5" s="109"/>
      <c r="H5" t="str">
        <f>IF(Master[[#This Row],[ASPECT Original Value]]="","",Master[[#This Row],[ASPECT Original Value]])</f>
        <v>SE</v>
      </c>
      <c r="K5" s="3"/>
      <c r="O5" s="3"/>
    </row>
    <row r="6" spans="1:15" x14ac:dyDescent="0.25">
      <c r="A6" s="7"/>
      <c r="B6" t="str">
        <f>Master[[#This Row],[Accession Prefix (NPGS)]]&amp;" "&amp;Master[[#This Row],[Accession Number -Assigned]]&amp;" COLLECTED "&amp;TEXT(Master[[#This Row],[Date Collected or Developed]], "MM/DD/YYYY")</f>
        <v>W6 59592 COLLECTED 07/29/2020</v>
      </c>
      <c r="C6" t="str">
        <f t="shared" si="0"/>
        <v>ASPECT</v>
      </c>
      <c r="D6" s="17" t="str">
        <f>IF(Master[[#This Row],[ASPECT -lookup picker]]="","",Master[[#This Row],[ASPECT -lookup picker]])</f>
        <v>Northeast</v>
      </c>
      <c r="E6" s="109"/>
      <c r="H6" t="str">
        <f>IF(Master[[#This Row],[ASPECT Original Value]]="","",Master[[#This Row],[ASPECT Original Value]])</f>
        <v>NE</v>
      </c>
    </row>
    <row r="7" spans="1:15" x14ac:dyDescent="0.25">
      <c r="A7" s="7"/>
      <c r="B7" t="str">
        <f>Master[[#This Row],[Accession Prefix (NPGS)]]&amp;" "&amp;Master[[#This Row],[Accession Number -Assigned]]&amp;" COLLECTED "&amp;TEXT(Master[[#This Row],[Date Collected or Developed]], "MM/DD/YYYY")</f>
        <v>W6 59593 COLLECTED 08/04/2020</v>
      </c>
      <c r="C7" t="str">
        <f t="shared" si="0"/>
        <v>ASPECT</v>
      </c>
      <c r="D7" s="17" t="str">
        <f>IF(Master[[#This Row],[ASPECT -lookup picker]]="","",Master[[#This Row],[ASPECT -lookup picker]])</f>
        <v>Northwest</v>
      </c>
      <c r="E7" s="109"/>
      <c r="H7" t="str">
        <f>IF(Master[[#This Row],[ASPECT Original Value]]="","",Master[[#This Row],[ASPECT Original Value]])</f>
        <v>NW</v>
      </c>
    </row>
    <row r="8" spans="1:15" x14ac:dyDescent="0.25">
      <c r="A8" s="7"/>
      <c r="B8" t="str">
        <f>Master[[#This Row],[Accession Prefix (NPGS)]]&amp;" "&amp;Master[[#This Row],[Accession Number -Assigned]]&amp;" COLLECTED "&amp;TEXT(Master[[#This Row],[Date Collected or Developed]], "MM/DD/YYYY")</f>
        <v>W6 59594 COLLECTED 08/10/2020</v>
      </c>
      <c r="C8" t="str">
        <f t="shared" si="0"/>
        <v>ASPECT</v>
      </c>
      <c r="D8" s="17" t="str">
        <f>IF(Master[[#This Row],[ASPECT -lookup picker]]="","",Master[[#This Row],[ASPECT -lookup picker]])</f>
        <v>Southwest</v>
      </c>
      <c r="E8" s="109"/>
      <c r="H8" t="str">
        <f>IF(Master[[#This Row],[ASPECT Original Value]]="","",Master[[#This Row],[ASPECT Original Value]])</f>
        <v>SW</v>
      </c>
    </row>
    <row r="9" spans="1:15" x14ac:dyDescent="0.25">
      <c r="A9" s="7"/>
      <c r="B9" t="str">
        <f>Master[[#This Row],[Accession Prefix (NPGS)]]&amp;" "&amp;Master[[#This Row],[Accession Number -Assigned]]&amp;" COLLECTED "&amp;TEXT(Master[[#This Row],[Date Collected or Developed]], "MM/DD/YYYY")</f>
        <v>W6 59595 COLLECTED 08/12/2020</v>
      </c>
      <c r="C9" t="str">
        <f t="shared" si="0"/>
        <v>ASPECT</v>
      </c>
      <c r="D9" s="17" t="str">
        <f>IF(Master[[#This Row],[ASPECT -lookup picker]]="","",Master[[#This Row],[ASPECT -lookup picker]])</f>
        <v>Southwest</v>
      </c>
      <c r="E9" s="109"/>
      <c r="H9" t="str">
        <f>IF(Master[[#This Row],[ASPECT Original Value]]="","",Master[[#This Row],[ASPECT Original Value]])</f>
        <v>SW</v>
      </c>
    </row>
    <row r="10" spans="1:15" x14ac:dyDescent="0.25">
      <c r="A10" s="7"/>
      <c r="B10" t="str">
        <f>Master[[#This Row],[Accession Prefix (NPGS)]]&amp;" "&amp;Master[[#This Row],[Accession Number -Assigned]]&amp;" COLLECTED "&amp;TEXT(Master[[#This Row],[Date Collected or Developed]], "MM/DD/YYYY")</f>
        <v>W6 59596 COLLECTED 08/13/2020</v>
      </c>
      <c r="C10" t="str">
        <f t="shared" si="0"/>
        <v>ASPECT</v>
      </c>
      <c r="D10" s="17" t="str">
        <f>IF(Master[[#This Row],[ASPECT -lookup picker]]="","",Master[[#This Row],[ASPECT -lookup picker]])</f>
        <v>Southeast</v>
      </c>
      <c r="E10" s="109"/>
      <c r="H10" t="str">
        <f>IF(Master[[#This Row],[ASPECT Original Value]]="","",Master[[#This Row],[ASPECT Original Value]])</f>
        <v>SE</v>
      </c>
    </row>
    <row r="11" spans="1:15" x14ac:dyDescent="0.25">
      <c r="A11" s="7"/>
      <c r="B11" t="str">
        <f>Master[[#This Row],[Accession Prefix (NPGS)]]&amp;" "&amp;Master[[#This Row],[Accession Number -Assigned]]&amp;" COLLECTED "&amp;TEXT(Master[[#This Row],[Date Collected or Developed]], "MM/DD/YYYY")</f>
        <v>W6 59597 COLLECTED 08/18/2020</v>
      </c>
      <c r="C11" t="str">
        <f t="shared" si="0"/>
        <v>ASPECT</v>
      </c>
      <c r="D11" s="17" t="str">
        <f>IF(Master[[#This Row],[ASPECT -lookup picker]]="","",Master[[#This Row],[ASPECT -lookup picker]])</f>
        <v>Southeast</v>
      </c>
      <c r="E11" s="109"/>
      <c r="H11" t="str">
        <f>IF(Master[[#This Row],[ASPECT Original Value]]="","",Master[[#This Row],[ASPECT Original Value]])</f>
        <v>SE</v>
      </c>
    </row>
    <row r="12" spans="1:15" x14ac:dyDescent="0.25">
      <c r="A12" s="7"/>
      <c r="B12" t="str">
        <f>Master[[#This Row],[Accession Prefix (NPGS)]]&amp;" "&amp;Master[[#This Row],[Accession Number -Assigned]]&amp;" COLLECTED "&amp;TEXT(Master[[#This Row],[Date Collected or Developed]], "MM/DD/YYYY")</f>
        <v>W6 59598 COLLECTED 08/18/2020</v>
      </c>
      <c r="C12" t="str">
        <f t="shared" si="0"/>
        <v>ASPECT</v>
      </c>
      <c r="D12" s="17" t="str">
        <f>IF(Master[[#This Row],[ASPECT -lookup picker]]="","",Master[[#This Row],[ASPECT -lookup picker]])</f>
        <v/>
      </c>
      <c r="E12" s="109"/>
      <c r="H12" t="str">
        <f>IF(Master[[#This Row],[ASPECT Original Value]]="","",Master[[#This Row],[ASPECT Original Value]])</f>
        <v/>
      </c>
    </row>
    <row r="13" spans="1:15" x14ac:dyDescent="0.25">
      <c r="A13" s="7"/>
      <c r="B13" t="str">
        <f>Master[[#This Row],[Accession Prefix (NPGS)]]&amp;" "&amp;Master[[#This Row],[Accession Number -Assigned]]&amp;" COLLECTED "&amp;TEXT(Master[[#This Row],[Date Collected or Developed]], "MM/DD/YYYY")</f>
        <v>W6 59599 COLLECTED 08/19/2020</v>
      </c>
      <c r="C13" t="str">
        <f t="shared" si="0"/>
        <v>ASPECT</v>
      </c>
      <c r="D13" s="17" t="str">
        <f>IF(Master[[#This Row],[ASPECT -lookup picker]]="","",Master[[#This Row],[ASPECT -lookup picker]])</f>
        <v>Southwest</v>
      </c>
      <c r="E13" s="109"/>
      <c r="H13" t="str">
        <f>IF(Master[[#This Row],[ASPECT Original Value]]="","",Master[[#This Row],[ASPECT Original Value]])</f>
        <v>SW</v>
      </c>
    </row>
    <row r="14" spans="1:15" x14ac:dyDescent="0.25">
      <c r="A14" s="7"/>
      <c r="B14" t="str">
        <f>Master[[#This Row],[Accession Prefix (NPGS)]]&amp;" "&amp;Master[[#This Row],[Accession Number -Assigned]]&amp;" COLLECTED "&amp;TEXT(Master[[#This Row],[Date Collected or Developed]], "MM/DD/YYYY")</f>
        <v>W6 59600 COLLECTED 08/20/2020</v>
      </c>
      <c r="C14" t="str">
        <f t="shared" si="0"/>
        <v>ASPECT</v>
      </c>
      <c r="D14" s="17" t="str">
        <f>IF(Master[[#This Row],[ASPECT -lookup picker]]="","",Master[[#This Row],[ASPECT -lookup picker]])</f>
        <v>Southwest</v>
      </c>
      <c r="E14" s="109"/>
      <c r="H14" t="str">
        <f>IF(Master[[#This Row],[ASPECT Original Value]]="","",Master[[#This Row],[ASPECT Original Value]])</f>
        <v>SW</v>
      </c>
    </row>
    <row r="15" spans="1:15" x14ac:dyDescent="0.25">
      <c r="A15" s="7"/>
      <c r="B15" t="str">
        <f>Master[[#This Row],[Accession Prefix (NPGS)]]&amp;" "&amp;Master[[#This Row],[Accession Number -Assigned]]&amp;" COLLECTED "&amp;TEXT(Master[[#This Row],[Date Collected or Developed]], "MM/DD/YYYY")</f>
        <v>W6 59601 COLLECTED 08/26/2020</v>
      </c>
      <c r="C15" t="str">
        <f t="shared" si="0"/>
        <v>ASPECT</v>
      </c>
      <c r="D15" s="17" t="str">
        <f>IF(Master[[#This Row],[ASPECT -lookup picker]]="","",Master[[#This Row],[ASPECT -lookup picker]])</f>
        <v>Northwest</v>
      </c>
      <c r="E15" s="109"/>
      <c r="H15" t="str">
        <f>IF(Master[[#This Row],[ASPECT Original Value]]="","",Master[[#This Row],[ASPECT Original Value]])</f>
        <v>NW</v>
      </c>
    </row>
    <row r="16" spans="1:15" x14ac:dyDescent="0.25">
      <c r="A16" s="7"/>
      <c r="B16" t="str">
        <f>Master[[#This Row],[Accession Prefix (NPGS)]]&amp;" "&amp;Master[[#This Row],[Accession Number -Assigned]]&amp;" COLLECTED "&amp;TEXT(Master[[#This Row],[Date Collected or Developed]], "MM/DD/YYYY")</f>
        <v>W6 59602 COLLECTED 08/27/2020</v>
      </c>
      <c r="C16" t="str">
        <f t="shared" si="0"/>
        <v>ASPECT</v>
      </c>
      <c r="D16" s="17" t="str">
        <f>IF(Master[[#This Row],[ASPECT -lookup picker]]="","",Master[[#This Row],[ASPECT -lookup picker]])</f>
        <v>Southeast</v>
      </c>
      <c r="E16" s="109"/>
      <c r="H16" t="str">
        <f>IF(Master[[#This Row],[ASPECT Original Value]]="","",Master[[#This Row],[ASPECT Original Value]])</f>
        <v>SE</v>
      </c>
    </row>
    <row r="17" spans="1:8" x14ac:dyDescent="0.25">
      <c r="A17" s="7"/>
      <c r="B17" t="str">
        <f>Master[[#This Row],[Accession Prefix (NPGS)]]&amp;" "&amp;Master[[#This Row],[Accession Number -Assigned]]&amp;" COLLECTED "&amp;TEXT(Master[[#This Row],[Date Collected or Developed]], "MM/DD/YYYY")</f>
        <v>W6 59603 COLLECTED 09/02/2020</v>
      </c>
      <c r="C17" t="str">
        <f t="shared" si="0"/>
        <v>ASPECT</v>
      </c>
      <c r="D17" s="17" t="str">
        <f>IF(Master[[#This Row],[ASPECT -lookup picker]]="","",Master[[#This Row],[ASPECT -lookup picker]])</f>
        <v>Northeast</v>
      </c>
      <c r="E17" s="109"/>
      <c r="H17" t="str">
        <f>IF(Master[[#This Row],[ASPECT Original Value]]="","",Master[[#This Row],[ASPECT Original Value]])</f>
        <v>NE</v>
      </c>
    </row>
    <row r="18" spans="1:8" x14ac:dyDescent="0.25">
      <c r="A18" s="7"/>
      <c r="B18" t="str">
        <f>Master[[#This Row],[Accession Prefix (NPGS)]]&amp;" "&amp;Master[[#This Row],[Accession Number -Assigned]]&amp;" COLLECTED "&amp;TEXT(Master[[#This Row],[Date Collected or Developed]], "MM/DD/YYYY")</f>
        <v>W6 59604 COLLECTED 09/03/2020</v>
      </c>
      <c r="C18" t="str">
        <f t="shared" si="0"/>
        <v>ASPECT</v>
      </c>
      <c r="D18" s="17" t="str">
        <f>IF(Master[[#This Row],[ASPECT -lookup picker]]="","",Master[[#This Row],[ASPECT -lookup picker]])</f>
        <v>Southeast</v>
      </c>
      <c r="E18" s="109"/>
      <c r="H18" t="str">
        <f>IF(Master[[#This Row],[ASPECT Original Value]]="","",Master[[#This Row],[ASPECT Original Value]])</f>
        <v>SE</v>
      </c>
    </row>
    <row r="19" spans="1:8" x14ac:dyDescent="0.25">
      <c r="A19" s="7"/>
      <c r="B19" t="str">
        <f>Master[[#This Row],[Accession Prefix (NPGS)]]&amp;" "&amp;Master[[#This Row],[Accession Number -Assigned]]&amp;" COLLECTED "&amp;TEXT(Master[[#This Row],[Date Collected or Developed]], "MM/DD/YYYY")</f>
        <v>W6 59605 COLLECTED 09/10/2020</v>
      </c>
      <c r="C19" t="str">
        <f t="shared" si="0"/>
        <v>ASPECT</v>
      </c>
      <c r="D19" s="17" t="str">
        <f>IF(Master[[#This Row],[ASPECT -lookup picker]]="","",Master[[#This Row],[ASPECT -lookup picker]])</f>
        <v>Southeast</v>
      </c>
      <c r="E19" s="109"/>
      <c r="H19" t="str">
        <f>IF(Master[[#This Row],[ASPECT Original Value]]="","",Master[[#This Row],[ASPECT Original Value]])</f>
        <v>SE</v>
      </c>
    </row>
    <row r="20" spans="1:8" x14ac:dyDescent="0.25">
      <c r="A20" s="7"/>
      <c r="B20" t="str">
        <f>Master[[#This Row],[Accession Prefix (NPGS)]]&amp;" "&amp;Master[[#This Row],[Accession Number -Assigned]]&amp;" COLLECTED "&amp;TEXT(Master[[#This Row],[Date Collected or Developed]], "MM/DD/YYYY")</f>
        <v>W6 59606 COLLECTED 09/15/2020</v>
      </c>
      <c r="C20" t="str">
        <f t="shared" si="0"/>
        <v>ASPECT</v>
      </c>
      <c r="D20" s="17" t="str">
        <f>IF(Master[[#This Row],[ASPECT -lookup picker]]="","",Master[[#This Row],[ASPECT -lookup picker]])</f>
        <v>Southwest</v>
      </c>
      <c r="E20" s="109"/>
      <c r="H20" t="str">
        <f>IF(Master[[#This Row],[ASPECT Original Value]]="","",Master[[#This Row],[ASPECT Original Value]])</f>
        <v>SW</v>
      </c>
    </row>
    <row r="21" spans="1:8" x14ac:dyDescent="0.25">
      <c r="A21" s="7"/>
      <c r="B21" t="str">
        <f>Master[[#This Row],[Accession Prefix (NPGS)]]&amp;" "&amp;Master[[#This Row],[Accession Number -Assigned]]&amp;" COLLECTED "&amp;TEXT(Master[[#This Row],[Date Collected or Developed]], "MM/DD/YYYY")</f>
        <v>W6 59607 COLLECTED 09/15/2020</v>
      </c>
      <c r="C21" t="str">
        <f t="shared" si="0"/>
        <v>ASPECT</v>
      </c>
      <c r="D21" s="17" t="str">
        <f>IF(Master[[#This Row],[ASPECT -lookup picker]]="","",Master[[#This Row],[ASPECT -lookup picker]])</f>
        <v/>
      </c>
      <c r="E21" s="109"/>
      <c r="H21" t="str">
        <f>IF(Master[[#This Row],[ASPECT Original Value]]="","",Master[[#This Row],[ASPECT Original Value]])</f>
        <v/>
      </c>
    </row>
    <row r="22" spans="1:8" x14ac:dyDescent="0.25">
      <c r="A22" s="7"/>
      <c r="B22" t="str">
        <f>Master[[#This Row],[Accession Prefix (NPGS)]]&amp;" "&amp;Master[[#This Row],[Accession Number -Assigned]]&amp;" COLLECTED "&amp;TEXT(Master[[#This Row],[Date Collected or Developed]], "MM/DD/YYYY")</f>
        <v>W6 59608 COLLECTED 09/16/2020</v>
      </c>
      <c r="C22" t="str">
        <f t="shared" ref="C22:C30" si="1">"ASPECT"</f>
        <v>ASPECT</v>
      </c>
      <c r="D22" s="76" t="str">
        <f>IF(Master[[#This Row],[ASPECT -lookup picker]]="","",Master[[#This Row],[ASPECT -lookup picker]])</f>
        <v/>
      </c>
      <c r="E22" s="109"/>
      <c r="H22" t="str">
        <f>IF(Master[[#This Row],[ASPECT Original Value]]="","",Master[[#This Row],[ASPECT Original Value]])</f>
        <v/>
      </c>
    </row>
    <row r="23" spans="1:8" x14ac:dyDescent="0.25">
      <c r="A23" s="7"/>
      <c r="B23" t="str">
        <f>Master[[#This Row],[Accession Prefix (NPGS)]]&amp;" "&amp;Master[[#This Row],[Accession Number -Assigned]]&amp;" COLLECTED "&amp;TEXT(Master[[#This Row],[Date Collected or Developed]], "MM/DD/YYYY")</f>
        <v>W6 59609 COLLECTED 09/16/2020</v>
      </c>
      <c r="C23" t="str">
        <f t="shared" si="1"/>
        <v>ASPECT</v>
      </c>
      <c r="D23" s="76" t="str">
        <f>IF(Master[[#This Row],[ASPECT -lookup picker]]="","",Master[[#This Row],[ASPECT -lookup picker]])</f>
        <v>Northwest</v>
      </c>
      <c r="E23" s="109"/>
      <c r="H23" t="str">
        <f>IF(Master[[#This Row],[ASPECT Original Value]]="","",Master[[#This Row],[ASPECT Original Value]])</f>
        <v>NW</v>
      </c>
    </row>
    <row r="24" spans="1:8" x14ac:dyDescent="0.25">
      <c r="A24" s="7"/>
      <c r="B24" t="str">
        <f>Master[[#This Row],[Accession Prefix (NPGS)]]&amp;" "&amp;Master[[#This Row],[Accession Number -Assigned]]&amp;" COLLECTED "&amp;TEXT(Master[[#This Row],[Date Collected or Developed]], "MM/DD/YYYY")</f>
        <v>W6 59610 COLLECTED 09/17/2020</v>
      </c>
      <c r="C24" t="str">
        <f t="shared" si="1"/>
        <v>ASPECT</v>
      </c>
      <c r="D24" s="76" t="str">
        <f>IF(Master[[#This Row],[ASPECT -lookup picker]]="","",Master[[#This Row],[ASPECT -lookup picker]])</f>
        <v>Northwest</v>
      </c>
      <c r="E24" s="109"/>
      <c r="H24" t="str">
        <f>IF(Master[[#This Row],[ASPECT Original Value]]="","",Master[[#This Row],[ASPECT Original Value]])</f>
        <v>NW</v>
      </c>
    </row>
    <row r="25" spans="1:8" x14ac:dyDescent="0.25">
      <c r="A25" s="7"/>
      <c r="B25" t="str">
        <f>Master[[#This Row],[Accession Prefix (NPGS)]]&amp;" "&amp;Master[[#This Row],[Accession Number -Assigned]]&amp;" COLLECTED "&amp;TEXT(Master[[#This Row],[Date Collected or Developed]], "MM/DD/YYYY")</f>
        <v>W6 59611 COLLECTED 09/24/2020</v>
      </c>
      <c r="C25" t="str">
        <f t="shared" si="1"/>
        <v>ASPECT</v>
      </c>
      <c r="D25" s="76" t="str">
        <f>IF(Master[[#This Row],[ASPECT -lookup picker]]="","",Master[[#This Row],[ASPECT -lookup picker]])</f>
        <v>Northwest</v>
      </c>
      <c r="E25" s="109"/>
      <c r="H25" t="str">
        <f>IF(Master[[#This Row],[ASPECT Original Value]]="","",Master[[#This Row],[ASPECT Original Value]])</f>
        <v>NW</v>
      </c>
    </row>
    <row r="26" spans="1:8" x14ac:dyDescent="0.25">
      <c r="A26" s="7"/>
      <c r="B26" t="str">
        <f>Master[[#This Row],[Accession Prefix (NPGS)]]&amp;" "&amp;Master[[#This Row],[Accession Number -Assigned]]&amp;" COLLECTED "&amp;TEXT(Master[[#This Row],[Date Collected or Developed]], "MM/DD/YYYY")</f>
        <v>W6 59612 COLLECTED 09/24/2020</v>
      </c>
      <c r="C26" t="str">
        <f t="shared" si="1"/>
        <v>ASPECT</v>
      </c>
      <c r="D26" s="76" t="str">
        <f>IF(Master[[#This Row],[ASPECT -lookup picker]]="","",Master[[#This Row],[ASPECT -lookup picker]])</f>
        <v>Northeast</v>
      </c>
      <c r="E26" s="109"/>
      <c r="H26" t="str">
        <f>IF(Master[[#This Row],[ASPECT Original Value]]="","",Master[[#This Row],[ASPECT Original Value]])</f>
        <v>NE</v>
      </c>
    </row>
    <row r="27" spans="1:8" x14ac:dyDescent="0.25">
      <c r="A27" s="7"/>
      <c r="B27" t="str">
        <f>Master[[#This Row],[Accession Prefix (NPGS)]]&amp;" "&amp;Master[[#This Row],[Accession Number -Assigned]]&amp;" COLLECTED "&amp;TEXT(Master[[#This Row],[Date Collected or Developed]], "MM/DD/YYYY")</f>
        <v>W6 59613 COLLECTED 09/30/2020</v>
      </c>
      <c r="C27" t="str">
        <f t="shared" si="1"/>
        <v>ASPECT</v>
      </c>
      <c r="D27" s="76" t="str">
        <f>IF(Master[[#This Row],[ASPECT -lookup picker]]="","",Master[[#This Row],[ASPECT -lookup picker]])</f>
        <v>Southwest</v>
      </c>
      <c r="E27" s="109"/>
      <c r="H27" t="str">
        <f>IF(Master[[#This Row],[ASPECT Original Value]]="","",Master[[#This Row],[ASPECT Original Value]])</f>
        <v>SW</v>
      </c>
    </row>
    <row r="28" spans="1:8" x14ac:dyDescent="0.25">
      <c r="A28" s="7"/>
      <c r="B28" t="str">
        <f>Master[[#This Row],[Accession Prefix (NPGS)]]&amp;" "&amp;Master[[#This Row],[Accession Number -Assigned]]&amp;" COLLECTED "&amp;TEXT(Master[[#This Row],[Date Collected or Developed]], "MM/DD/YYYY")</f>
        <v>W6 59614 COLLECTED 09/30/2020</v>
      </c>
      <c r="C28" t="str">
        <f t="shared" si="1"/>
        <v>ASPECT</v>
      </c>
      <c r="D28" s="76" t="str">
        <f>IF(Master[[#This Row],[ASPECT -lookup picker]]="","",Master[[#This Row],[ASPECT -lookup picker]])</f>
        <v>Southwest</v>
      </c>
      <c r="E28" s="109"/>
      <c r="H28" t="str">
        <f>IF(Master[[#This Row],[ASPECT Original Value]]="","",Master[[#This Row],[ASPECT Original Value]])</f>
        <v>SW</v>
      </c>
    </row>
    <row r="29" spans="1:8" x14ac:dyDescent="0.25">
      <c r="A29" s="7"/>
      <c r="B29" t="str">
        <f>Master[[#This Row],[Accession Prefix (NPGS)]]&amp;" "&amp;Master[[#This Row],[Accession Number -Assigned]]&amp;" COLLECTED "&amp;TEXT(Master[[#This Row],[Date Collected or Developed]], "MM/DD/YYYY")</f>
        <v>W6 59615 COLLECTED 10/08/2020</v>
      </c>
      <c r="C29" t="str">
        <f t="shared" si="1"/>
        <v>ASPECT</v>
      </c>
      <c r="D29" s="76" t="str">
        <f>IF(Master[[#This Row],[ASPECT -lookup picker]]="","",Master[[#This Row],[ASPECT -lookup picker]])</f>
        <v>West</v>
      </c>
      <c r="E29" s="109"/>
      <c r="H29" t="str">
        <f>IF(Master[[#This Row],[ASPECT Original Value]]="","",Master[[#This Row],[ASPECT Original Value]])</f>
        <v>W</v>
      </c>
    </row>
    <row r="30" spans="1:8" x14ac:dyDescent="0.25">
      <c r="A30" s="7"/>
      <c r="B30" t="str">
        <f>Master[[#This Row],[Accession Prefix (NPGS)]]&amp;" "&amp;Master[[#This Row],[Accession Number -Assigned]]&amp;" COLLECTED "&amp;TEXT(Master[[#This Row],[Date Collected or Developed]], "MM/DD/YYYY")</f>
        <v>W6 59616 COLLECTED 10/22/2020</v>
      </c>
      <c r="C30" t="str">
        <f t="shared" si="1"/>
        <v>ASPECT</v>
      </c>
      <c r="D30" s="76" t="str">
        <f>IF(Master[[#This Row],[ASPECT -lookup picker]]="","",Master[[#This Row],[ASPECT -lookup picker]])</f>
        <v>Southwest</v>
      </c>
      <c r="E30" s="109"/>
      <c r="H30" t="str">
        <f>IF(Master[[#This Row],[ASPECT Original Value]]="","",Master[[#This Row],[ASPECT Original Value]])</f>
        <v>SW, W</v>
      </c>
    </row>
    <row r="31" spans="1:8" x14ac:dyDescent="0.25">
      <c r="B31" s="7" t="str">
        <f>Master[[#This Row],[Accession Prefix (NPGS)]]&amp;" "&amp;Master[[#This Row],[Accession Number -Assigned]]&amp;" COLLECTED "&amp;TEXT(Master[[#This Row],[Date Collected or Developed]], "MM/DD/YYYY")</f>
        <v>W6 59617 COLLECTED 08/25/2020</v>
      </c>
      <c r="C31" t="str">
        <f>"ASPECT"</f>
        <v>ASPECT</v>
      </c>
      <c r="D31" s="76" t="str">
        <f>IF(Master[[#This Row],[ASPECT -lookup picker]]="","",Master[[#This Row],[ASPECT -lookup picker]])</f>
        <v/>
      </c>
      <c r="E31" s="109"/>
      <c r="H31" t="str">
        <f>IF(Master[[#This Row],[ASPECT Original Value]]="","",Master[[#This Row],[ASPECT Original Value]])</f>
        <v/>
      </c>
    </row>
    <row r="32" spans="1:8" x14ac:dyDescent="0.25">
      <c r="B32" s="7" t="str">
        <f>Master[[#This Row],[Accession Prefix (NPGS)]]&amp;" "&amp;Master[[#This Row],[Accession Number -Assigned]]&amp;" COLLECTED "&amp;TEXT(Master[[#This Row],[Date Collected or Developed]], "MM/DD/YYYY")</f>
        <v>W6 59618 COLLECTED 09/02/2020</v>
      </c>
      <c r="C32" t="str">
        <f>"ASPECT"</f>
        <v>ASPECT</v>
      </c>
      <c r="D32" s="76" t="str">
        <f>IF(Master[[#This Row],[ASPECT -lookup picker]]="","",Master[[#This Row],[ASPECT -lookup picker]])</f>
        <v>East</v>
      </c>
      <c r="E32" s="109"/>
      <c r="H32" t="str">
        <f>IF(Master[[#This Row],[ASPECT Original Value]]="","",Master[[#This Row],[ASPECT Original Value]])</f>
        <v>E</v>
      </c>
    </row>
    <row r="33" spans="2:8" x14ac:dyDescent="0.25">
      <c r="B33" s="7" t="str">
        <f>Master[[#This Row],[Accession Prefix (NPGS)]]&amp;" "&amp;Master[[#This Row],[Accession Number -Assigned]]&amp;" COLLECTED "&amp;TEXT(Master[[#This Row],[Date Collected or Developed]], "MM/DD/YYYY")</f>
        <v>W6 59619 COLLECTED 09/03/2020</v>
      </c>
      <c r="C33" t="str">
        <f>"ASPECT"</f>
        <v>ASPECT</v>
      </c>
      <c r="D33" s="76" t="str">
        <f>IF(Master[[#This Row],[ASPECT -lookup picker]]="","",Master[[#This Row],[ASPECT -lookup picker]])</f>
        <v>Uncertain</v>
      </c>
      <c r="E33" s="109"/>
      <c r="H33" t="str">
        <f>IF(Master[[#This Row],[ASPECT Original Value]]="","",Master[[#This Row],[ASPECT Original Value]])</f>
        <v/>
      </c>
    </row>
    <row r="34" spans="2:8" x14ac:dyDescent="0.25">
      <c r="B34" s="7" t="str">
        <f>Master[[#This Row],[Accession Prefix (NPGS)]]&amp;" "&amp;Master[[#This Row],[Accession Number -Assigned]]&amp;" COLLECTED "&amp;TEXT(Master[[#This Row],[Date Collected or Developed]], "MM/DD/YYYY")</f>
        <v>W6 59620 COLLECTED 09/10/2020</v>
      </c>
      <c r="C34" t="str">
        <f>"ASPECT"</f>
        <v>ASPECT</v>
      </c>
      <c r="D34" s="76" t="str">
        <f>IF(Master[[#This Row],[ASPECT -lookup picker]]="","",Master[[#This Row],[ASPECT -lookup picker]])</f>
        <v/>
      </c>
      <c r="E34" s="109"/>
      <c r="H34" t="str">
        <f>IF(Master[[#This Row],[ASPECT Original Value]]="","",Master[[#This Row],[ASPECT Original Value]])</f>
        <v/>
      </c>
    </row>
    <row r="35" spans="2:8" x14ac:dyDescent="0.25">
      <c r="B35" s="7" t="str">
        <f>Master[[#This Row],[Accession Prefix (NPGS)]]&amp;" "&amp;Master[[#This Row],[Accession Number -Assigned]]&amp;" COLLECTED "&amp;TEXT(Master[[#This Row],[Date Collected or Developed]], "MM/DD/YYYY")</f>
        <v>W6 59621 COLLECTED 09/22/2020</v>
      </c>
      <c r="C35" t="str">
        <f>"ASPECT"</f>
        <v>ASPECT</v>
      </c>
      <c r="D35" s="76" t="str">
        <f>IF(Master[[#This Row],[ASPECT -lookup picker]]="","",Master[[#This Row],[ASPECT -lookup picker]])</f>
        <v/>
      </c>
      <c r="E35" s="109"/>
      <c r="H35" t="str">
        <f>IF(Master[[#This Row],[ASPECT Original Value]]="","",Master[[#This Row],[ASPECT Original Value]])</f>
        <v/>
      </c>
    </row>
    <row r="36" spans="2:8" x14ac:dyDescent="0.25">
      <c r="B36" t="str">
        <f>Master[[#This Row],[Accession Prefix (NPGS)]]&amp;" "&amp;Master[[#This Row],[Accession Number -Assigned]]&amp;" COLLECTED "&amp;TEXT(Master[[#This Row],[Date Collected or Developed]], "MM/DD/YYYY")</f>
        <v>W6 59622 COLLECTED 09/22/2020</v>
      </c>
      <c r="C36" t="str">
        <f t="shared" ref="C36:C67" si="2">"ASPECT"</f>
        <v>ASPECT</v>
      </c>
      <c r="D36" s="76" t="str">
        <f>IF(Master[[#This Row],[ASPECT -lookup picker]]="","",Master[[#This Row],[ASPECT -lookup picker]])</f>
        <v/>
      </c>
      <c r="E36" s="109"/>
      <c r="H36" t="str">
        <f>IF(Master[[#This Row],[ASPECT Original Value]]="","",Master[[#This Row],[ASPECT Original Value]])</f>
        <v/>
      </c>
    </row>
    <row r="37" spans="2:8" x14ac:dyDescent="0.25">
      <c r="B37" t="str">
        <f>Master[[#This Row],[Accession Prefix (NPGS)]]&amp;" "&amp;Master[[#This Row],[Accession Number -Assigned]]&amp;" COLLECTED "&amp;TEXT(Master[[#This Row],[Date Collected or Developed]], "MM/DD/YYYY")</f>
        <v>W6 59623 COLLECTED 10/10/2020</v>
      </c>
      <c r="C37" t="str">
        <f t="shared" si="2"/>
        <v>ASPECT</v>
      </c>
      <c r="D37" s="76" t="str">
        <f>IF(Master[[#This Row],[ASPECT -lookup picker]]="","",Master[[#This Row],[ASPECT -lookup picker]])</f>
        <v>Uncertain</v>
      </c>
      <c r="E37" s="109"/>
      <c r="H37" t="str">
        <f>IF(Master[[#This Row],[ASPECT Original Value]]="","",Master[[#This Row],[ASPECT Original Value]])</f>
        <v/>
      </c>
    </row>
    <row r="38" spans="2:8" x14ac:dyDescent="0.25">
      <c r="B38" t="str">
        <f>Master[[#This Row],[Accession Prefix (NPGS)]]&amp;" "&amp;Master[[#This Row],[Accession Number -Assigned]]&amp;" COLLECTED "&amp;TEXT(Master[[#This Row],[Date Collected or Developed]], "MM/DD/YYYY")</f>
        <v>W6 59624 COLLECTED 10/10/2020</v>
      </c>
      <c r="C38" t="str">
        <f t="shared" si="2"/>
        <v>ASPECT</v>
      </c>
      <c r="D38" s="76" t="str">
        <f>IF(Master[[#This Row],[ASPECT -lookup picker]]="","",Master[[#This Row],[ASPECT -lookup picker]])</f>
        <v/>
      </c>
      <c r="E38" s="109"/>
      <c r="H38" t="str">
        <f>IF(Master[[#This Row],[ASPECT Original Value]]="","",Master[[#This Row],[ASPECT Original Value]])</f>
        <v/>
      </c>
    </row>
    <row r="39" spans="2:8" x14ac:dyDescent="0.25">
      <c r="B39" t="str">
        <f>Master[[#This Row],[Accession Prefix (NPGS)]]&amp;" "&amp;Master[[#This Row],[Accession Number -Assigned]]&amp;" COLLECTED "&amp;TEXT(Master[[#This Row],[Date Collected or Developed]], "MM/DD/YYYY")</f>
        <v>W6 59625 COLLECTED 10/10/2020</v>
      </c>
      <c r="C39" t="str">
        <f t="shared" si="2"/>
        <v>ASPECT</v>
      </c>
      <c r="D39" s="76" t="str">
        <f>IF(Master[[#This Row],[ASPECT -lookup picker]]="","",Master[[#This Row],[ASPECT -lookup picker]])</f>
        <v>Southeast</v>
      </c>
      <c r="E39" s="109"/>
      <c r="H39" t="str">
        <f>IF(Master[[#This Row],[ASPECT Original Value]]="","",Master[[#This Row],[ASPECT Original Value]])</f>
        <v>SE</v>
      </c>
    </row>
    <row r="40" spans="2:8" x14ac:dyDescent="0.25">
      <c r="B40" t="str">
        <f>Master[[#This Row],[Accession Prefix (NPGS)]]&amp;" "&amp;Master[[#This Row],[Accession Number -Assigned]]&amp;" COLLECTED "&amp;TEXT(Master[[#This Row],[Date Collected or Developed]], "MM/DD/YYYY")</f>
        <v>W6 59626 COLLECTED 10/14/2020</v>
      </c>
      <c r="C40" t="str">
        <f t="shared" si="2"/>
        <v>ASPECT</v>
      </c>
      <c r="D40" s="76" t="str">
        <f>IF(Master[[#This Row],[ASPECT -lookup picker]]="","",Master[[#This Row],[ASPECT -lookup picker]])</f>
        <v>Northwest</v>
      </c>
      <c r="E40" s="109"/>
      <c r="H40" t="str">
        <f>IF(Master[[#This Row],[ASPECT Original Value]]="","",Master[[#This Row],[ASPECT Original Value]])</f>
        <v>NW</v>
      </c>
    </row>
    <row r="41" spans="2:8" x14ac:dyDescent="0.25">
      <c r="B41" t="str">
        <f>Master[[#This Row],[Accession Prefix (NPGS)]]&amp;" "&amp;Master[[#This Row],[Accession Number -Assigned]]&amp;" COLLECTED "&amp;TEXT(Master[[#This Row],[Date Collected or Developed]], "MM/DD/YYYY")</f>
        <v>W6 59627 COLLECTED 10/14/2020</v>
      </c>
      <c r="C41" t="str">
        <f t="shared" si="2"/>
        <v>ASPECT</v>
      </c>
      <c r="D41" s="76" t="str">
        <f>IF(Master[[#This Row],[ASPECT -lookup picker]]="","",Master[[#This Row],[ASPECT -lookup picker]])</f>
        <v>Northwest</v>
      </c>
      <c r="E41" s="109"/>
      <c r="H41" t="str">
        <f>IF(Master[[#This Row],[ASPECT Original Value]]="","",Master[[#This Row],[ASPECT Original Value]])</f>
        <v>NW</v>
      </c>
    </row>
    <row r="42" spans="2:8" x14ac:dyDescent="0.25">
      <c r="B42" t="str">
        <f>Master[[#This Row],[Accession Prefix (NPGS)]]&amp;" "&amp;Master[[#This Row],[Accession Number -Assigned]]&amp;" COLLECTED "&amp;TEXT(Master[[#This Row],[Date Collected or Developed]], "MM/DD/YYYY")</f>
        <v>W6 59628 COLLECTED 10/14/2020</v>
      </c>
      <c r="C42" t="str">
        <f t="shared" si="2"/>
        <v>ASPECT</v>
      </c>
      <c r="D42" s="76" t="str">
        <f>IF(Master[[#This Row],[ASPECT -lookup picker]]="","",Master[[#This Row],[ASPECT -lookup picker]])</f>
        <v>South</v>
      </c>
      <c r="E42" s="109"/>
      <c r="H42" t="str">
        <f>IF(Master[[#This Row],[ASPECT Original Value]]="","",Master[[#This Row],[ASPECT Original Value]])</f>
        <v>S</v>
      </c>
    </row>
    <row r="43" spans="2:8" x14ac:dyDescent="0.25">
      <c r="B43" t="str">
        <f>Master[[#This Row],[Accession Prefix (NPGS)]]&amp;" "&amp;Master[[#This Row],[Accession Number -Assigned]]&amp;" COLLECTED "&amp;TEXT(Master[[#This Row],[Date Collected or Developed]], "MM/DD/YYYY")</f>
        <v>W6 59629 COLLECTED 10/15/2020</v>
      </c>
      <c r="C43" t="str">
        <f t="shared" si="2"/>
        <v>ASPECT</v>
      </c>
      <c r="D43" s="76" t="str">
        <f>IF(Master[[#This Row],[ASPECT -lookup picker]]="","",Master[[#This Row],[ASPECT -lookup picker]])</f>
        <v>Southeast</v>
      </c>
      <c r="E43" s="109"/>
      <c r="H43" t="str">
        <f>IF(Master[[#This Row],[ASPECT Original Value]]="","",Master[[#This Row],[ASPECT Original Value]])</f>
        <v>SE</v>
      </c>
    </row>
    <row r="44" spans="2:8" x14ac:dyDescent="0.25">
      <c r="B44" t="str">
        <f>Master[[#This Row],[Accession Prefix (NPGS)]]&amp;" "&amp;Master[[#This Row],[Accession Number -Assigned]]&amp;" COLLECTED "&amp;TEXT(Master[[#This Row],[Date Collected or Developed]], "MM/DD/YYYY")</f>
        <v>W6 59630 COLLECTED 10/15/2020</v>
      </c>
      <c r="C44" t="str">
        <f t="shared" si="2"/>
        <v>ASPECT</v>
      </c>
      <c r="D44" s="76" t="str">
        <f>IF(Master[[#This Row],[ASPECT -lookup picker]]="","",Master[[#This Row],[ASPECT -lookup picker]])</f>
        <v>East</v>
      </c>
      <c r="E44" s="109"/>
      <c r="H44" t="str">
        <f>IF(Master[[#This Row],[ASPECT Original Value]]="","",Master[[#This Row],[ASPECT Original Value]])</f>
        <v>E, SE</v>
      </c>
    </row>
    <row r="45" spans="2:8" x14ac:dyDescent="0.25">
      <c r="B45" t="str">
        <f>Master[[#This Row],[Accession Prefix (NPGS)]]&amp;" "&amp;Master[[#This Row],[Accession Number -Assigned]]&amp;" COLLECTED "&amp;TEXT(Master[[#This Row],[Date Collected or Developed]], "MM/DD/YYYY")</f>
        <v>W6 59631 COLLECTED 10/20/2020</v>
      </c>
      <c r="C45" t="str">
        <f t="shared" si="2"/>
        <v>ASPECT</v>
      </c>
      <c r="D45" s="76" t="str">
        <f>IF(Master[[#This Row],[ASPECT -lookup picker]]="","",Master[[#This Row],[ASPECT -lookup picker]])</f>
        <v>South</v>
      </c>
      <c r="E45" s="109"/>
      <c r="H45" t="str">
        <f>IF(Master[[#This Row],[ASPECT Original Value]]="","",Master[[#This Row],[ASPECT Original Value]])</f>
        <v>S</v>
      </c>
    </row>
    <row r="46" spans="2:8" x14ac:dyDescent="0.25">
      <c r="B46" t="str">
        <f>Master[[#This Row],[Accession Prefix (NPGS)]]&amp;" "&amp;Master[[#This Row],[Accession Number -Assigned]]&amp;" COLLECTED "&amp;TEXT(Master[[#This Row],[Date Collected or Developed]], "MM/DD/YYYY")</f>
        <v>W6 59632 COLLECTED 10/27/2020</v>
      </c>
      <c r="C46" t="str">
        <f t="shared" si="2"/>
        <v>ASPECT</v>
      </c>
      <c r="D46" s="76" t="str">
        <f>IF(Master[[#This Row],[ASPECT -lookup picker]]="","",Master[[#This Row],[ASPECT -lookup picker]])</f>
        <v>East</v>
      </c>
      <c r="E46" s="109"/>
      <c r="H46" t="str">
        <f>IF(Master[[#This Row],[ASPECT Original Value]]="","",Master[[#This Row],[ASPECT Original Value]])</f>
        <v>E</v>
      </c>
    </row>
    <row r="47" spans="2:8" x14ac:dyDescent="0.25">
      <c r="B47" t="str">
        <f>Master[[#This Row],[Accession Prefix (NPGS)]]&amp;" "&amp;Master[[#This Row],[Accession Number -Assigned]]&amp;" COLLECTED "&amp;TEXT(Master[[#This Row],[Date Collected or Developed]], "MM/DD/YYYY")</f>
        <v>W6 59633 COLLECTED 11/10/2020</v>
      </c>
      <c r="C47" t="str">
        <f t="shared" si="2"/>
        <v>ASPECT</v>
      </c>
      <c r="D47" s="76" t="str">
        <f>IF(Master[[#This Row],[ASPECT -lookup picker]]="","",Master[[#This Row],[ASPECT -lookup picker]])</f>
        <v>East</v>
      </c>
      <c r="E47" s="109"/>
      <c r="H47" t="str">
        <f>IF(Master[[#This Row],[ASPECT Original Value]]="","",Master[[#This Row],[ASPECT Original Value]])</f>
        <v>E</v>
      </c>
    </row>
    <row r="48" spans="2:8" x14ac:dyDescent="0.25">
      <c r="B48" t="str">
        <f>Master[[#This Row],[Accession Prefix (NPGS)]]&amp;" "&amp;Master[[#This Row],[Accession Number -Assigned]]&amp;" COLLECTED "&amp;TEXT(Master[[#This Row],[Date Collected or Developed]], "MM/DD/YYYY")</f>
        <v>W6 59634 COLLECTED 11/10/2020</v>
      </c>
      <c r="C48" t="str">
        <f t="shared" si="2"/>
        <v>ASPECT</v>
      </c>
      <c r="D48" s="76" t="str">
        <f>IF(Master[[#This Row],[ASPECT -lookup picker]]="","",Master[[#This Row],[ASPECT -lookup picker]])</f>
        <v>East</v>
      </c>
      <c r="E48" s="109"/>
      <c r="H48" t="str">
        <f>IF(Master[[#This Row],[ASPECT Original Value]]="","",Master[[#This Row],[ASPECT Original Value]])</f>
        <v>E</v>
      </c>
    </row>
    <row r="49" spans="2:8" x14ac:dyDescent="0.25">
      <c r="B49" t="str">
        <f>Master[[#This Row],[Accession Prefix (NPGS)]]&amp;" "&amp;Master[[#This Row],[Accession Number -Assigned]]&amp;" COLLECTED "&amp;TEXT(Master[[#This Row],[Date Collected or Developed]], "MM/DD/YYYY")</f>
        <v>W6 59635 COLLECTED 11/19/2020</v>
      </c>
      <c r="C49" t="str">
        <f t="shared" si="2"/>
        <v>ASPECT</v>
      </c>
      <c r="D49" s="76" t="str">
        <f>IF(Master[[#This Row],[ASPECT -lookup picker]]="","",Master[[#This Row],[ASPECT -lookup picker]])</f>
        <v>South</v>
      </c>
      <c r="E49" s="109"/>
      <c r="H49" t="str">
        <f>IF(Master[[#This Row],[ASPECT Original Value]]="","",Master[[#This Row],[ASPECT Original Value]])</f>
        <v>S</v>
      </c>
    </row>
    <row r="50" spans="2:8" x14ac:dyDescent="0.25">
      <c r="B50" t="str">
        <f>Master[[#This Row],[Accession Prefix (NPGS)]]&amp;" "&amp;Master[[#This Row],[Accession Number -Assigned]]&amp;" COLLECTED "&amp;TEXT(Master[[#This Row],[Date Collected or Developed]], "MM/DD/YYYY")</f>
        <v>W6 59636 COLLECTED 11/23/2020</v>
      </c>
      <c r="C50" t="str">
        <f t="shared" si="2"/>
        <v>ASPECT</v>
      </c>
      <c r="D50" s="76" t="str">
        <f>IF(Master[[#This Row],[ASPECT -lookup picker]]="","",Master[[#This Row],[ASPECT -lookup picker]])</f>
        <v/>
      </c>
      <c r="E50" s="109"/>
      <c r="H50" t="str">
        <f>IF(Master[[#This Row],[ASPECT Original Value]]="","",Master[[#This Row],[ASPECT Original Value]])</f>
        <v/>
      </c>
    </row>
    <row r="51" spans="2:8" x14ac:dyDescent="0.25">
      <c r="B51" t="str">
        <f>Master[[#This Row],[Accession Prefix (NPGS)]]&amp;" "&amp;Master[[#This Row],[Accession Number -Assigned]]&amp;" COLLECTED "&amp;TEXT(Master[[#This Row],[Date Collected or Developed]], "MM/DD/YYYY")</f>
        <v>W6 59637 COLLECTED 12/03/2020</v>
      </c>
      <c r="C51" t="str">
        <f t="shared" si="2"/>
        <v>ASPECT</v>
      </c>
      <c r="D51" s="76" t="str">
        <f>IF(Master[[#This Row],[ASPECT -lookup picker]]="","",Master[[#This Row],[ASPECT -lookup picker]])</f>
        <v>Southeast</v>
      </c>
      <c r="E51" s="109"/>
      <c r="H51" t="str">
        <f>IF(Master[[#This Row],[ASPECT Original Value]]="","",Master[[#This Row],[ASPECT Original Value]])</f>
        <v>SE</v>
      </c>
    </row>
    <row r="52" spans="2:8" x14ac:dyDescent="0.25">
      <c r="B52" t="str">
        <f>Master[[#This Row],[Accession Prefix (NPGS)]]&amp;" "&amp;Master[[#This Row],[Accession Number -Assigned]]&amp;" COLLECTED "&amp;TEXT(Master[[#This Row],[Date Collected or Developed]], "MM/DD/YYYY")</f>
        <v>W6 59638 COLLECTED 12/03/2020</v>
      </c>
      <c r="C52" t="str">
        <f t="shared" si="2"/>
        <v>ASPECT</v>
      </c>
      <c r="D52" s="76" t="str">
        <f>IF(Master[[#This Row],[ASPECT -lookup picker]]="","",Master[[#This Row],[ASPECT -lookup picker]])</f>
        <v/>
      </c>
      <c r="E52" s="109"/>
      <c r="H52" t="str">
        <f>IF(Master[[#This Row],[ASPECT Original Value]]="","",Master[[#This Row],[ASPECT Original Value]])</f>
        <v/>
      </c>
    </row>
    <row r="53" spans="2:8" x14ac:dyDescent="0.25">
      <c r="B53" t="str">
        <f>Master[[#This Row],[Accession Prefix (NPGS)]]&amp;" "&amp;Master[[#This Row],[Accession Number -Assigned]]&amp;" COLLECTED "&amp;TEXT(Master[[#This Row],[Date Collected or Developed]], "MM/DD/YYYY")</f>
        <v>W6 59639 COLLECTED 12/03/2020</v>
      </c>
      <c r="C53" t="str">
        <f t="shared" si="2"/>
        <v>ASPECT</v>
      </c>
      <c r="D53" s="76" t="str">
        <f>IF(Master[[#This Row],[ASPECT -lookup picker]]="","",Master[[#This Row],[ASPECT -lookup picker]])</f>
        <v/>
      </c>
      <c r="E53" s="109"/>
      <c r="H53" t="str">
        <f>IF(Master[[#This Row],[ASPECT Original Value]]="","",Master[[#This Row],[ASPECT Original Value]])</f>
        <v/>
      </c>
    </row>
    <row r="54" spans="2:8" x14ac:dyDescent="0.25">
      <c r="B54" t="str">
        <f>Master[[#This Row],[Accession Prefix (NPGS)]]&amp;" "&amp;Master[[#This Row],[Accession Number -Assigned]]&amp;" COLLECTED "&amp;TEXT(Master[[#This Row],[Date Collected or Developed]], "MM/DD/YYYY")</f>
        <v>W6 59640 COLLECTED 12/15/2020</v>
      </c>
      <c r="C54" t="str">
        <f t="shared" si="2"/>
        <v>ASPECT</v>
      </c>
      <c r="D54" s="76" t="str">
        <f>IF(Master[[#This Row],[ASPECT -lookup picker]]="","",Master[[#This Row],[ASPECT -lookup picker]])</f>
        <v/>
      </c>
      <c r="E54" s="109"/>
      <c r="H54" t="str">
        <f>IF(Master[[#This Row],[ASPECT Original Value]]="","",Master[[#This Row],[ASPECT Original Value]])</f>
        <v/>
      </c>
    </row>
    <row r="55" spans="2:8" x14ac:dyDescent="0.25">
      <c r="B55" t="str">
        <f>Master[[#This Row],[Accession Prefix (NPGS)]]&amp;" "&amp;Master[[#This Row],[Accession Number -Assigned]]&amp;" COLLECTED "&amp;TEXT(Master[[#This Row],[Date Collected or Developed]], "MM/DD/YYYY")</f>
        <v>W6 59641 COLLECTED 08/17/2020</v>
      </c>
      <c r="C55" t="str">
        <f t="shared" si="2"/>
        <v>ASPECT</v>
      </c>
      <c r="D55" s="76" t="str">
        <f>IF(Master[[#This Row],[ASPECT -lookup picker]]="","",Master[[#This Row],[ASPECT -lookup picker]])</f>
        <v/>
      </c>
      <c r="E55" s="109"/>
      <c r="H55" t="str">
        <f>IF(Master[[#This Row],[ASPECT Original Value]]="","",Master[[#This Row],[ASPECT Original Value]])</f>
        <v/>
      </c>
    </row>
    <row r="56" spans="2:8" x14ac:dyDescent="0.25">
      <c r="B56" t="str">
        <f>Master[[#This Row],[Accession Prefix (NPGS)]]&amp;" "&amp;Master[[#This Row],[Accession Number -Assigned]]&amp;" COLLECTED "&amp;TEXT(Master[[#This Row],[Date Collected or Developed]], "MM/DD/YYYY")</f>
        <v>W6 59642 COLLECTED 08/25/2020</v>
      </c>
      <c r="C56" t="str">
        <f t="shared" si="2"/>
        <v>ASPECT</v>
      </c>
      <c r="D56" s="76" t="str">
        <f>IF(Master[[#This Row],[ASPECT -lookup picker]]="","",Master[[#This Row],[ASPECT -lookup picker]])</f>
        <v/>
      </c>
      <c r="E56" s="109"/>
      <c r="H56" t="str">
        <f>IF(Master[[#This Row],[ASPECT Original Value]]="","",Master[[#This Row],[ASPECT Original Value]])</f>
        <v/>
      </c>
    </row>
    <row r="57" spans="2:8" x14ac:dyDescent="0.25">
      <c r="B57" t="str">
        <f>Master[[#This Row],[Accession Prefix (NPGS)]]&amp;" "&amp;Master[[#This Row],[Accession Number -Assigned]]&amp;" COLLECTED "&amp;TEXT(Master[[#This Row],[Date Collected or Developed]], "MM/DD/YYYY")</f>
        <v>W6 59643 COLLECTED 05/26/2020</v>
      </c>
      <c r="C57" t="str">
        <f t="shared" si="2"/>
        <v>ASPECT</v>
      </c>
      <c r="D57" s="76" t="str">
        <f>IF(Master[[#This Row],[ASPECT -lookup picker]]="","",Master[[#This Row],[ASPECT -lookup picker]])</f>
        <v>North</v>
      </c>
      <c r="E57" s="109"/>
      <c r="H57" t="str">
        <f>IF(Master[[#This Row],[ASPECT Original Value]]="","",Master[[#This Row],[ASPECT Original Value]])</f>
        <v>N</v>
      </c>
    </row>
    <row r="58" spans="2:8" x14ac:dyDescent="0.25">
      <c r="B58" t="str">
        <f>Master[[#This Row],[Accession Prefix (NPGS)]]&amp;" "&amp;Master[[#This Row],[Accession Number -Assigned]]&amp;" COLLECTED "&amp;TEXT(Master[[#This Row],[Date Collected or Developed]], "MM/DD/YYYY")</f>
        <v>W6 59644 COLLECTED 05/27/2020</v>
      </c>
      <c r="C58" t="str">
        <f t="shared" si="2"/>
        <v>ASPECT</v>
      </c>
      <c r="D58" s="76" t="str">
        <f>IF(Master[[#This Row],[ASPECT -lookup picker]]="","",Master[[#This Row],[ASPECT -lookup picker]])</f>
        <v>South</v>
      </c>
      <c r="E58" s="109"/>
      <c r="H58" t="str">
        <f>IF(Master[[#This Row],[ASPECT Original Value]]="","",Master[[#This Row],[ASPECT Original Value]])</f>
        <v>S</v>
      </c>
    </row>
    <row r="59" spans="2:8" x14ac:dyDescent="0.25">
      <c r="B59" t="str">
        <f>Master[[#This Row],[Accession Prefix (NPGS)]]&amp;" "&amp;Master[[#This Row],[Accession Number -Assigned]]&amp;" COLLECTED "&amp;TEXT(Master[[#This Row],[Date Collected or Developed]], "MM/DD/YYYY")</f>
        <v>W6 59645 COLLECTED 06/09/2020</v>
      </c>
      <c r="C59" t="str">
        <f t="shared" si="2"/>
        <v>ASPECT</v>
      </c>
      <c r="D59" s="76" t="str">
        <f>IF(Master[[#This Row],[ASPECT -lookup picker]]="","",Master[[#This Row],[ASPECT -lookup picker]])</f>
        <v>North</v>
      </c>
      <c r="E59" s="109"/>
      <c r="H59" t="str">
        <f>IF(Master[[#This Row],[ASPECT Original Value]]="","",Master[[#This Row],[ASPECT Original Value]])</f>
        <v>N</v>
      </c>
    </row>
    <row r="60" spans="2:8" x14ac:dyDescent="0.25">
      <c r="B60" t="str">
        <f>Master[[#This Row],[Accession Prefix (NPGS)]]&amp;" "&amp;Master[[#This Row],[Accession Number -Assigned]]&amp;" COLLECTED "&amp;TEXT(Master[[#This Row],[Date Collected or Developed]], "MM/DD/YYYY")</f>
        <v>W6 59646 COLLECTED 06/24/2020</v>
      </c>
      <c r="C60" t="str">
        <f t="shared" si="2"/>
        <v>ASPECT</v>
      </c>
      <c r="D60" s="76" t="str">
        <f>IF(Master[[#This Row],[ASPECT -lookup picker]]="","",Master[[#This Row],[ASPECT -lookup picker]])</f>
        <v>East</v>
      </c>
      <c r="E60" s="109"/>
      <c r="H60" t="str">
        <f>IF(Master[[#This Row],[ASPECT Original Value]]="","",Master[[#This Row],[ASPECT Original Value]])</f>
        <v>E</v>
      </c>
    </row>
    <row r="61" spans="2:8" x14ac:dyDescent="0.25">
      <c r="B61" t="str">
        <f>Master[[#This Row],[Accession Prefix (NPGS)]]&amp;" "&amp;Master[[#This Row],[Accession Number -Assigned]]&amp;" COLLECTED "&amp;TEXT(Master[[#This Row],[Date Collected or Developed]], "MM/DD/YYYY")</f>
        <v>W6 59647 COLLECTED 07/07/2020</v>
      </c>
      <c r="C61" t="str">
        <f t="shared" si="2"/>
        <v>ASPECT</v>
      </c>
      <c r="D61" s="76" t="str">
        <f>IF(Master[[#This Row],[ASPECT -lookup picker]]="","",Master[[#This Row],[ASPECT -lookup picker]])</f>
        <v>South</v>
      </c>
      <c r="E61" s="109"/>
      <c r="H61" t="str">
        <f>IF(Master[[#This Row],[ASPECT Original Value]]="","",Master[[#This Row],[ASPECT Original Value]])</f>
        <v>S</v>
      </c>
    </row>
    <row r="62" spans="2:8" x14ac:dyDescent="0.25">
      <c r="B62" t="str">
        <f>Master[[#This Row],[Accession Prefix (NPGS)]]&amp;" "&amp;Master[[#This Row],[Accession Number -Assigned]]&amp;" COLLECTED "&amp;TEXT(Master[[#This Row],[Date Collected or Developed]], "MM/DD/YYYY")</f>
        <v>W6 59648 COLLECTED 07/09/2020</v>
      </c>
      <c r="C62" t="str">
        <f t="shared" si="2"/>
        <v>ASPECT</v>
      </c>
      <c r="D62" s="76" t="str">
        <f>IF(Master[[#This Row],[ASPECT -lookup picker]]="","",Master[[#This Row],[ASPECT -lookup picker]])</f>
        <v>Southeast</v>
      </c>
      <c r="E62" s="109"/>
      <c r="H62" t="str">
        <f>IF(Master[[#This Row],[ASPECT Original Value]]="","",Master[[#This Row],[ASPECT Original Value]])</f>
        <v>SE</v>
      </c>
    </row>
    <row r="63" spans="2:8" x14ac:dyDescent="0.25">
      <c r="B63" t="str">
        <f>Master[[#This Row],[Accession Prefix (NPGS)]]&amp;" "&amp;Master[[#This Row],[Accession Number -Assigned]]&amp;" COLLECTED "&amp;TEXT(Master[[#This Row],[Date Collected or Developed]], "MM/DD/YYYY")</f>
        <v>W6 59649 COLLECTED 07/13/2020</v>
      </c>
      <c r="C63" t="str">
        <f t="shared" si="2"/>
        <v>ASPECT</v>
      </c>
      <c r="D63" s="76" t="str">
        <f>IF(Master[[#This Row],[ASPECT -lookup picker]]="","",Master[[#This Row],[ASPECT -lookup picker]])</f>
        <v>Southeast</v>
      </c>
      <c r="E63" s="109"/>
      <c r="H63" t="str">
        <f>IF(Master[[#This Row],[ASPECT Original Value]]="","",Master[[#This Row],[ASPECT Original Value]])</f>
        <v>SE</v>
      </c>
    </row>
    <row r="64" spans="2:8" x14ac:dyDescent="0.25">
      <c r="B64" t="str">
        <f>Master[[#This Row],[Accession Prefix (NPGS)]]&amp;" "&amp;Master[[#This Row],[Accession Number -Assigned]]&amp;" COLLECTED "&amp;TEXT(Master[[#This Row],[Date Collected or Developed]], "MM/DD/YYYY")</f>
        <v>W6 59650 COLLECTED 08/10/2020</v>
      </c>
      <c r="C64" t="str">
        <f t="shared" si="2"/>
        <v>ASPECT</v>
      </c>
      <c r="D64" s="76" t="str">
        <f>IF(Master[[#This Row],[ASPECT -lookup picker]]="","",Master[[#This Row],[ASPECT -lookup picker]])</f>
        <v>Southwest</v>
      </c>
      <c r="E64" s="109"/>
      <c r="H64" t="str">
        <f>IF(Master[[#This Row],[ASPECT Original Value]]="","",Master[[#This Row],[ASPECT Original Value]])</f>
        <v>SW</v>
      </c>
    </row>
    <row r="65" spans="2:8" x14ac:dyDescent="0.25">
      <c r="B65" t="str">
        <f>Master[[#This Row],[Accession Prefix (NPGS)]]&amp;" "&amp;Master[[#This Row],[Accession Number -Assigned]]&amp;" COLLECTED "&amp;TEXT(Master[[#This Row],[Date Collected or Developed]], "MM/DD/YYYY")</f>
        <v>W6 59651 COLLECTED 08/11/2020</v>
      </c>
      <c r="C65" t="str">
        <f t="shared" si="2"/>
        <v>ASPECT</v>
      </c>
      <c r="D65" s="76" t="str">
        <f>IF(Master[[#This Row],[ASPECT -lookup picker]]="","",Master[[#This Row],[ASPECT -lookup picker]])</f>
        <v>Southwest</v>
      </c>
      <c r="E65" s="109"/>
      <c r="H65" t="str">
        <f>IF(Master[[#This Row],[ASPECT Original Value]]="","",Master[[#This Row],[ASPECT Original Value]])</f>
        <v>SW</v>
      </c>
    </row>
    <row r="66" spans="2:8" x14ac:dyDescent="0.25">
      <c r="B66" t="str">
        <f>Master[[#This Row],[Accession Prefix (NPGS)]]&amp;" "&amp;Master[[#This Row],[Accession Number -Assigned]]&amp;" COLLECTED "&amp;TEXT(Master[[#This Row],[Date Collected or Developed]], "MM/DD/YYYY")</f>
        <v>W6 59652 COLLECTED 08/11/2020</v>
      </c>
      <c r="C66" t="str">
        <f t="shared" si="2"/>
        <v>ASPECT</v>
      </c>
      <c r="D66" s="76" t="str">
        <f>IF(Master[[#This Row],[ASPECT -lookup picker]]="","",Master[[#This Row],[ASPECT -lookup picker]])</f>
        <v>North</v>
      </c>
      <c r="E66" s="109"/>
      <c r="H66" t="str">
        <f>IF(Master[[#This Row],[ASPECT Original Value]]="","",Master[[#This Row],[ASPECT Original Value]])</f>
        <v>N</v>
      </c>
    </row>
    <row r="67" spans="2:8" x14ac:dyDescent="0.25">
      <c r="B67" t="str">
        <f>Master[[#This Row],[Accession Prefix (NPGS)]]&amp;" "&amp;Master[[#This Row],[Accession Number -Assigned]]&amp;" COLLECTED "&amp;TEXT(Master[[#This Row],[Date Collected or Developed]], "MM/DD/YYYY")</f>
        <v>W6 59653 COLLECTED 08/12/2020</v>
      </c>
      <c r="C67" t="str">
        <f t="shared" si="2"/>
        <v>ASPECT</v>
      </c>
      <c r="D67" s="76" t="str">
        <f>IF(Master[[#This Row],[ASPECT -lookup picker]]="","",Master[[#This Row],[ASPECT -lookup picker]])</f>
        <v>Southeast</v>
      </c>
      <c r="E67" s="109"/>
      <c r="H67" t="str">
        <f>IF(Master[[#This Row],[ASPECT Original Value]]="","",Master[[#This Row],[ASPECT Original Value]])</f>
        <v>SE</v>
      </c>
    </row>
    <row r="68" spans="2:8" x14ac:dyDescent="0.25">
      <c r="B68" t="str">
        <f>Master[[#This Row],[Accession Prefix (NPGS)]]&amp;" "&amp;Master[[#This Row],[Accession Number -Assigned]]&amp;" COLLECTED "&amp;TEXT(Master[[#This Row],[Date Collected or Developed]], "MM/DD/YYYY")</f>
        <v>W6 59654 COLLECTED 08/12/2020</v>
      </c>
      <c r="C68" t="str">
        <f t="shared" ref="C68:C99" si="3">"ASPECT"</f>
        <v>ASPECT</v>
      </c>
      <c r="D68" s="76" t="str">
        <f>IF(Master[[#This Row],[ASPECT -lookup picker]]="","",Master[[#This Row],[ASPECT -lookup picker]])</f>
        <v>Southeast</v>
      </c>
      <c r="E68" s="109"/>
      <c r="H68" t="str">
        <f>IF(Master[[#This Row],[ASPECT Original Value]]="","",Master[[#This Row],[ASPECT Original Value]])</f>
        <v>SE</v>
      </c>
    </row>
    <row r="69" spans="2:8" x14ac:dyDescent="0.25">
      <c r="B69" t="str">
        <f>Master[[#This Row],[Accession Prefix (NPGS)]]&amp;" "&amp;Master[[#This Row],[Accession Number -Assigned]]&amp;" COLLECTED "&amp;TEXT(Master[[#This Row],[Date Collected or Developed]], "MM/DD/YYYY")</f>
        <v>W6 59655 COLLECTED 06/11/2020</v>
      </c>
      <c r="C69" t="str">
        <f t="shared" si="3"/>
        <v>ASPECT</v>
      </c>
      <c r="D69" s="76" t="str">
        <f>IF(Master[[#This Row],[ASPECT -lookup picker]]="","",Master[[#This Row],[ASPECT -lookup picker]])</f>
        <v>Southeast</v>
      </c>
      <c r="E69" s="109"/>
      <c r="H69" t="str">
        <f>IF(Master[[#This Row],[ASPECT Original Value]]="","",Master[[#This Row],[ASPECT Original Value]])</f>
        <v>SE</v>
      </c>
    </row>
    <row r="70" spans="2:8" x14ac:dyDescent="0.25">
      <c r="B70" t="str">
        <f>Master[[#This Row],[Accession Prefix (NPGS)]]&amp;" "&amp;Master[[#This Row],[Accession Number -Assigned]]&amp;" COLLECTED "&amp;TEXT(Master[[#This Row],[Date Collected or Developed]], "MM/DD/YYYY")</f>
        <v>W6 59656 COLLECTED 06/15/2020</v>
      </c>
      <c r="C70" t="str">
        <f t="shared" si="3"/>
        <v>ASPECT</v>
      </c>
      <c r="D70" s="76" t="str">
        <f>IF(Master[[#This Row],[ASPECT -lookup picker]]="","",Master[[#This Row],[ASPECT -lookup picker]])</f>
        <v>North</v>
      </c>
      <c r="E70" s="109"/>
      <c r="H70" t="str">
        <f>IF(Master[[#This Row],[ASPECT Original Value]]="","",Master[[#This Row],[ASPECT Original Value]])</f>
        <v>N</v>
      </c>
    </row>
    <row r="71" spans="2:8" x14ac:dyDescent="0.25">
      <c r="B71" t="str">
        <f>Master[[#This Row],[Accession Prefix (NPGS)]]&amp;" "&amp;Master[[#This Row],[Accession Number -Assigned]]&amp;" COLLECTED "&amp;TEXT(Master[[#This Row],[Date Collected or Developed]], "MM/DD/YYYY")</f>
        <v>W6 59657 COLLECTED 06/16/2020</v>
      </c>
      <c r="C71" t="str">
        <f t="shared" si="3"/>
        <v>ASPECT</v>
      </c>
      <c r="D71" s="76" t="str">
        <f>IF(Master[[#This Row],[ASPECT -lookup picker]]="","",Master[[#This Row],[ASPECT -lookup picker]])</f>
        <v>West</v>
      </c>
      <c r="E71" s="109"/>
      <c r="H71" t="str">
        <f>IF(Master[[#This Row],[ASPECT Original Value]]="","",Master[[#This Row],[ASPECT Original Value]])</f>
        <v>W</v>
      </c>
    </row>
    <row r="72" spans="2:8" x14ac:dyDescent="0.25">
      <c r="B72" t="str">
        <f>Master[[#This Row],[Accession Prefix (NPGS)]]&amp;" "&amp;Master[[#This Row],[Accession Number -Assigned]]&amp;" COLLECTED "&amp;TEXT(Master[[#This Row],[Date Collected or Developed]], "MM/DD/YYYY")</f>
        <v>W6 59658 COLLECTED 06/16/2020</v>
      </c>
      <c r="C72" t="str">
        <f t="shared" si="3"/>
        <v>ASPECT</v>
      </c>
      <c r="D72" s="76" t="str">
        <f>IF(Master[[#This Row],[ASPECT -lookup picker]]="","",Master[[#This Row],[ASPECT -lookup picker]])</f>
        <v/>
      </c>
      <c r="E72" s="109"/>
      <c r="H72" t="str">
        <f>IF(Master[[#This Row],[ASPECT Original Value]]="","",Master[[#This Row],[ASPECT Original Value]])</f>
        <v/>
      </c>
    </row>
    <row r="73" spans="2:8" x14ac:dyDescent="0.25">
      <c r="B73" t="str">
        <f>Master[[#This Row],[Accession Prefix (NPGS)]]&amp;" "&amp;Master[[#This Row],[Accession Number -Assigned]]&amp;" COLLECTED "&amp;TEXT(Master[[#This Row],[Date Collected or Developed]], "MM/DD/YYYY")</f>
        <v>W6 59659 COLLECTED 06/17/2020</v>
      </c>
      <c r="C73" t="str">
        <f t="shared" si="3"/>
        <v>ASPECT</v>
      </c>
      <c r="D73" s="76" t="str">
        <f>IF(Master[[#This Row],[ASPECT -lookup picker]]="","",Master[[#This Row],[ASPECT -lookup picker]])</f>
        <v>North</v>
      </c>
      <c r="E73" s="109"/>
      <c r="H73" t="str">
        <f>IF(Master[[#This Row],[ASPECT Original Value]]="","",Master[[#This Row],[ASPECT Original Value]])</f>
        <v>N</v>
      </c>
    </row>
    <row r="74" spans="2:8" x14ac:dyDescent="0.25">
      <c r="B74" t="str">
        <f>Master[[#This Row],[Accession Prefix (NPGS)]]&amp;" "&amp;Master[[#This Row],[Accession Number -Assigned]]&amp;" COLLECTED "&amp;TEXT(Master[[#This Row],[Date Collected or Developed]], "MM/DD/YYYY")</f>
        <v>W6 59660 COLLECTED 06/24/2020</v>
      </c>
      <c r="C74" t="str">
        <f t="shared" si="3"/>
        <v>ASPECT</v>
      </c>
      <c r="D74" s="76" t="str">
        <f>IF(Master[[#This Row],[ASPECT -lookup picker]]="","",Master[[#This Row],[ASPECT -lookup picker]])</f>
        <v>North</v>
      </c>
      <c r="E74" s="109"/>
      <c r="H74" t="str">
        <f>IF(Master[[#This Row],[ASPECT Original Value]]="","",Master[[#This Row],[ASPECT Original Value]])</f>
        <v>N</v>
      </c>
    </row>
    <row r="75" spans="2:8" x14ac:dyDescent="0.25">
      <c r="B75" t="str">
        <f>Master[[#This Row],[Accession Prefix (NPGS)]]&amp;" "&amp;Master[[#This Row],[Accession Number -Assigned]]&amp;" COLLECTED "&amp;TEXT(Master[[#This Row],[Date Collected or Developed]], "MM/DD/YYYY")</f>
        <v>W6 59661 COLLECTED 06/24/2020</v>
      </c>
      <c r="C75" t="str">
        <f t="shared" si="3"/>
        <v>ASPECT</v>
      </c>
      <c r="D75" s="76" t="str">
        <f>IF(Master[[#This Row],[ASPECT -lookup picker]]="","",Master[[#This Row],[ASPECT -lookup picker]])</f>
        <v>East</v>
      </c>
      <c r="E75" s="109"/>
      <c r="H75" t="str">
        <f>IF(Master[[#This Row],[ASPECT Original Value]]="","",Master[[#This Row],[ASPECT Original Value]])</f>
        <v>E</v>
      </c>
    </row>
    <row r="76" spans="2:8" x14ac:dyDescent="0.25">
      <c r="B76" t="str">
        <f>Master[[#This Row],[Accession Prefix (NPGS)]]&amp;" "&amp;Master[[#This Row],[Accession Number -Assigned]]&amp;" COLLECTED "&amp;TEXT(Master[[#This Row],[Date Collected or Developed]], "MM/DD/YYYY")</f>
        <v>W6 59662 COLLECTED 07/01/2020</v>
      </c>
      <c r="C76" t="str">
        <f t="shared" si="3"/>
        <v>ASPECT</v>
      </c>
      <c r="D76" s="76" t="str">
        <f>IF(Master[[#This Row],[ASPECT -lookup picker]]="","",Master[[#This Row],[ASPECT -lookup picker]])</f>
        <v>Southwest</v>
      </c>
      <c r="E76" s="109"/>
      <c r="H76" t="str">
        <f>IF(Master[[#This Row],[ASPECT Original Value]]="","",Master[[#This Row],[ASPECT Original Value]])</f>
        <v>SW</v>
      </c>
    </row>
    <row r="77" spans="2:8" x14ac:dyDescent="0.25">
      <c r="B77" t="str">
        <f>Master[[#This Row],[Accession Prefix (NPGS)]]&amp;" "&amp;Master[[#This Row],[Accession Number -Assigned]]&amp;" COLLECTED "&amp;TEXT(Master[[#This Row],[Date Collected or Developed]], "MM/DD/YYYY")</f>
        <v>W6 59663 COLLECTED 06/25/2020</v>
      </c>
      <c r="C77" t="str">
        <f t="shared" si="3"/>
        <v>ASPECT</v>
      </c>
      <c r="D77" s="76" t="str">
        <f>IF(Master[[#This Row],[ASPECT -lookup picker]]="","",Master[[#This Row],[ASPECT -lookup picker]])</f>
        <v>West</v>
      </c>
      <c r="E77" s="109"/>
      <c r="H77" t="str">
        <f>IF(Master[[#This Row],[ASPECT Original Value]]="","",Master[[#This Row],[ASPECT Original Value]])</f>
        <v>W</v>
      </c>
    </row>
    <row r="78" spans="2:8" x14ac:dyDescent="0.25">
      <c r="B78" t="str">
        <f>Master[[#This Row],[Accession Prefix (NPGS)]]&amp;" "&amp;Master[[#This Row],[Accession Number -Assigned]]&amp;" COLLECTED "&amp;TEXT(Master[[#This Row],[Date Collected or Developed]], "MM/DD/YYYY")</f>
        <v>W6 59664 COLLECTED 08/11/2020</v>
      </c>
      <c r="C78" t="str">
        <f t="shared" si="3"/>
        <v>ASPECT</v>
      </c>
      <c r="D78" s="76" t="str">
        <f>IF(Master[[#This Row],[ASPECT -lookup picker]]="","",Master[[#This Row],[ASPECT -lookup picker]])</f>
        <v>Northeast</v>
      </c>
      <c r="E78" s="109"/>
      <c r="H78" t="str">
        <f>IF(Master[[#This Row],[ASPECT Original Value]]="","",Master[[#This Row],[ASPECT Original Value]])</f>
        <v>NE</v>
      </c>
    </row>
    <row r="79" spans="2:8" x14ac:dyDescent="0.25">
      <c r="B79" t="str">
        <f>Master[[#This Row],[Accession Prefix (NPGS)]]&amp;" "&amp;Master[[#This Row],[Accession Number -Assigned]]&amp;" COLLECTED "&amp;TEXT(Master[[#This Row],[Date Collected or Developed]], "MM/DD/YYYY")</f>
        <v>W6 59665 COLLECTED 07/01/2020</v>
      </c>
      <c r="C79" t="str">
        <f t="shared" si="3"/>
        <v>ASPECT</v>
      </c>
      <c r="D79" s="76" t="str">
        <f>IF(Master[[#This Row],[ASPECT -lookup picker]]="","",Master[[#This Row],[ASPECT -lookup picker]])</f>
        <v>East</v>
      </c>
      <c r="E79" s="109"/>
      <c r="H79" t="str">
        <f>IF(Master[[#This Row],[ASPECT Original Value]]="","",Master[[#This Row],[ASPECT Original Value]])</f>
        <v>E</v>
      </c>
    </row>
    <row r="80" spans="2:8" x14ac:dyDescent="0.25">
      <c r="B80" t="str">
        <f>Master[[#This Row],[Accession Prefix (NPGS)]]&amp;" "&amp;Master[[#This Row],[Accession Number -Assigned]]&amp;" COLLECTED "&amp;TEXT(Master[[#This Row],[Date Collected or Developed]], "MM/DD/YYYY")</f>
        <v>W6 59666 COLLECTED 06/29/2020</v>
      </c>
      <c r="C80" t="str">
        <f t="shared" si="3"/>
        <v>ASPECT</v>
      </c>
      <c r="D80" s="76" t="str">
        <f>IF(Master[[#This Row],[ASPECT -lookup picker]]="","",Master[[#This Row],[ASPECT -lookup picker]])</f>
        <v>Northwest</v>
      </c>
      <c r="E80" s="109"/>
      <c r="H80" t="str">
        <f>IF(Master[[#This Row],[ASPECT Original Value]]="","",Master[[#This Row],[ASPECT Original Value]])</f>
        <v>NW</v>
      </c>
    </row>
    <row r="81" spans="2:8" x14ac:dyDescent="0.25">
      <c r="B81" t="str">
        <f>Master[[#This Row],[Accession Prefix (NPGS)]]&amp;" "&amp;Master[[#This Row],[Accession Number -Assigned]]&amp;" COLLECTED "&amp;TEXT(Master[[#This Row],[Date Collected or Developed]], "MM/DD/YYYY")</f>
        <v>W6 59667 COLLECTED 06/29/2020</v>
      </c>
      <c r="C81" t="str">
        <f t="shared" si="3"/>
        <v>ASPECT</v>
      </c>
      <c r="D81" s="76" t="str">
        <f>IF(Master[[#This Row],[ASPECT -lookup picker]]="","",Master[[#This Row],[ASPECT -lookup picker]])</f>
        <v>Northwest</v>
      </c>
      <c r="E81" s="109"/>
      <c r="H81" t="str">
        <f>IF(Master[[#This Row],[ASPECT Original Value]]="","",Master[[#This Row],[ASPECT Original Value]])</f>
        <v>NW</v>
      </c>
    </row>
    <row r="82" spans="2:8" x14ac:dyDescent="0.25">
      <c r="B82" t="str">
        <f>Master[[#This Row],[Accession Prefix (NPGS)]]&amp;" "&amp;Master[[#This Row],[Accession Number -Assigned]]&amp;" COLLECTED "&amp;TEXT(Master[[#This Row],[Date Collected or Developed]], "MM/DD/YYYY")</f>
        <v>W6 59668 COLLECTED 07/07/2020</v>
      </c>
      <c r="C82" t="str">
        <f t="shared" si="3"/>
        <v>ASPECT</v>
      </c>
      <c r="D82" s="76" t="str">
        <f>IF(Master[[#This Row],[ASPECT -lookup picker]]="","",Master[[#This Row],[ASPECT -lookup picker]])</f>
        <v>East</v>
      </c>
      <c r="E82" s="109"/>
      <c r="H82" t="str">
        <f>IF(Master[[#This Row],[ASPECT Original Value]]="","",Master[[#This Row],[ASPECT Original Value]])</f>
        <v>E</v>
      </c>
    </row>
    <row r="83" spans="2:8" x14ac:dyDescent="0.25">
      <c r="B83" t="str">
        <f>Master[[#This Row],[Accession Prefix (NPGS)]]&amp;" "&amp;Master[[#This Row],[Accession Number -Assigned]]&amp;" COLLECTED "&amp;TEXT(Master[[#This Row],[Date Collected or Developed]], "MM/DD/YYYY")</f>
        <v>W6 59669 COLLECTED 08/10/2020</v>
      </c>
      <c r="C83" t="str">
        <f t="shared" si="3"/>
        <v>ASPECT</v>
      </c>
      <c r="D83" s="76" t="str">
        <f>IF(Master[[#This Row],[ASPECT -lookup picker]]="","",Master[[#This Row],[ASPECT -lookup picker]])</f>
        <v>Northeast</v>
      </c>
      <c r="E83" s="109"/>
      <c r="H83" t="str">
        <f>IF(Master[[#This Row],[ASPECT Original Value]]="","",Master[[#This Row],[ASPECT Original Value]])</f>
        <v>NE</v>
      </c>
    </row>
    <row r="84" spans="2:8" x14ac:dyDescent="0.25">
      <c r="B84" t="str">
        <f>Master[[#This Row],[Accession Prefix (NPGS)]]&amp;" "&amp;Master[[#This Row],[Accession Number -Assigned]]&amp;" COLLECTED "&amp;TEXT(Master[[#This Row],[Date Collected or Developed]], "MM/DD/YYYY")</f>
        <v>W6 59670 COLLECTED 08/11/2020</v>
      </c>
      <c r="C84" t="str">
        <f t="shared" si="3"/>
        <v>ASPECT</v>
      </c>
      <c r="D84" s="76" t="str">
        <f>IF(Master[[#This Row],[ASPECT -lookup picker]]="","",Master[[#This Row],[ASPECT -lookup picker]])</f>
        <v>Southeast</v>
      </c>
      <c r="E84" s="109"/>
      <c r="H84" t="str">
        <f>IF(Master[[#This Row],[ASPECT Original Value]]="","",Master[[#This Row],[ASPECT Original Value]])</f>
        <v>SE</v>
      </c>
    </row>
    <row r="85" spans="2:8" x14ac:dyDescent="0.25">
      <c r="B85" t="str">
        <f>Master[[#This Row],[Accession Prefix (NPGS)]]&amp;" "&amp;Master[[#This Row],[Accession Number -Assigned]]&amp;" COLLECTED "&amp;TEXT(Master[[#This Row],[Date Collected or Developed]], "MM/DD/YYYY")</f>
        <v>W6 59671 COLLECTED 08/17/2020</v>
      </c>
      <c r="C85" t="str">
        <f t="shared" si="3"/>
        <v>ASPECT</v>
      </c>
      <c r="D85" s="76" t="str">
        <f>IF(Master[[#This Row],[ASPECT -lookup picker]]="","",Master[[#This Row],[ASPECT -lookup picker]])</f>
        <v>Southeast</v>
      </c>
      <c r="E85" s="109"/>
      <c r="H85" t="str">
        <f>IF(Master[[#This Row],[ASPECT Original Value]]="","",Master[[#This Row],[ASPECT Original Value]])</f>
        <v>SE</v>
      </c>
    </row>
    <row r="86" spans="2:8" x14ac:dyDescent="0.25">
      <c r="B86" t="str">
        <f>Master[[#This Row],[Accession Prefix (NPGS)]]&amp;" "&amp;Master[[#This Row],[Accession Number -Assigned]]&amp;" COLLECTED "&amp;TEXT(Master[[#This Row],[Date Collected or Developed]], "MM/DD/YYYY")</f>
        <v>W6 59672 COLLECTED 07/16/2020</v>
      </c>
      <c r="C86" t="str">
        <f t="shared" si="3"/>
        <v>ASPECT</v>
      </c>
      <c r="D86" s="76" t="str">
        <f>IF(Master[[#This Row],[ASPECT -lookup picker]]="","",Master[[#This Row],[ASPECT -lookup picker]])</f>
        <v>Southwest</v>
      </c>
      <c r="E86" s="109"/>
      <c r="H86" t="str">
        <f>IF(Master[[#This Row],[ASPECT Original Value]]="","",Master[[#This Row],[ASPECT Original Value]])</f>
        <v>SW</v>
      </c>
    </row>
    <row r="87" spans="2:8" x14ac:dyDescent="0.25">
      <c r="B87" t="str">
        <f>Master[[#This Row],[Accession Prefix (NPGS)]]&amp;" "&amp;Master[[#This Row],[Accession Number -Assigned]]&amp;" COLLECTED "&amp;TEXT(Master[[#This Row],[Date Collected or Developed]], "MM/DD/YYYY")</f>
        <v>W6 59673 COLLECTED 07/16/2020</v>
      </c>
      <c r="C87" t="str">
        <f t="shared" si="3"/>
        <v>ASPECT</v>
      </c>
      <c r="D87" s="76" t="str">
        <f>IF(Master[[#This Row],[ASPECT -lookup picker]]="","",Master[[#This Row],[ASPECT -lookup picker]])</f>
        <v>North</v>
      </c>
      <c r="E87" s="109"/>
      <c r="H87" t="str">
        <f>IF(Master[[#This Row],[ASPECT Original Value]]="","",Master[[#This Row],[ASPECT Original Value]])</f>
        <v>N</v>
      </c>
    </row>
    <row r="88" spans="2:8" x14ac:dyDescent="0.25">
      <c r="B88" t="str">
        <f>Master[[#This Row],[Accession Prefix (NPGS)]]&amp;" "&amp;Master[[#This Row],[Accession Number -Assigned]]&amp;" COLLECTED "&amp;TEXT(Master[[#This Row],[Date Collected or Developed]], "MM/DD/YYYY")</f>
        <v>W6 59674 COLLECTED 07/16/2020</v>
      </c>
      <c r="C88" t="str">
        <f t="shared" si="3"/>
        <v>ASPECT</v>
      </c>
      <c r="D88" s="76" t="str">
        <f>IF(Master[[#This Row],[ASPECT -lookup picker]]="","",Master[[#This Row],[ASPECT -lookup picker]])</f>
        <v>Northwest</v>
      </c>
      <c r="E88" s="109"/>
      <c r="H88" t="str">
        <f>IF(Master[[#This Row],[ASPECT Original Value]]="","",Master[[#This Row],[ASPECT Original Value]])</f>
        <v>NW</v>
      </c>
    </row>
    <row r="89" spans="2:8" x14ac:dyDescent="0.25">
      <c r="B89" t="str">
        <f>Master[[#This Row],[Accession Prefix (NPGS)]]&amp;" "&amp;Master[[#This Row],[Accession Number -Assigned]]&amp;" COLLECTED "&amp;TEXT(Master[[#This Row],[Date Collected or Developed]], "MM/DD/YYYY")</f>
        <v>W6 59675 COLLECTED 08/26/2020</v>
      </c>
      <c r="C89" t="str">
        <f t="shared" si="3"/>
        <v>ASPECT</v>
      </c>
      <c r="D89" s="76" t="str">
        <f>IF(Master[[#This Row],[ASPECT -lookup picker]]="","",Master[[#This Row],[ASPECT -lookup picker]])</f>
        <v>West</v>
      </c>
      <c r="E89" s="109"/>
      <c r="H89" t="str">
        <f>IF(Master[[#This Row],[ASPECT Original Value]]="","",Master[[#This Row],[ASPECT Original Value]])</f>
        <v>W</v>
      </c>
    </row>
    <row r="90" spans="2:8" x14ac:dyDescent="0.25">
      <c r="B90" t="str">
        <f>Master[[#This Row],[Accession Prefix (NPGS)]]&amp;" "&amp;Master[[#This Row],[Accession Number -Assigned]]&amp;" COLLECTED "&amp;TEXT(Master[[#This Row],[Date Collected or Developed]], "MM/DD/YYYY")</f>
        <v>W6 59676 COLLECTED 08/20/2020</v>
      </c>
      <c r="C90" t="str">
        <f t="shared" si="3"/>
        <v>ASPECT</v>
      </c>
      <c r="D90" s="76" t="str">
        <f>IF(Master[[#This Row],[ASPECT -lookup picker]]="","",Master[[#This Row],[ASPECT -lookup picker]])</f>
        <v>North</v>
      </c>
      <c r="E90" s="109"/>
      <c r="H90" t="str">
        <f>IF(Master[[#This Row],[ASPECT Original Value]]="","",Master[[#This Row],[ASPECT Original Value]])</f>
        <v>N</v>
      </c>
    </row>
    <row r="91" spans="2:8" x14ac:dyDescent="0.25">
      <c r="B91" t="str">
        <f>Master[[#This Row],[Accession Prefix (NPGS)]]&amp;" "&amp;Master[[#This Row],[Accession Number -Assigned]]&amp;" COLLECTED "&amp;TEXT(Master[[#This Row],[Date Collected or Developed]], "MM/DD/YYYY")</f>
        <v>W6 59677 COLLECTED 08/20/2020</v>
      </c>
      <c r="C91" t="str">
        <f t="shared" si="3"/>
        <v>ASPECT</v>
      </c>
      <c r="D91" s="76" t="str">
        <f>IF(Master[[#This Row],[ASPECT -lookup picker]]="","",Master[[#This Row],[ASPECT -lookup picker]])</f>
        <v>North</v>
      </c>
      <c r="E91" s="109"/>
      <c r="H91" t="str">
        <f>IF(Master[[#This Row],[ASPECT Original Value]]="","",Master[[#This Row],[ASPECT Original Value]])</f>
        <v>N</v>
      </c>
    </row>
    <row r="92" spans="2:8" x14ac:dyDescent="0.25">
      <c r="B92" t="str">
        <f>Master[[#This Row],[Accession Prefix (NPGS)]]&amp;" "&amp;Master[[#This Row],[Accession Number -Assigned]]&amp;" COLLECTED "&amp;TEXT(Master[[#This Row],[Date Collected or Developed]], "MM/DD/YYYY")</f>
        <v>W6 59678 COLLECTED 10/01/2020</v>
      </c>
      <c r="C92" t="str">
        <f t="shared" si="3"/>
        <v>ASPECT</v>
      </c>
      <c r="D92" s="76" t="str">
        <f>IF(Master[[#This Row],[ASPECT -lookup picker]]="","",Master[[#This Row],[ASPECT -lookup picker]])</f>
        <v>East</v>
      </c>
      <c r="E92" s="109"/>
      <c r="H92" t="str">
        <f>IF(Master[[#This Row],[ASPECT Original Value]]="","",Master[[#This Row],[ASPECT Original Value]])</f>
        <v>E</v>
      </c>
    </row>
    <row r="93" spans="2:8" x14ac:dyDescent="0.25">
      <c r="B93" t="str">
        <f>Master[[#This Row],[Accession Prefix (NPGS)]]&amp;" "&amp;Master[[#This Row],[Accession Number -Assigned]]&amp;" COLLECTED "&amp;TEXT(Master[[#This Row],[Date Collected or Developed]], "MM/DD/YYYY")</f>
        <v>W6 59679 COLLECTED 09/30/2020</v>
      </c>
      <c r="C93" t="str">
        <f t="shared" si="3"/>
        <v>ASPECT</v>
      </c>
      <c r="D93" s="76" t="str">
        <f>IF(Master[[#This Row],[ASPECT -lookup picker]]="","",Master[[#This Row],[ASPECT -lookup picker]])</f>
        <v>West</v>
      </c>
      <c r="E93" s="109"/>
      <c r="H93" t="str">
        <f>IF(Master[[#This Row],[ASPECT Original Value]]="","",Master[[#This Row],[ASPECT Original Value]])</f>
        <v>W</v>
      </c>
    </row>
    <row r="94" spans="2:8" x14ac:dyDescent="0.25">
      <c r="B94" t="str">
        <f>Master[[#This Row],[Accession Prefix (NPGS)]]&amp;" "&amp;Master[[#This Row],[Accession Number -Assigned]]&amp;" COLLECTED "&amp;TEXT(Master[[#This Row],[Date Collected or Developed]], "MM/DD/YYYY")</f>
        <v>W6 59680 COLLECTED 10/01/2020</v>
      </c>
      <c r="C94" t="str">
        <f t="shared" si="3"/>
        <v>ASPECT</v>
      </c>
      <c r="D94" s="76" t="str">
        <f>IF(Master[[#This Row],[ASPECT -lookup picker]]="","",Master[[#This Row],[ASPECT -lookup picker]])</f>
        <v>Southeast</v>
      </c>
      <c r="E94" s="109"/>
      <c r="H94" t="str">
        <f>IF(Master[[#This Row],[ASPECT Original Value]]="","",Master[[#This Row],[ASPECT Original Value]])</f>
        <v>SE</v>
      </c>
    </row>
    <row r="95" spans="2:8" x14ac:dyDescent="0.25">
      <c r="B95" t="str">
        <f>Master[[#This Row],[Accession Prefix (NPGS)]]&amp;" "&amp;Master[[#This Row],[Accession Number -Assigned]]&amp;" COLLECTED "&amp;TEXT(Master[[#This Row],[Date Collected or Developed]], "MM/DD/YYYY")</f>
        <v>W6 59681 COLLECTED 08/15/2020</v>
      </c>
      <c r="C95" t="str">
        <f t="shared" si="3"/>
        <v>ASPECT</v>
      </c>
      <c r="D95" s="76" t="str">
        <f>IF(Master[[#This Row],[ASPECT -lookup picker]]="","",Master[[#This Row],[ASPECT -lookup picker]])</f>
        <v>East</v>
      </c>
      <c r="E95" s="109"/>
      <c r="H95" t="str">
        <f>IF(Master[[#This Row],[ASPECT Original Value]]="","",Master[[#This Row],[ASPECT Original Value]])</f>
        <v>E</v>
      </c>
    </row>
    <row r="96" spans="2:8" x14ac:dyDescent="0.25">
      <c r="B96" t="str">
        <f>Master[[#This Row],[Accession Prefix (NPGS)]]&amp;" "&amp;Master[[#This Row],[Accession Number -Assigned]]&amp;" COLLECTED "&amp;TEXT(Master[[#This Row],[Date Collected or Developed]], "MM/DD/YYYY")</f>
        <v>W6 59682 COLLECTED 09/30/2020</v>
      </c>
      <c r="C96" t="str">
        <f t="shared" si="3"/>
        <v>ASPECT</v>
      </c>
      <c r="D96" s="76" t="str">
        <f>IF(Master[[#This Row],[ASPECT -lookup picker]]="","",Master[[#This Row],[ASPECT -lookup picker]])</f>
        <v>North</v>
      </c>
      <c r="E96" s="109"/>
      <c r="H96" t="str">
        <f>IF(Master[[#This Row],[ASPECT Original Value]]="","",Master[[#This Row],[ASPECT Original Value]])</f>
        <v>N</v>
      </c>
    </row>
    <row r="97" spans="2:8" x14ac:dyDescent="0.25">
      <c r="B97" t="str">
        <f>Master[[#This Row],[Accession Prefix (NPGS)]]&amp;" "&amp;Master[[#This Row],[Accession Number -Assigned]]&amp;" COLLECTED "&amp;TEXT(Master[[#This Row],[Date Collected or Developed]], "MM/DD/YYYY")</f>
        <v>W6 59683 COLLECTED 07/08/2020</v>
      </c>
      <c r="C97" t="str">
        <f t="shared" si="3"/>
        <v>ASPECT</v>
      </c>
      <c r="D97" s="76" t="str">
        <f>IF(Master[[#This Row],[ASPECT -lookup picker]]="","",Master[[#This Row],[ASPECT -lookup picker]])</f>
        <v>South</v>
      </c>
      <c r="E97" s="109"/>
      <c r="H97" t="str">
        <f>IF(Master[[#This Row],[ASPECT Original Value]]="","",Master[[#This Row],[ASPECT Original Value]])</f>
        <v>S</v>
      </c>
    </row>
    <row r="98" spans="2:8" x14ac:dyDescent="0.25">
      <c r="B98" t="str">
        <f>Master[[#This Row],[Accession Prefix (NPGS)]]&amp;" "&amp;Master[[#This Row],[Accession Number -Assigned]]&amp;" COLLECTED "&amp;TEXT(Master[[#This Row],[Date Collected or Developed]], "MM/DD/YYYY")</f>
        <v>W6 59684 COLLECTED 06/15/2020</v>
      </c>
      <c r="C98" t="str">
        <f t="shared" si="3"/>
        <v>ASPECT</v>
      </c>
      <c r="D98" s="76" t="str">
        <f>IF(Master[[#This Row],[ASPECT -lookup picker]]="","",Master[[#This Row],[ASPECT -lookup picker]])</f>
        <v>South</v>
      </c>
      <c r="E98" s="109"/>
      <c r="H98" t="str">
        <f>IF(Master[[#This Row],[ASPECT Original Value]]="","",Master[[#This Row],[ASPECT Original Value]])</f>
        <v>S</v>
      </c>
    </row>
    <row r="99" spans="2:8" x14ac:dyDescent="0.25">
      <c r="B99" t="str">
        <f>Master[[#This Row],[Accession Prefix (NPGS)]]&amp;" "&amp;Master[[#This Row],[Accession Number -Assigned]]&amp;" COLLECTED "&amp;TEXT(Master[[#This Row],[Date Collected or Developed]], "MM/DD/YYYY")</f>
        <v>W6 59685 COLLECTED 06/16/2020</v>
      </c>
      <c r="C99" t="str">
        <f t="shared" si="3"/>
        <v>ASPECT</v>
      </c>
      <c r="D99" s="76" t="str">
        <f>IF(Master[[#This Row],[ASPECT -lookup picker]]="","",Master[[#This Row],[ASPECT -lookup picker]])</f>
        <v>West</v>
      </c>
      <c r="E99" s="109"/>
      <c r="H99" t="str">
        <f>IF(Master[[#This Row],[ASPECT Original Value]]="","",Master[[#This Row],[ASPECT Original Value]])</f>
        <v>SW, W</v>
      </c>
    </row>
    <row r="100" spans="2:8" x14ac:dyDescent="0.25">
      <c r="B100" t="str">
        <f>Master[[#This Row],[Accession Prefix (NPGS)]]&amp;" "&amp;Master[[#This Row],[Accession Number -Assigned]]&amp;" COLLECTED "&amp;TEXT(Master[[#This Row],[Date Collected or Developed]], "MM/DD/YYYY")</f>
        <v>W6 59686 COLLECTED 06/17/2020</v>
      </c>
      <c r="C100" t="str">
        <f t="shared" ref="C100:C131" si="4">"ASPECT"</f>
        <v>ASPECT</v>
      </c>
      <c r="D100" s="76" t="str">
        <f>IF(Master[[#This Row],[ASPECT -lookup picker]]="","",Master[[#This Row],[ASPECT -lookup picker]])</f>
        <v/>
      </c>
      <c r="E100" s="109"/>
      <c r="H100" t="str">
        <f>IF(Master[[#This Row],[ASPECT Original Value]]="","",Master[[#This Row],[ASPECT Original Value]])</f>
        <v/>
      </c>
    </row>
    <row r="101" spans="2:8" x14ac:dyDescent="0.25">
      <c r="B101" t="str">
        <f>Master[[#This Row],[Accession Prefix (NPGS)]]&amp;" "&amp;Master[[#This Row],[Accession Number -Assigned]]&amp;" COLLECTED "&amp;TEXT(Master[[#This Row],[Date Collected or Developed]], "MM/DD/YYYY")</f>
        <v>W6 59687 COLLECTED 06/23/2020</v>
      </c>
      <c r="C101" t="str">
        <f t="shared" si="4"/>
        <v>ASPECT</v>
      </c>
      <c r="D101" s="76" t="str">
        <f>IF(Master[[#This Row],[ASPECT -lookup picker]]="","",Master[[#This Row],[ASPECT -lookup picker]])</f>
        <v>Uncertain</v>
      </c>
      <c r="E101" s="109"/>
      <c r="H101" t="str">
        <f>IF(Master[[#This Row],[ASPECT Original Value]]="","",Master[[#This Row],[ASPECT Original Value]])</f>
        <v>E, S</v>
      </c>
    </row>
    <row r="102" spans="2:8" x14ac:dyDescent="0.25">
      <c r="B102" t="str">
        <f>Master[[#This Row],[Accession Prefix (NPGS)]]&amp;" "&amp;Master[[#This Row],[Accession Number -Assigned]]&amp;" COLLECTED "&amp;TEXT(Master[[#This Row],[Date Collected or Developed]], "MM/DD/YYYY")</f>
        <v>W6 59688 COLLECTED 06/25/2020</v>
      </c>
      <c r="C102" t="str">
        <f t="shared" si="4"/>
        <v>ASPECT</v>
      </c>
      <c r="D102" s="76" t="str">
        <f>IF(Master[[#This Row],[ASPECT -lookup picker]]="","",Master[[#This Row],[ASPECT -lookup picker]])</f>
        <v>South</v>
      </c>
      <c r="E102" s="109"/>
      <c r="H102" t="str">
        <f>IF(Master[[#This Row],[ASPECT Original Value]]="","",Master[[#This Row],[ASPECT Original Value]])</f>
        <v>S</v>
      </c>
    </row>
    <row r="103" spans="2:8" x14ac:dyDescent="0.25">
      <c r="B103" t="str">
        <f>Master[[#This Row],[Accession Prefix (NPGS)]]&amp;" "&amp;Master[[#This Row],[Accession Number -Assigned]]&amp;" COLLECTED "&amp;TEXT(Master[[#This Row],[Date Collected or Developed]], "MM/DD/YYYY")</f>
        <v>W6 59689 COLLECTED 06/30/2020</v>
      </c>
      <c r="C103" t="str">
        <f t="shared" si="4"/>
        <v>ASPECT</v>
      </c>
      <c r="D103" s="76" t="str">
        <f>IF(Master[[#This Row],[ASPECT -lookup picker]]="","",Master[[#This Row],[ASPECT -lookup picker]])</f>
        <v>Uncertain</v>
      </c>
      <c r="E103" s="109"/>
      <c r="H103" t="str">
        <f>IF(Master[[#This Row],[ASPECT Original Value]]="","",Master[[#This Row],[ASPECT Original Value]])</f>
        <v>NE, S</v>
      </c>
    </row>
    <row r="104" spans="2:8" x14ac:dyDescent="0.25">
      <c r="B104" t="str">
        <f>Master[[#This Row],[Accession Prefix (NPGS)]]&amp;" "&amp;Master[[#This Row],[Accession Number -Assigned]]&amp;" COLLECTED "&amp;TEXT(Master[[#This Row],[Date Collected or Developed]], "MM/DD/YYYY")</f>
        <v>W6 59690 COLLECTED 06/30/2020</v>
      </c>
      <c r="C104" t="str">
        <f t="shared" si="4"/>
        <v>ASPECT</v>
      </c>
      <c r="D104" s="76" t="str">
        <f>IF(Master[[#This Row],[ASPECT -lookup picker]]="","",Master[[#This Row],[ASPECT -lookup picker]])</f>
        <v>Uncertain</v>
      </c>
      <c r="E104" s="109"/>
      <c r="H104" t="str">
        <f>IF(Master[[#This Row],[ASPECT Original Value]]="","",Master[[#This Row],[ASPECT Original Value]])</f>
        <v>NE, W</v>
      </c>
    </row>
    <row r="105" spans="2:8" x14ac:dyDescent="0.25">
      <c r="B105" t="str">
        <f>Master[[#This Row],[Accession Prefix (NPGS)]]&amp;" "&amp;Master[[#This Row],[Accession Number -Assigned]]&amp;" COLLECTED "&amp;TEXT(Master[[#This Row],[Date Collected or Developed]], "MM/DD/YYYY")</f>
        <v>W6 59691 COLLECTED 07/07/2020</v>
      </c>
      <c r="C105" t="str">
        <f t="shared" si="4"/>
        <v>ASPECT</v>
      </c>
      <c r="D105" s="76" t="str">
        <f>IF(Master[[#This Row],[ASPECT -lookup picker]]="","",Master[[#This Row],[ASPECT -lookup picker]])</f>
        <v>South</v>
      </c>
      <c r="E105" s="109"/>
      <c r="H105" t="str">
        <f>IF(Master[[#This Row],[ASPECT Original Value]]="","",Master[[#This Row],[ASPECT Original Value]])</f>
        <v>S</v>
      </c>
    </row>
    <row r="106" spans="2:8" x14ac:dyDescent="0.25">
      <c r="B106" t="str">
        <f>Master[[#This Row],[Accession Prefix (NPGS)]]&amp;" "&amp;Master[[#This Row],[Accession Number -Assigned]]&amp;" COLLECTED "&amp;TEXT(Master[[#This Row],[Date Collected or Developed]], "MM/DD/YYYY")</f>
        <v>W6 59692 COLLECTED 07/08/2020</v>
      </c>
      <c r="C106" t="str">
        <f t="shared" si="4"/>
        <v>ASPECT</v>
      </c>
      <c r="D106" s="76" t="str">
        <f>IF(Master[[#This Row],[ASPECT -lookup picker]]="","",Master[[#This Row],[ASPECT -lookup picker]])</f>
        <v>East</v>
      </c>
      <c r="E106" s="109"/>
      <c r="H106" t="str">
        <f>IF(Master[[#This Row],[ASPECT Original Value]]="","",Master[[#This Row],[ASPECT Original Value]])</f>
        <v>E</v>
      </c>
    </row>
    <row r="107" spans="2:8" x14ac:dyDescent="0.25">
      <c r="B107" t="str">
        <f>Master[[#This Row],[Accession Prefix (NPGS)]]&amp;" "&amp;Master[[#This Row],[Accession Number -Assigned]]&amp;" COLLECTED "&amp;TEXT(Master[[#This Row],[Date Collected or Developed]], "MM/DD/YYYY")</f>
        <v>W6 59693 COLLECTED 07/09/2020</v>
      </c>
      <c r="C107" t="str">
        <f t="shared" si="4"/>
        <v>ASPECT</v>
      </c>
      <c r="D107" s="76" t="str">
        <f>IF(Master[[#This Row],[ASPECT -lookup picker]]="","",Master[[#This Row],[ASPECT -lookup picker]])</f>
        <v>South</v>
      </c>
      <c r="E107" s="109"/>
      <c r="H107" t="str">
        <f>IF(Master[[#This Row],[ASPECT Original Value]]="","",Master[[#This Row],[ASPECT Original Value]])</f>
        <v>S</v>
      </c>
    </row>
    <row r="108" spans="2:8" x14ac:dyDescent="0.25">
      <c r="B108" t="str">
        <f>Master[[#This Row],[Accession Prefix (NPGS)]]&amp;" "&amp;Master[[#This Row],[Accession Number -Assigned]]&amp;" COLLECTED "&amp;TEXT(Master[[#This Row],[Date Collected or Developed]], "MM/DD/YYYY")</f>
        <v>W6 59694 COLLECTED 07/13/2020</v>
      </c>
      <c r="C108" t="str">
        <f t="shared" si="4"/>
        <v>ASPECT</v>
      </c>
      <c r="D108" s="76" t="str">
        <f>IF(Master[[#This Row],[ASPECT -lookup picker]]="","",Master[[#This Row],[ASPECT -lookup picker]])</f>
        <v>Uncertain</v>
      </c>
      <c r="E108" s="109"/>
      <c r="H108" t="str">
        <f>IF(Master[[#This Row],[ASPECT Original Value]]="","",Master[[#This Row],[ASPECT Original Value]])</f>
        <v/>
      </c>
    </row>
    <row r="109" spans="2:8" x14ac:dyDescent="0.25">
      <c r="B109" t="str">
        <f>Master[[#This Row],[Accession Prefix (NPGS)]]&amp;" "&amp;Master[[#This Row],[Accession Number -Assigned]]&amp;" COLLECTED "&amp;TEXT(Master[[#This Row],[Date Collected or Developed]], "MM/DD/YYYY")</f>
        <v>W6 59695 COLLECTED 07/14/2020</v>
      </c>
      <c r="C109" t="str">
        <f t="shared" si="4"/>
        <v>ASPECT</v>
      </c>
      <c r="D109" s="76" t="str">
        <f>IF(Master[[#This Row],[ASPECT -lookup picker]]="","",Master[[#This Row],[ASPECT -lookup picker]])</f>
        <v>Southwest</v>
      </c>
      <c r="E109" s="109"/>
      <c r="H109" t="str">
        <f>IF(Master[[#This Row],[ASPECT Original Value]]="","",Master[[#This Row],[ASPECT Original Value]])</f>
        <v>SW</v>
      </c>
    </row>
    <row r="110" spans="2:8" x14ac:dyDescent="0.25">
      <c r="B110" t="str">
        <f>Master[[#This Row],[Accession Prefix (NPGS)]]&amp;" "&amp;Master[[#This Row],[Accession Number -Assigned]]&amp;" COLLECTED "&amp;TEXT(Master[[#This Row],[Date Collected or Developed]], "MM/DD/YYYY")</f>
        <v>W6 59696 COLLECTED 07/15/2020</v>
      </c>
      <c r="C110" t="str">
        <f t="shared" si="4"/>
        <v>ASPECT</v>
      </c>
      <c r="D110" s="76" t="str">
        <f>IF(Master[[#This Row],[ASPECT -lookup picker]]="","",Master[[#This Row],[ASPECT -lookup picker]])</f>
        <v>Uncertain</v>
      </c>
      <c r="E110" s="109"/>
      <c r="H110" t="str">
        <f>IF(Master[[#This Row],[ASPECT Original Value]]="","",Master[[#This Row],[ASPECT Original Value]])</f>
        <v>N, NE, E, SE, S, SW, W, NW</v>
      </c>
    </row>
    <row r="111" spans="2:8" x14ac:dyDescent="0.25">
      <c r="B111" t="str">
        <f>Master[[#This Row],[Accession Prefix (NPGS)]]&amp;" "&amp;Master[[#This Row],[Accession Number -Assigned]]&amp;" COLLECTED "&amp;TEXT(Master[[#This Row],[Date Collected or Developed]], "MM/DD/YYYY")</f>
        <v>W6 59697 COLLECTED 07/15/2020</v>
      </c>
      <c r="C111" t="str">
        <f t="shared" si="4"/>
        <v>ASPECT</v>
      </c>
      <c r="D111" s="76" t="str">
        <f>IF(Master[[#This Row],[ASPECT -lookup picker]]="","",Master[[#This Row],[ASPECT -lookup picker]])</f>
        <v>East</v>
      </c>
      <c r="E111" s="109"/>
      <c r="H111" t="str">
        <f>IF(Master[[#This Row],[ASPECT Original Value]]="","",Master[[#This Row],[ASPECT Original Value]])</f>
        <v>E</v>
      </c>
    </row>
    <row r="112" spans="2:8" x14ac:dyDescent="0.25">
      <c r="B112" t="str">
        <f>Master[[#This Row],[Accession Prefix (NPGS)]]&amp;" "&amp;Master[[#This Row],[Accession Number -Assigned]]&amp;" COLLECTED "&amp;TEXT(Master[[#This Row],[Date Collected or Developed]], "MM/DD/YYYY")</f>
        <v>W6 59698 COLLECTED 07/16/2020</v>
      </c>
      <c r="C112" t="str">
        <f t="shared" si="4"/>
        <v>ASPECT</v>
      </c>
      <c r="D112" s="76" t="str">
        <f>IF(Master[[#This Row],[ASPECT -lookup picker]]="","",Master[[#This Row],[ASPECT -lookup picker]])</f>
        <v>Northeast</v>
      </c>
      <c r="E112" s="109"/>
      <c r="H112" t="str">
        <f>IF(Master[[#This Row],[ASPECT Original Value]]="","",Master[[#This Row],[ASPECT Original Value]])</f>
        <v>NE</v>
      </c>
    </row>
    <row r="113" spans="2:8" x14ac:dyDescent="0.25">
      <c r="B113" t="str">
        <f>Master[[#This Row],[Accession Prefix (NPGS)]]&amp;" "&amp;Master[[#This Row],[Accession Number -Assigned]]&amp;" COLLECTED "&amp;TEXT(Master[[#This Row],[Date Collected or Developed]], "MM/DD/YYYY")</f>
        <v>W6 59699 COLLECTED 07/27/2020</v>
      </c>
      <c r="C113" t="str">
        <f t="shared" si="4"/>
        <v>ASPECT</v>
      </c>
      <c r="D113" s="76" t="str">
        <f>IF(Master[[#This Row],[ASPECT -lookup picker]]="","",Master[[#This Row],[ASPECT -lookup picker]])</f>
        <v>Southwest</v>
      </c>
      <c r="E113" s="109"/>
      <c r="H113" t="str">
        <f>IF(Master[[#This Row],[ASPECT Original Value]]="","",Master[[#This Row],[ASPECT Original Value]])</f>
        <v>SW</v>
      </c>
    </row>
    <row r="114" spans="2:8" x14ac:dyDescent="0.25">
      <c r="B114" t="str">
        <f>Master[[#This Row],[Accession Prefix (NPGS)]]&amp;" "&amp;Master[[#This Row],[Accession Number -Assigned]]&amp;" COLLECTED "&amp;TEXT(Master[[#This Row],[Date Collected or Developed]], "MM/DD/YYYY")</f>
        <v>W6 59700 COLLECTED 08/03/2020</v>
      </c>
      <c r="C114" t="str">
        <f t="shared" si="4"/>
        <v>ASPECT</v>
      </c>
      <c r="D114" s="76" t="str">
        <f>IF(Master[[#This Row],[ASPECT -lookup picker]]="","",Master[[#This Row],[ASPECT -lookup picker]])</f>
        <v>Southeast</v>
      </c>
      <c r="E114" s="109"/>
      <c r="H114" t="str">
        <f>IF(Master[[#This Row],[ASPECT Original Value]]="","",Master[[#This Row],[ASPECT Original Value]])</f>
        <v>SE</v>
      </c>
    </row>
    <row r="115" spans="2:8" x14ac:dyDescent="0.25">
      <c r="B115" t="str">
        <f>Master[[#This Row],[Accession Prefix (NPGS)]]&amp;" "&amp;Master[[#This Row],[Accession Number -Assigned]]&amp;" COLLECTED "&amp;TEXT(Master[[#This Row],[Date Collected or Developed]], "MM/DD/YYYY")</f>
        <v>W6 59701 COLLECTED 08/05/2020</v>
      </c>
      <c r="C115" t="str">
        <f t="shared" si="4"/>
        <v>ASPECT</v>
      </c>
      <c r="D115" s="76" t="str">
        <f>IF(Master[[#This Row],[ASPECT -lookup picker]]="","",Master[[#This Row],[ASPECT -lookup picker]])</f>
        <v>North</v>
      </c>
      <c r="E115" s="109"/>
      <c r="H115" t="str">
        <f>IF(Master[[#This Row],[ASPECT Original Value]]="","",Master[[#This Row],[ASPECT Original Value]])</f>
        <v>N</v>
      </c>
    </row>
    <row r="116" spans="2:8" x14ac:dyDescent="0.25">
      <c r="B116" t="str">
        <f>Master[[#This Row],[Accession Prefix (NPGS)]]&amp;" "&amp;Master[[#This Row],[Accession Number -Assigned]]&amp;" COLLECTED "&amp;TEXT(Master[[#This Row],[Date Collected or Developed]], "MM/DD/YYYY")</f>
        <v>W6 59702 COLLECTED 08/05/2020</v>
      </c>
      <c r="C116" t="str">
        <f t="shared" si="4"/>
        <v>ASPECT</v>
      </c>
      <c r="D116" s="76" t="str">
        <f>IF(Master[[#This Row],[ASPECT -lookup picker]]="","",Master[[#This Row],[ASPECT -lookup picker]])</f>
        <v>Uncertain</v>
      </c>
      <c r="E116" s="109"/>
      <c r="H116" t="str">
        <f>IF(Master[[#This Row],[ASPECT Original Value]]="","",Master[[#This Row],[ASPECT Original Value]])</f>
        <v>N, NE, E, SE, S, SW, W, NW</v>
      </c>
    </row>
    <row r="117" spans="2:8" x14ac:dyDescent="0.25">
      <c r="B117" t="str">
        <f>Master[[#This Row],[Accession Prefix (NPGS)]]&amp;" "&amp;Master[[#This Row],[Accession Number -Assigned]]&amp;" COLLECTED "&amp;TEXT(Master[[#This Row],[Date Collected or Developed]], "MM/DD/YYYY")</f>
        <v>W6 59703 COLLECTED 08/06/2020</v>
      </c>
      <c r="C117" t="str">
        <f t="shared" si="4"/>
        <v>ASPECT</v>
      </c>
      <c r="D117" s="76" t="str">
        <f>IF(Master[[#This Row],[ASPECT -lookup picker]]="","",Master[[#This Row],[ASPECT -lookup picker]])</f>
        <v>Uncertain</v>
      </c>
      <c r="E117" s="109"/>
      <c r="H117" t="str">
        <f>IF(Master[[#This Row],[ASPECT Original Value]]="","",Master[[#This Row],[ASPECT Original Value]])</f>
        <v/>
      </c>
    </row>
    <row r="118" spans="2:8" x14ac:dyDescent="0.25">
      <c r="B118" t="str">
        <f>Master[[#This Row],[Accession Prefix (NPGS)]]&amp;" "&amp;Master[[#This Row],[Accession Number -Assigned]]&amp;" COLLECTED "&amp;TEXT(Master[[#This Row],[Date Collected or Developed]], "MM/DD/YYYY")</f>
        <v>W6 59704 COLLECTED 08/10/2020</v>
      </c>
      <c r="C118" t="str">
        <f t="shared" si="4"/>
        <v>ASPECT</v>
      </c>
      <c r="D118" s="76" t="str">
        <f>IF(Master[[#This Row],[ASPECT -lookup picker]]="","",Master[[#This Row],[ASPECT -lookup picker]])</f>
        <v>Uncertain</v>
      </c>
      <c r="E118" s="109"/>
      <c r="H118" t="str">
        <f>IF(Master[[#This Row],[ASPECT Original Value]]="","",Master[[#This Row],[ASPECT Original Value]])</f>
        <v/>
      </c>
    </row>
    <row r="119" spans="2:8" x14ac:dyDescent="0.25">
      <c r="B119" t="str">
        <f>Master[[#This Row],[Accession Prefix (NPGS)]]&amp;" "&amp;Master[[#This Row],[Accession Number -Assigned]]&amp;" COLLECTED "&amp;TEXT(Master[[#This Row],[Date Collected or Developed]], "MM/DD/YYYY")</f>
        <v>W6 59705 COLLECTED 08/13/2020</v>
      </c>
      <c r="C119" t="str">
        <f t="shared" si="4"/>
        <v>ASPECT</v>
      </c>
      <c r="D119" s="76" t="str">
        <f>IF(Master[[#This Row],[ASPECT -lookup picker]]="","",Master[[#This Row],[ASPECT -lookup picker]])</f>
        <v>North</v>
      </c>
      <c r="E119" s="109"/>
      <c r="H119" t="str">
        <f>IF(Master[[#This Row],[ASPECT Original Value]]="","",Master[[#This Row],[ASPECT Original Value]])</f>
        <v>N</v>
      </c>
    </row>
    <row r="120" spans="2:8" x14ac:dyDescent="0.25">
      <c r="B120" t="str">
        <f>Master[[#This Row],[Accession Prefix (NPGS)]]&amp;" "&amp;Master[[#This Row],[Accession Number -Assigned]]&amp;" COLLECTED "&amp;TEXT(Master[[#This Row],[Date Collected or Developed]], "MM/DD/YYYY")</f>
        <v>W6 59706 COLLECTED 08/17/2020</v>
      </c>
      <c r="C120" t="str">
        <f t="shared" si="4"/>
        <v>ASPECT</v>
      </c>
      <c r="D120" s="76" t="str">
        <f>IF(Master[[#This Row],[ASPECT -lookup picker]]="","",Master[[#This Row],[ASPECT -lookup picker]])</f>
        <v>East</v>
      </c>
      <c r="E120" s="109"/>
      <c r="H120" t="str">
        <f>IF(Master[[#This Row],[ASPECT Original Value]]="","",Master[[#This Row],[ASPECT Original Value]])</f>
        <v>E</v>
      </c>
    </row>
    <row r="121" spans="2:8" x14ac:dyDescent="0.25">
      <c r="B121" t="str">
        <f>Master[[#This Row],[Accession Prefix (NPGS)]]&amp;" "&amp;Master[[#This Row],[Accession Number -Assigned]]&amp;" COLLECTED "&amp;TEXT(Master[[#This Row],[Date Collected or Developed]], "MM/DD/YYYY")</f>
        <v>W6 59707 COLLECTED 08/17/2020</v>
      </c>
      <c r="C121" t="str">
        <f t="shared" si="4"/>
        <v>ASPECT</v>
      </c>
      <c r="D121" s="76" t="str">
        <f>IF(Master[[#This Row],[ASPECT -lookup picker]]="","",Master[[#This Row],[ASPECT -lookup picker]])</f>
        <v>Northwest</v>
      </c>
      <c r="E121" s="109"/>
      <c r="H121" t="str">
        <f>IF(Master[[#This Row],[ASPECT Original Value]]="","",Master[[#This Row],[ASPECT Original Value]])</f>
        <v>NW</v>
      </c>
    </row>
    <row r="122" spans="2:8" x14ac:dyDescent="0.25">
      <c r="B122" t="str">
        <f>Master[[#This Row],[Accession Prefix (NPGS)]]&amp;" "&amp;Master[[#This Row],[Accession Number -Assigned]]&amp;" COLLECTED "&amp;TEXT(Master[[#This Row],[Date Collected or Developed]], "MM/DD/YYYY")</f>
        <v>W6 59708 COLLECTED 08/18/2020</v>
      </c>
      <c r="C122" t="str">
        <f t="shared" si="4"/>
        <v>ASPECT</v>
      </c>
      <c r="D122" s="76" t="str">
        <f>IF(Master[[#This Row],[ASPECT -lookup picker]]="","",Master[[#This Row],[ASPECT -lookup picker]])</f>
        <v>Uncertain</v>
      </c>
      <c r="E122" s="109"/>
      <c r="H122" t="str">
        <f>IF(Master[[#This Row],[ASPECT Original Value]]="","",Master[[#This Row],[ASPECT Original Value]])</f>
        <v>N, NE, E, SE, S, SW, W, NW</v>
      </c>
    </row>
    <row r="123" spans="2:8" x14ac:dyDescent="0.25">
      <c r="B123" t="str">
        <f>Master[[#This Row],[Accession Prefix (NPGS)]]&amp;" "&amp;Master[[#This Row],[Accession Number -Assigned]]&amp;" COLLECTED "&amp;TEXT(Master[[#This Row],[Date Collected or Developed]], "MM/DD/YYYY")</f>
        <v>W6 59709 COLLECTED 08/19/2020</v>
      </c>
      <c r="C123" t="str">
        <f t="shared" si="4"/>
        <v>ASPECT</v>
      </c>
      <c r="D123" s="76" t="str">
        <f>IF(Master[[#This Row],[ASPECT -lookup picker]]="","",Master[[#This Row],[ASPECT -lookup picker]])</f>
        <v>Uncertain</v>
      </c>
      <c r="E123" s="109"/>
      <c r="H123" t="str">
        <f>IF(Master[[#This Row],[ASPECT Original Value]]="","",Master[[#This Row],[ASPECT Original Value]])</f>
        <v>N, NE, E, SE, S, SW, W, NW</v>
      </c>
    </row>
    <row r="124" spans="2:8" x14ac:dyDescent="0.25">
      <c r="B124" t="str">
        <f>Master[[#This Row],[Accession Prefix (NPGS)]]&amp;" "&amp;Master[[#This Row],[Accession Number -Assigned]]&amp;" COLLECTED "&amp;TEXT(Master[[#This Row],[Date Collected or Developed]], "MM/DD/YYYY")</f>
        <v>W6 59710 COLLECTED 08/24/2020</v>
      </c>
      <c r="C124" t="str">
        <f t="shared" si="4"/>
        <v>ASPECT</v>
      </c>
      <c r="D124" s="76" t="str">
        <f>IF(Master[[#This Row],[ASPECT -lookup picker]]="","",Master[[#This Row],[ASPECT -lookup picker]])</f>
        <v>South</v>
      </c>
      <c r="E124" s="109"/>
      <c r="H124" t="str">
        <f>IF(Master[[#This Row],[ASPECT Original Value]]="","",Master[[#This Row],[ASPECT Original Value]])</f>
        <v>S</v>
      </c>
    </row>
    <row r="125" spans="2:8" x14ac:dyDescent="0.25">
      <c r="B125" t="str">
        <f>Master[[#This Row],[Accession Prefix (NPGS)]]&amp;" "&amp;Master[[#This Row],[Accession Number -Assigned]]&amp;" COLLECTED "&amp;TEXT(Master[[#This Row],[Date Collected or Developed]], "MM/DD/YYYY")</f>
        <v>W6 59711 COLLECTED 08/27/2020</v>
      </c>
      <c r="C125" t="str">
        <f t="shared" si="4"/>
        <v>ASPECT</v>
      </c>
      <c r="D125" s="76" t="str">
        <f>IF(Master[[#This Row],[ASPECT -lookup picker]]="","",Master[[#This Row],[ASPECT -lookup picker]])</f>
        <v>Southeast</v>
      </c>
      <c r="E125" s="109"/>
      <c r="H125" t="str">
        <f>IF(Master[[#This Row],[ASPECT Original Value]]="","",Master[[#This Row],[ASPECT Original Value]])</f>
        <v>SE</v>
      </c>
    </row>
    <row r="126" spans="2:8" x14ac:dyDescent="0.25">
      <c r="B126" t="str">
        <f>Master[[#This Row],[Accession Prefix (NPGS)]]&amp;" "&amp;Master[[#This Row],[Accession Number -Assigned]]&amp;" COLLECTED "&amp;TEXT(Master[[#This Row],[Date Collected or Developed]], "MM/DD/YYYY")</f>
        <v>W6 59712 COLLECTED 09/01/2020</v>
      </c>
      <c r="C126" t="str">
        <f t="shared" si="4"/>
        <v>ASPECT</v>
      </c>
      <c r="D126" s="76" t="str">
        <f>IF(Master[[#This Row],[ASPECT -lookup picker]]="","",Master[[#This Row],[ASPECT -lookup picker]])</f>
        <v>South</v>
      </c>
      <c r="E126" s="109"/>
      <c r="H126" t="str">
        <f>IF(Master[[#This Row],[ASPECT Original Value]]="","",Master[[#This Row],[ASPECT Original Value]])</f>
        <v>S</v>
      </c>
    </row>
    <row r="127" spans="2:8" x14ac:dyDescent="0.25">
      <c r="B127" t="str">
        <f>Master[[#This Row],[Accession Prefix (NPGS)]]&amp;" "&amp;Master[[#This Row],[Accession Number -Assigned]]&amp;" COLLECTED "&amp;TEXT(Master[[#This Row],[Date Collected or Developed]], "MM/DD/YYYY")</f>
        <v>W6 59713 COLLECTED 08/03/2020</v>
      </c>
      <c r="C127" t="str">
        <f t="shared" si="4"/>
        <v>ASPECT</v>
      </c>
      <c r="D127" s="76" t="str">
        <f>IF(Master[[#This Row],[ASPECT -lookup picker]]="","",Master[[#This Row],[ASPECT -lookup picker]])</f>
        <v/>
      </c>
      <c r="E127" s="109"/>
      <c r="H127" t="str">
        <f>IF(Master[[#This Row],[ASPECT Original Value]]="","",Master[[#This Row],[ASPECT Original Value]])</f>
        <v/>
      </c>
    </row>
    <row r="128" spans="2:8" x14ac:dyDescent="0.25">
      <c r="B128" t="str">
        <f>Master[[#This Row],[Accession Prefix (NPGS)]]&amp;" "&amp;Master[[#This Row],[Accession Number -Assigned]]&amp;" COLLECTED "&amp;TEXT(Master[[#This Row],[Date Collected or Developed]], "MM/DD/YYYY")</f>
        <v>W6 59714 COLLECTED 08/05/2020</v>
      </c>
      <c r="C128" t="str">
        <f t="shared" si="4"/>
        <v>ASPECT</v>
      </c>
      <c r="D128" s="76" t="str">
        <f>IF(Master[[#This Row],[ASPECT -lookup picker]]="","",Master[[#This Row],[ASPECT -lookup picker]])</f>
        <v>West</v>
      </c>
      <c r="E128" s="109"/>
      <c r="H128" t="str">
        <f>IF(Master[[#This Row],[ASPECT Original Value]]="","",Master[[#This Row],[ASPECT Original Value]])</f>
        <v>W</v>
      </c>
    </row>
    <row r="129" spans="2:8" x14ac:dyDescent="0.25">
      <c r="B129" t="str">
        <f>Master[[#This Row],[Accession Prefix (NPGS)]]&amp;" "&amp;Master[[#This Row],[Accession Number -Assigned]]&amp;" COLLECTED "&amp;TEXT(Master[[#This Row],[Date Collected or Developed]], "MM/DD/YYYY")</f>
        <v>W6 59715 COLLECTED 08/12/2020</v>
      </c>
      <c r="C129" t="str">
        <f t="shared" si="4"/>
        <v>ASPECT</v>
      </c>
      <c r="D129" s="76" t="str">
        <f>IF(Master[[#This Row],[ASPECT -lookup picker]]="","",Master[[#This Row],[ASPECT -lookup picker]])</f>
        <v>Northeast</v>
      </c>
      <c r="E129" s="109"/>
      <c r="H129" t="str">
        <f>IF(Master[[#This Row],[ASPECT Original Value]]="","",Master[[#This Row],[ASPECT Original Value]])</f>
        <v>NE</v>
      </c>
    </row>
    <row r="130" spans="2:8" x14ac:dyDescent="0.25">
      <c r="B130" t="str">
        <f>Master[[#This Row],[Accession Prefix (NPGS)]]&amp;" "&amp;Master[[#This Row],[Accession Number -Assigned]]&amp;" COLLECTED "&amp;TEXT(Master[[#This Row],[Date Collected or Developed]], "MM/DD/YYYY")</f>
        <v>W6 59716 COLLECTED 08/17/2020</v>
      </c>
      <c r="C130" t="str">
        <f t="shared" si="4"/>
        <v>ASPECT</v>
      </c>
      <c r="D130" s="76" t="str">
        <f>IF(Master[[#This Row],[ASPECT -lookup picker]]="","",Master[[#This Row],[ASPECT -lookup picker]])</f>
        <v/>
      </c>
      <c r="E130" s="109"/>
      <c r="H130" t="str">
        <f>IF(Master[[#This Row],[ASPECT Original Value]]="","",Master[[#This Row],[ASPECT Original Value]])</f>
        <v/>
      </c>
    </row>
    <row r="131" spans="2:8" x14ac:dyDescent="0.25">
      <c r="B131" t="str">
        <f>Master[[#This Row],[Accession Prefix (NPGS)]]&amp;" "&amp;Master[[#This Row],[Accession Number -Assigned]]&amp;" COLLECTED "&amp;TEXT(Master[[#This Row],[Date Collected or Developed]], "MM/DD/YYYY")</f>
        <v>W6 59717 COLLECTED 08/19/2020</v>
      </c>
      <c r="C131" t="str">
        <f t="shared" si="4"/>
        <v>ASPECT</v>
      </c>
      <c r="D131" s="76" t="str">
        <f>IF(Master[[#This Row],[ASPECT -lookup picker]]="","",Master[[#This Row],[ASPECT -lookup picker]])</f>
        <v/>
      </c>
      <c r="E131" s="109"/>
      <c r="H131" t="str">
        <f>IF(Master[[#This Row],[ASPECT Original Value]]="","",Master[[#This Row],[ASPECT Original Value]])</f>
        <v/>
      </c>
    </row>
    <row r="132" spans="2:8" x14ac:dyDescent="0.25">
      <c r="B132" t="str">
        <f>Master[[#This Row],[Accession Prefix (NPGS)]]&amp;" "&amp;Master[[#This Row],[Accession Number -Assigned]]&amp;" COLLECTED "&amp;TEXT(Master[[#This Row],[Date Collected or Developed]], "MM/DD/YYYY")</f>
        <v>W6 59718 COLLECTED 08/19/2020</v>
      </c>
      <c r="C132" t="str">
        <f t="shared" ref="C132:C163" si="5">"ASPECT"</f>
        <v>ASPECT</v>
      </c>
      <c r="D132" s="76" t="str">
        <f>IF(Master[[#This Row],[ASPECT -lookup picker]]="","",Master[[#This Row],[ASPECT -lookup picker]])</f>
        <v/>
      </c>
      <c r="E132" s="109"/>
      <c r="H132" t="str">
        <f>IF(Master[[#This Row],[ASPECT Original Value]]="","",Master[[#This Row],[ASPECT Original Value]])</f>
        <v/>
      </c>
    </row>
    <row r="133" spans="2:8" x14ac:dyDescent="0.25">
      <c r="B133" t="str">
        <f>Master[[#This Row],[Accession Prefix (NPGS)]]&amp;" "&amp;Master[[#This Row],[Accession Number -Assigned]]&amp;" COLLECTED "&amp;TEXT(Master[[#This Row],[Date Collected or Developed]], "MM/DD/YYYY")</f>
        <v>W6 59719 COLLECTED 08/26/2020</v>
      </c>
      <c r="C133" t="str">
        <f t="shared" si="5"/>
        <v>ASPECT</v>
      </c>
      <c r="D133" s="76" t="str">
        <f>IF(Master[[#This Row],[ASPECT -lookup picker]]="","",Master[[#This Row],[ASPECT -lookup picker]])</f>
        <v/>
      </c>
      <c r="E133" s="109"/>
      <c r="H133" t="str">
        <f>IF(Master[[#This Row],[ASPECT Original Value]]="","",Master[[#This Row],[ASPECT Original Value]])</f>
        <v/>
      </c>
    </row>
    <row r="134" spans="2:8" x14ac:dyDescent="0.25">
      <c r="B134" t="str">
        <f>Master[[#This Row],[Accession Prefix (NPGS)]]&amp;" "&amp;Master[[#This Row],[Accession Number -Assigned]]&amp;" COLLECTED "&amp;TEXT(Master[[#This Row],[Date Collected or Developed]], "MM/DD/YYYY")</f>
        <v>W6 59720 COLLECTED 08/26/2020</v>
      </c>
      <c r="C134" t="str">
        <f t="shared" si="5"/>
        <v>ASPECT</v>
      </c>
      <c r="D134" s="76" t="str">
        <f>IF(Master[[#This Row],[ASPECT -lookup picker]]="","",Master[[#This Row],[ASPECT -lookup picker]])</f>
        <v>Southeast</v>
      </c>
      <c r="E134" s="109"/>
      <c r="H134" t="str">
        <f>IF(Master[[#This Row],[ASPECT Original Value]]="","",Master[[#This Row],[ASPECT Original Value]])</f>
        <v>SE</v>
      </c>
    </row>
    <row r="135" spans="2:8" x14ac:dyDescent="0.25">
      <c r="B135" t="str">
        <f>Master[[#This Row],[Accession Prefix (NPGS)]]&amp;" "&amp;Master[[#This Row],[Accession Number -Assigned]]&amp;" COLLECTED "&amp;TEXT(Master[[#This Row],[Date Collected or Developed]], "MM/DD/YYYY")</f>
        <v>W6 59721 COLLECTED 08/27/2020</v>
      </c>
      <c r="C135" t="str">
        <f t="shared" si="5"/>
        <v>ASPECT</v>
      </c>
      <c r="D135" s="76" t="str">
        <f>IF(Master[[#This Row],[ASPECT -lookup picker]]="","",Master[[#This Row],[ASPECT -lookup picker]])</f>
        <v/>
      </c>
      <c r="E135" s="109"/>
      <c r="H135" t="str">
        <f>IF(Master[[#This Row],[ASPECT Original Value]]="","",Master[[#This Row],[ASPECT Original Value]])</f>
        <v/>
      </c>
    </row>
    <row r="136" spans="2:8" x14ac:dyDescent="0.25">
      <c r="B136" t="str">
        <f>Master[[#This Row],[Accession Prefix (NPGS)]]&amp;" "&amp;Master[[#This Row],[Accession Number -Assigned]]&amp;" COLLECTED "&amp;TEXT(Master[[#This Row],[Date Collected or Developed]], "MM/DD/YYYY")</f>
        <v>W6 59722 COLLECTED 09/09/2020</v>
      </c>
      <c r="C136" t="str">
        <f t="shared" si="5"/>
        <v>ASPECT</v>
      </c>
      <c r="D136" s="76" t="str">
        <f>IF(Master[[#This Row],[ASPECT -lookup picker]]="","",Master[[#This Row],[ASPECT -lookup picker]])</f>
        <v/>
      </c>
      <c r="E136" s="109"/>
      <c r="H136" t="str">
        <f>IF(Master[[#This Row],[ASPECT Original Value]]="","",Master[[#This Row],[ASPECT Original Value]])</f>
        <v/>
      </c>
    </row>
    <row r="137" spans="2:8" x14ac:dyDescent="0.25">
      <c r="B137" t="str">
        <f>Master[[#This Row],[Accession Prefix (NPGS)]]&amp;" "&amp;Master[[#This Row],[Accession Number -Assigned]]&amp;" COLLECTED "&amp;TEXT(Master[[#This Row],[Date Collected or Developed]], "MM/DD/YYYY")</f>
        <v>W6 59723 COLLECTED 09/10/2020</v>
      </c>
      <c r="C137" t="str">
        <f t="shared" si="5"/>
        <v>ASPECT</v>
      </c>
      <c r="D137" s="76" t="str">
        <f>IF(Master[[#This Row],[ASPECT -lookup picker]]="","",Master[[#This Row],[ASPECT -lookup picker]])</f>
        <v>East</v>
      </c>
      <c r="E137" s="109"/>
      <c r="H137" t="str">
        <f>IF(Master[[#This Row],[ASPECT Original Value]]="","",Master[[#This Row],[ASPECT Original Value]])</f>
        <v>E</v>
      </c>
    </row>
    <row r="138" spans="2:8" x14ac:dyDescent="0.25">
      <c r="B138" t="str">
        <f>Master[[#This Row],[Accession Prefix (NPGS)]]&amp;" "&amp;Master[[#This Row],[Accession Number -Assigned]]&amp;" COLLECTED "&amp;TEXT(Master[[#This Row],[Date Collected or Developed]], "MM/DD/YYYY")</f>
        <v>W6 59724 COLLECTED 09/10/2020</v>
      </c>
      <c r="C138" t="str">
        <f t="shared" si="5"/>
        <v>ASPECT</v>
      </c>
      <c r="D138" s="76" t="str">
        <f>IF(Master[[#This Row],[ASPECT -lookup picker]]="","",Master[[#This Row],[ASPECT -lookup picker]])</f>
        <v>Northeast</v>
      </c>
      <c r="E138" s="109"/>
      <c r="H138" t="str">
        <f>IF(Master[[#This Row],[ASPECT Original Value]]="","",Master[[#This Row],[ASPECT Original Value]])</f>
        <v>NE</v>
      </c>
    </row>
    <row r="139" spans="2:8" x14ac:dyDescent="0.25">
      <c r="B139" t="str">
        <f>Master[[#This Row],[Accession Prefix (NPGS)]]&amp;" "&amp;Master[[#This Row],[Accession Number -Assigned]]&amp;" COLLECTED "&amp;TEXT(Master[[#This Row],[Date Collected or Developed]], "MM/DD/YYYY")</f>
        <v>W6 59725 COLLECTED 09/15/2020</v>
      </c>
      <c r="C139" t="str">
        <f t="shared" si="5"/>
        <v>ASPECT</v>
      </c>
      <c r="D139" s="76" t="str">
        <f>IF(Master[[#This Row],[ASPECT -lookup picker]]="","",Master[[#This Row],[ASPECT -lookup picker]])</f>
        <v>Northeast</v>
      </c>
      <c r="E139" s="109"/>
      <c r="H139" t="str">
        <f>IF(Master[[#This Row],[ASPECT Original Value]]="","",Master[[#This Row],[ASPECT Original Value]])</f>
        <v>NE</v>
      </c>
    </row>
    <row r="140" spans="2:8" x14ac:dyDescent="0.25">
      <c r="B140" t="str">
        <f>Master[[#This Row],[Accession Prefix (NPGS)]]&amp;" "&amp;Master[[#This Row],[Accession Number -Assigned]]&amp;" COLLECTED "&amp;TEXT(Master[[#This Row],[Date Collected or Developed]], "MM/DD/YYYY")</f>
        <v>W6 59726 COLLECTED 09/17/2020</v>
      </c>
      <c r="C140" t="str">
        <f t="shared" si="5"/>
        <v>ASPECT</v>
      </c>
      <c r="D140" s="76" t="str">
        <f>IF(Master[[#This Row],[ASPECT -lookup picker]]="","",Master[[#This Row],[ASPECT -lookup picker]])</f>
        <v>East</v>
      </c>
      <c r="E140" s="109"/>
      <c r="H140" t="str">
        <f>IF(Master[[#This Row],[ASPECT Original Value]]="","",Master[[#This Row],[ASPECT Original Value]])</f>
        <v>E, SE</v>
      </c>
    </row>
    <row r="141" spans="2:8" x14ac:dyDescent="0.25">
      <c r="B141" t="str">
        <f>Master[[#This Row],[Accession Prefix (NPGS)]]&amp;" "&amp;Master[[#This Row],[Accession Number -Assigned]]&amp;" COLLECTED "&amp;TEXT(Master[[#This Row],[Date Collected or Developed]], "MM/DD/YYYY")</f>
        <v>W6 59727 COLLECTED 09/17/2020</v>
      </c>
      <c r="C141" t="str">
        <f t="shared" si="5"/>
        <v>ASPECT</v>
      </c>
      <c r="D141" s="76" t="str">
        <f>IF(Master[[#This Row],[ASPECT -lookup picker]]="","",Master[[#This Row],[ASPECT -lookup picker]])</f>
        <v>East</v>
      </c>
      <c r="E141" s="109"/>
      <c r="H141" t="str">
        <f>IF(Master[[#This Row],[ASPECT Original Value]]="","",Master[[#This Row],[ASPECT Original Value]])</f>
        <v>E, SE</v>
      </c>
    </row>
    <row r="142" spans="2:8" x14ac:dyDescent="0.25">
      <c r="B142" t="str">
        <f>Master[[#This Row],[Accession Prefix (NPGS)]]&amp;" "&amp;Master[[#This Row],[Accession Number -Assigned]]&amp;" COLLECTED "&amp;TEXT(Master[[#This Row],[Date Collected or Developed]], "MM/DD/YYYY")</f>
        <v>W6 59728 COLLECTED 09/21/2020</v>
      </c>
      <c r="C142" t="str">
        <f t="shared" si="5"/>
        <v>ASPECT</v>
      </c>
      <c r="D142" s="76" t="str">
        <f>IF(Master[[#This Row],[ASPECT -lookup picker]]="","",Master[[#This Row],[ASPECT -lookup picker]])</f>
        <v/>
      </c>
      <c r="E142" s="109"/>
      <c r="H142" t="str">
        <f>IF(Master[[#This Row],[ASPECT Original Value]]="","",Master[[#This Row],[ASPECT Original Value]])</f>
        <v/>
      </c>
    </row>
    <row r="143" spans="2:8" x14ac:dyDescent="0.25">
      <c r="B143" t="str">
        <f>Master[[#This Row],[Accession Prefix (NPGS)]]&amp;" "&amp;Master[[#This Row],[Accession Number -Assigned]]&amp;" COLLECTED "&amp;TEXT(Master[[#This Row],[Date Collected or Developed]], "MM/DD/YYYY")</f>
        <v>W6 59729 COLLECTED 09/23/2020</v>
      </c>
      <c r="C143" t="str">
        <f t="shared" si="5"/>
        <v>ASPECT</v>
      </c>
      <c r="D143" s="76" t="str">
        <f>IF(Master[[#This Row],[ASPECT -lookup picker]]="","",Master[[#This Row],[ASPECT -lookup picker]])</f>
        <v>South</v>
      </c>
      <c r="E143" s="109"/>
      <c r="H143" t="str">
        <f>IF(Master[[#This Row],[ASPECT Original Value]]="","",Master[[#This Row],[ASPECT Original Value]])</f>
        <v>SE, S</v>
      </c>
    </row>
    <row r="144" spans="2:8" x14ac:dyDescent="0.25">
      <c r="B144" t="str">
        <f>Master[[#This Row],[Accession Prefix (NPGS)]]&amp;" "&amp;Master[[#This Row],[Accession Number -Assigned]]&amp;" COLLECTED "&amp;TEXT(Master[[#This Row],[Date Collected or Developed]], "MM/DD/YYYY")</f>
        <v>W6 59730 COLLECTED 09/24/2020</v>
      </c>
      <c r="C144" t="str">
        <f t="shared" si="5"/>
        <v>ASPECT</v>
      </c>
      <c r="D144" s="76" t="str">
        <f>IF(Master[[#This Row],[ASPECT -lookup picker]]="","",Master[[#This Row],[ASPECT -lookup picker]])</f>
        <v>Northeast</v>
      </c>
      <c r="E144" s="109"/>
      <c r="H144" t="str">
        <f>IF(Master[[#This Row],[ASPECT Original Value]]="","",Master[[#This Row],[ASPECT Original Value]])</f>
        <v>NE</v>
      </c>
    </row>
    <row r="145" spans="2:8" x14ac:dyDescent="0.25">
      <c r="B145" t="str">
        <f>Master[[#This Row],[Accession Prefix (NPGS)]]&amp;" "&amp;Master[[#This Row],[Accession Number -Assigned]]&amp;" COLLECTED "&amp;TEXT(Master[[#This Row],[Date Collected or Developed]], "MM/DD/YYYY")</f>
        <v>W6 59731 COLLECTED 10/01/2020</v>
      </c>
      <c r="C145" t="str">
        <f t="shared" si="5"/>
        <v>ASPECT</v>
      </c>
      <c r="D145" s="76" t="str">
        <f>IF(Master[[#This Row],[ASPECT -lookup picker]]="","",Master[[#This Row],[ASPECT -lookup picker]])</f>
        <v>Northeast</v>
      </c>
      <c r="E145" s="109"/>
      <c r="H145" t="str">
        <f>IF(Master[[#This Row],[ASPECT Original Value]]="","",Master[[#This Row],[ASPECT Original Value]])</f>
        <v>NE</v>
      </c>
    </row>
    <row r="146" spans="2:8" x14ac:dyDescent="0.25">
      <c r="B146" t="str">
        <f>Master[[#This Row],[Accession Prefix (NPGS)]]&amp;" "&amp;Master[[#This Row],[Accession Number -Assigned]]&amp;" COLLECTED "&amp;TEXT(Master[[#This Row],[Date Collected or Developed]], "MM/DD/YYYY")</f>
        <v>W6 59732 COLLECTED 10/02/2020</v>
      </c>
      <c r="C146" t="str">
        <f t="shared" si="5"/>
        <v>ASPECT</v>
      </c>
      <c r="D146" s="76" t="str">
        <f>IF(Master[[#This Row],[ASPECT -lookup picker]]="","",Master[[#This Row],[ASPECT -lookup picker]])</f>
        <v/>
      </c>
      <c r="E146" s="109"/>
      <c r="H146" t="str">
        <f>IF(Master[[#This Row],[ASPECT Original Value]]="","",Master[[#This Row],[ASPECT Original Value]])</f>
        <v/>
      </c>
    </row>
    <row r="147" spans="2:8" x14ac:dyDescent="0.25">
      <c r="B147" t="str">
        <f>Master[[#This Row],[Accession Prefix (NPGS)]]&amp;" "&amp;Master[[#This Row],[Accession Number -Assigned]]&amp;" COLLECTED "&amp;TEXT(Master[[#This Row],[Date Collected or Developed]], "MM/DD/YYYY")</f>
        <v>W6 59733 COLLECTED 10/05/2020</v>
      </c>
      <c r="C147" t="str">
        <f t="shared" si="5"/>
        <v>ASPECT</v>
      </c>
      <c r="D147" s="76" t="str">
        <f>IF(Master[[#This Row],[ASPECT -lookup picker]]="","",Master[[#This Row],[ASPECT -lookup picker]])</f>
        <v>East</v>
      </c>
      <c r="E147" s="109"/>
      <c r="H147" t="str">
        <f>IF(Master[[#This Row],[ASPECT Original Value]]="","",Master[[#This Row],[ASPECT Original Value]])</f>
        <v>E</v>
      </c>
    </row>
    <row r="148" spans="2:8" x14ac:dyDescent="0.25">
      <c r="B148" t="str">
        <f>Master[[#This Row],[Accession Prefix (NPGS)]]&amp;" "&amp;Master[[#This Row],[Accession Number -Assigned]]&amp;" COLLECTED "&amp;TEXT(Master[[#This Row],[Date Collected or Developed]], "MM/DD/YYYY")</f>
        <v>W6 59734 COLLECTED 10/05/2020</v>
      </c>
      <c r="C148" t="str">
        <f t="shared" si="5"/>
        <v>ASPECT</v>
      </c>
      <c r="D148" s="76" t="str">
        <f>IF(Master[[#This Row],[ASPECT -lookup picker]]="","",Master[[#This Row],[ASPECT -lookup picker]])</f>
        <v>East</v>
      </c>
      <c r="E148" s="109"/>
      <c r="H148" t="str">
        <f>IF(Master[[#This Row],[ASPECT Original Value]]="","",Master[[#This Row],[ASPECT Original Value]])</f>
        <v>E</v>
      </c>
    </row>
    <row r="149" spans="2:8" x14ac:dyDescent="0.25">
      <c r="B149" t="str">
        <f>Master[[#This Row],[Accession Prefix (NPGS)]]&amp;" "&amp;Master[[#This Row],[Accession Number -Assigned]]&amp;" COLLECTED "&amp;TEXT(Master[[#This Row],[Date Collected or Developed]], "MM/DD/YYYY")</f>
        <v>W6 59735 COLLECTED 07/29/2020</v>
      </c>
      <c r="C149" t="str">
        <f t="shared" si="5"/>
        <v>ASPECT</v>
      </c>
      <c r="D149" s="76" t="str">
        <f>IF(Master[[#This Row],[ASPECT -lookup picker]]="","",Master[[#This Row],[ASPECT -lookup picker]])</f>
        <v/>
      </c>
      <c r="E149" s="109"/>
      <c r="H149" t="str">
        <f>IF(Master[[#This Row],[ASPECT Original Value]]="","",Master[[#This Row],[ASPECT Original Value]])</f>
        <v/>
      </c>
    </row>
    <row r="150" spans="2:8" x14ac:dyDescent="0.25">
      <c r="B150" t="str">
        <f>Master[[#This Row],[Accession Prefix (NPGS)]]&amp;" "&amp;Master[[#This Row],[Accession Number -Assigned]]&amp;" COLLECTED "&amp;TEXT(Master[[#This Row],[Date Collected or Developed]], "MM/DD/YYYY")</f>
        <v>W6 59736 COLLECTED 10/07/2020</v>
      </c>
      <c r="C150" t="str">
        <f t="shared" si="5"/>
        <v>ASPECT</v>
      </c>
      <c r="D150" s="76" t="str">
        <f>IF(Master[[#This Row],[ASPECT -lookup picker]]="","",Master[[#This Row],[ASPECT -lookup picker]])</f>
        <v>East</v>
      </c>
      <c r="E150" s="109"/>
      <c r="H150" t="str">
        <f>IF(Master[[#This Row],[ASPECT Original Value]]="","",Master[[#This Row],[ASPECT Original Value]])</f>
        <v>E</v>
      </c>
    </row>
    <row r="151" spans="2:8" x14ac:dyDescent="0.25">
      <c r="B151" t="str">
        <f>Master[[#This Row],[Accession Prefix (NPGS)]]&amp;" "&amp;Master[[#This Row],[Accession Number -Assigned]]&amp;" COLLECTED "&amp;TEXT(Master[[#This Row],[Date Collected or Developed]], "MM/DD/YYYY")</f>
        <v>W6 59737 COLLECTED 08/18/2020</v>
      </c>
      <c r="C151" t="str">
        <f t="shared" si="5"/>
        <v>ASPECT</v>
      </c>
      <c r="D151" s="76" t="str">
        <f>IF(Master[[#This Row],[ASPECT -lookup picker]]="","",Master[[#This Row],[ASPECT -lookup picker]])</f>
        <v>North</v>
      </c>
      <c r="E151" s="109"/>
      <c r="H151" t="str">
        <f>IF(Master[[#This Row],[ASPECT Original Value]]="","",Master[[#This Row],[ASPECT Original Value]])</f>
        <v>N, NE</v>
      </c>
    </row>
    <row r="152" spans="2:8" x14ac:dyDescent="0.25">
      <c r="B152" t="str">
        <f>Master[[#This Row],[Accession Prefix (NPGS)]]&amp;" "&amp;Master[[#This Row],[Accession Number -Assigned]]&amp;" COLLECTED "&amp;TEXT(Master[[#This Row],[Date Collected or Developed]], "MM/DD/YYYY")</f>
        <v xml:space="preserve">  COLLECTED 01/00/1900</v>
      </c>
      <c r="C152" t="str">
        <f t="shared" si="5"/>
        <v>ASPECT</v>
      </c>
      <c r="D152" s="76" t="str">
        <f>IF(Master[[#This Row],[ASPECT -lookup picker]]="","",Master[[#This Row],[ASPECT -lookup picker]])</f>
        <v/>
      </c>
      <c r="E152" s="109"/>
      <c r="H152" t="str">
        <f>IF(Master[[#This Row],[ASPECT Original Value]]="","",Master[[#This Row],[ASPECT Original Value]])</f>
        <v/>
      </c>
    </row>
    <row r="153" spans="2:8" x14ac:dyDescent="0.25">
      <c r="B153" t="str">
        <f>Master[[#This Row],[Accession Prefix (NPGS)]]&amp;" "&amp;Master[[#This Row],[Accession Number -Assigned]]&amp;" COLLECTED "&amp;TEXT(Master[[#This Row],[Date Collected or Developed]], "MM/DD/YYYY")</f>
        <v xml:space="preserve">  COLLECTED 01/00/1900</v>
      </c>
      <c r="C153" t="str">
        <f t="shared" si="5"/>
        <v>ASPECT</v>
      </c>
      <c r="D153" s="76" t="str">
        <f>IF(Master[[#This Row],[ASPECT -lookup picker]]="","",Master[[#This Row],[ASPECT -lookup picker]])</f>
        <v/>
      </c>
      <c r="E153" s="109"/>
      <c r="H153" t="str">
        <f>IF(Master[[#This Row],[ASPECT Original Value]]="","",Master[[#This Row],[ASPECT Original Value]])</f>
        <v/>
      </c>
    </row>
    <row r="154" spans="2:8" x14ac:dyDescent="0.25">
      <c r="B154" t="str">
        <f>Master[[#This Row],[Accession Prefix (NPGS)]]&amp;" "&amp;Master[[#This Row],[Accession Number -Assigned]]&amp;" COLLECTED "&amp;TEXT(Master[[#This Row],[Date Collected or Developed]], "MM/DD/YYYY")</f>
        <v xml:space="preserve">  COLLECTED 01/00/1900</v>
      </c>
      <c r="C154" t="str">
        <f t="shared" si="5"/>
        <v>ASPECT</v>
      </c>
      <c r="D154" s="76" t="str">
        <f>IF(Master[[#This Row],[ASPECT -lookup picker]]="","",Master[[#This Row],[ASPECT -lookup picker]])</f>
        <v/>
      </c>
      <c r="E154" s="109"/>
      <c r="H154" t="str">
        <f>IF(Master[[#This Row],[ASPECT Original Value]]="","",Master[[#This Row],[ASPECT Original Value]])</f>
        <v/>
      </c>
    </row>
    <row r="155" spans="2:8" x14ac:dyDescent="0.25">
      <c r="B155" t="str">
        <f>Master[[#This Row],[Accession Prefix (NPGS)]]&amp;" "&amp;Master[[#This Row],[Accession Number -Assigned]]&amp;" COLLECTED "&amp;TEXT(Master[[#This Row],[Date Collected or Developed]], "MM/DD/YYYY")</f>
        <v xml:space="preserve">  COLLECTED 01/00/1900</v>
      </c>
      <c r="C155" t="str">
        <f t="shared" si="5"/>
        <v>ASPECT</v>
      </c>
      <c r="D155" s="76" t="str">
        <f>IF(Master[[#This Row],[ASPECT -lookup picker]]="","",Master[[#This Row],[ASPECT -lookup picker]])</f>
        <v/>
      </c>
      <c r="E155" s="109"/>
      <c r="H155" t="str">
        <f>IF(Master[[#This Row],[ASPECT Original Value]]="","",Master[[#This Row],[ASPECT Original Value]])</f>
        <v/>
      </c>
    </row>
    <row r="156" spans="2:8" x14ac:dyDescent="0.25">
      <c r="B156" t="str">
        <f>Master[[#This Row],[Accession Prefix (NPGS)]]&amp;" "&amp;Master[[#This Row],[Accession Number -Assigned]]&amp;" COLLECTED "&amp;TEXT(Master[[#This Row],[Date Collected or Developed]], "MM/DD/YYYY")</f>
        <v xml:space="preserve">  COLLECTED 01/00/1900</v>
      </c>
      <c r="C156" t="str">
        <f t="shared" si="5"/>
        <v>ASPECT</v>
      </c>
      <c r="D156" s="76" t="str">
        <f>IF(Master[[#This Row],[ASPECT -lookup picker]]="","",Master[[#This Row],[ASPECT -lookup picker]])</f>
        <v/>
      </c>
      <c r="E156" s="109"/>
      <c r="H156" t="str">
        <f>IF(Master[[#This Row],[ASPECT Original Value]]="","",Master[[#This Row],[ASPECT Original Value]])</f>
        <v/>
      </c>
    </row>
    <row r="157" spans="2:8" x14ac:dyDescent="0.25">
      <c r="B157" t="str">
        <f>Master[[#This Row],[Accession Prefix (NPGS)]]&amp;" "&amp;Master[[#This Row],[Accession Number -Assigned]]&amp;" COLLECTED "&amp;TEXT(Master[[#This Row],[Date Collected or Developed]], "MM/DD/YYYY")</f>
        <v xml:space="preserve">  COLLECTED 01/00/1900</v>
      </c>
      <c r="C157" t="str">
        <f t="shared" si="5"/>
        <v>ASPECT</v>
      </c>
      <c r="D157" s="76" t="str">
        <f>IF(Master[[#This Row],[ASPECT -lookup picker]]="","",Master[[#This Row],[ASPECT -lookup picker]])</f>
        <v/>
      </c>
      <c r="E157" s="109"/>
      <c r="H157" t="str">
        <f>IF(Master[[#This Row],[ASPECT Original Value]]="","",Master[[#This Row],[ASPECT Original Value]])</f>
        <v/>
      </c>
    </row>
    <row r="158" spans="2:8" x14ac:dyDescent="0.25">
      <c r="B158" t="str">
        <f>Master[[#This Row],[Accession Prefix (NPGS)]]&amp;" "&amp;Master[[#This Row],[Accession Number -Assigned]]&amp;" COLLECTED "&amp;TEXT(Master[[#This Row],[Date Collected or Developed]], "MM/DD/YYYY")</f>
        <v xml:space="preserve">  COLLECTED 01/00/1900</v>
      </c>
      <c r="C158" t="str">
        <f t="shared" si="5"/>
        <v>ASPECT</v>
      </c>
      <c r="D158" s="76" t="str">
        <f>IF(Master[[#This Row],[ASPECT -lookup picker]]="","",Master[[#This Row],[ASPECT -lookup picker]])</f>
        <v/>
      </c>
      <c r="E158" s="109"/>
      <c r="H158" t="str">
        <f>IF(Master[[#This Row],[ASPECT Original Value]]="","",Master[[#This Row],[ASPECT Original Value]])</f>
        <v/>
      </c>
    </row>
    <row r="159" spans="2:8" x14ac:dyDescent="0.25">
      <c r="B159" t="str">
        <f>Master[[#This Row],[Accession Prefix (NPGS)]]&amp;" "&amp;Master[[#This Row],[Accession Number -Assigned]]&amp;" COLLECTED "&amp;TEXT(Master[[#This Row],[Date Collected or Developed]], "MM/DD/YYYY")</f>
        <v xml:space="preserve">  COLLECTED 01/00/1900</v>
      </c>
      <c r="C159" t="str">
        <f t="shared" si="5"/>
        <v>ASPECT</v>
      </c>
      <c r="D159" s="76" t="str">
        <f>IF(Master[[#This Row],[ASPECT -lookup picker]]="","",Master[[#This Row],[ASPECT -lookup picker]])</f>
        <v/>
      </c>
      <c r="E159" s="109"/>
      <c r="H159" t="str">
        <f>IF(Master[[#This Row],[ASPECT Original Value]]="","",Master[[#This Row],[ASPECT Original Value]])</f>
        <v/>
      </c>
    </row>
    <row r="160" spans="2:8" x14ac:dyDescent="0.25">
      <c r="B160" t="str">
        <f>Master[[#This Row],[Accession Prefix (NPGS)]]&amp;" "&amp;Master[[#This Row],[Accession Number -Assigned]]&amp;" COLLECTED "&amp;TEXT(Master[[#This Row],[Date Collected or Developed]], "MM/DD/YYYY")</f>
        <v xml:space="preserve">  COLLECTED 01/00/1900</v>
      </c>
      <c r="C160" t="str">
        <f t="shared" si="5"/>
        <v>ASPECT</v>
      </c>
      <c r="D160" s="76" t="str">
        <f>IF(Master[[#This Row],[ASPECT -lookup picker]]="","",Master[[#This Row],[ASPECT -lookup picker]])</f>
        <v/>
      </c>
      <c r="E160" s="109"/>
      <c r="H160" t="str">
        <f>IF(Master[[#This Row],[ASPECT Original Value]]="","",Master[[#This Row],[ASPECT Original Value]])</f>
        <v/>
      </c>
    </row>
    <row r="161" spans="2:8" x14ac:dyDescent="0.25">
      <c r="B161" t="str">
        <f>Master[[#This Row],[Accession Prefix (NPGS)]]&amp;" "&amp;Master[[#This Row],[Accession Number -Assigned]]&amp;" COLLECTED "&amp;TEXT(Master[[#This Row],[Date Collected or Developed]], "MM/DD/YYYY")</f>
        <v xml:space="preserve">  COLLECTED 01/00/1900</v>
      </c>
      <c r="C161" t="str">
        <f t="shared" si="5"/>
        <v>ASPECT</v>
      </c>
      <c r="D161" s="76" t="str">
        <f>IF(Master[[#This Row],[ASPECT -lookup picker]]="","",Master[[#This Row],[ASPECT -lookup picker]])</f>
        <v/>
      </c>
      <c r="E161" s="109"/>
      <c r="H161" t="str">
        <f>IF(Master[[#This Row],[ASPECT Original Value]]="","",Master[[#This Row],[ASPECT Original Value]])</f>
        <v/>
      </c>
    </row>
    <row r="162" spans="2:8" x14ac:dyDescent="0.25">
      <c r="B162" t="str">
        <f>Master[[#This Row],[Accession Prefix (NPGS)]]&amp;" "&amp;Master[[#This Row],[Accession Number -Assigned]]&amp;" COLLECTED "&amp;TEXT(Master[[#This Row],[Date Collected or Developed]], "MM/DD/YYYY")</f>
        <v xml:space="preserve">  COLLECTED 01/00/1900</v>
      </c>
      <c r="C162" t="str">
        <f t="shared" si="5"/>
        <v>ASPECT</v>
      </c>
      <c r="D162" s="76" t="str">
        <f>IF(Master[[#This Row],[ASPECT -lookup picker]]="","",Master[[#This Row],[ASPECT -lookup picker]])</f>
        <v/>
      </c>
      <c r="E162" s="109"/>
      <c r="H162" t="str">
        <f>IF(Master[[#This Row],[ASPECT Original Value]]="","",Master[[#This Row],[ASPECT Original Value]])</f>
        <v/>
      </c>
    </row>
    <row r="163" spans="2:8" x14ac:dyDescent="0.25">
      <c r="B163" t="str">
        <f>Master[[#This Row],[Accession Prefix (NPGS)]]&amp;" "&amp;Master[[#This Row],[Accession Number -Assigned]]&amp;" COLLECTED "&amp;TEXT(Master[[#This Row],[Date Collected or Developed]], "MM/DD/YYYY")</f>
        <v xml:space="preserve">  COLLECTED 01/00/1900</v>
      </c>
      <c r="C163" t="str">
        <f t="shared" si="5"/>
        <v>ASPECT</v>
      </c>
      <c r="D163" s="76" t="str">
        <f>IF(Master[[#This Row],[ASPECT -lookup picker]]="","",Master[[#This Row],[ASPECT -lookup picker]])</f>
        <v/>
      </c>
      <c r="E163" s="109"/>
      <c r="H163" t="str">
        <f>IF(Master[[#This Row],[ASPECT Original Value]]="","",Master[[#This Row],[ASPECT Original Value]])</f>
        <v/>
      </c>
    </row>
    <row r="164" spans="2:8" x14ac:dyDescent="0.25">
      <c r="B164" t="str">
        <f>Master[[#This Row],[Accession Prefix (NPGS)]]&amp;" "&amp;Master[[#This Row],[Accession Number -Assigned]]&amp;" COLLECTED "&amp;TEXT(Master[[#This Row],[Date Collected or Developed]], "MM/DD/YYYY")</f>
        <v xml:space="preserve">  COLLECTED 01/00/1900</v>
      </c>
      <c r="C164" t="str">
        <f t="shared" ref="C164:C195" si="6">"ASPECT"</f>
        <v>ASPECT</v>
      </c>
      <c r="D164" s="76" t="str">
        <f>IF(Master[[#This Row],[ASPECT -lookup picker]]="","",Master[[#This Row],[ASPECT -lookup picker]])</f>
        <v/>
      </c>
      <c r="E164" s="109"/>
      <c r="H164" t="str">
        <f>IF(Master[[#This Row],[ASPECT Original Value]]="","",Master[[#This Row],[ASPECT Original Value]])</f>
        <v/>
      </c>
    </row>
    <row r="165" spans="2:8" x14ac:dyDescent="0.25">
      <c r="B165" t="str">
        <f>Master[[#This Row],[Accession Prefix (NPGS)]]&amp;" "&amp;Master[[#This Row],[Accession Number -Assigned]]&amp;" COLLECTED "&amp;TEXT(Master[[#This Row],[Date Collected or Developed]], "MM/DD/YYYY")</f>
        <v xml:space="preserve">  COLLECTED 01/00/1900</v>
      </c>
      <c r="C165" t="str">
        <f t="shared" si="6"/>
        <v>ASPECT</v>
      </c>
      <c r="D165" s="76" t="str">
        <f>IF(Master[[#This Row],[ASPECT -lookup picker]]="","",Master[[#This Row],[ASPECT -lookup picker]])</f>
        <v/>
      </c>
      <c r="E165" s="109"/>
      <c r="H165" t="str">
        <f>IF(Master[[#This Row],[ASPECT Original Value]]="","",Master[[#This Row],[ASPECT Original Value]])</f>
        <v/>
      </c>
    </row>
    <row r="166" spans="2:8" x14ac:dyDescent="0.25">
      <c r="B166" t="str">
        <f>Master[[#This Row],[Accession Prefix (NPGS)]]&amp;" "&amp;Master[[#This Row],[Accession Number -Assigned]]&amp;" COLLECTED "&amp;TEXT(Master[[#This Row],[Date Collected or Developed]], "MM/DD/YYYY")</f>
        <v xml:space="preserve">  COLLECTED 01/00/1900</v>
      </c>
      <c r="C166" t="str">
        <f t="shared" si="6"/>
        <v>ASPECT</v>
      </c>
      <c r="D166" s="76" t="str">
        <f>IF(Master[[#This Row],[ASPECT -lookup picker]]="","",Master[[#This Row],[ASPECT -lookup picker]])</f>
        <v/>
      </c>
      <c r="E166" s="109"/>
      <c r="H166" t="str">
        <f>IF(Master[[#This Row],[ASPECT Original Value]]="","",Master[[#This Row],[ASPECT Original Value]])</f>
        <v/>
      </c>
    </row>
    <row r="167" spans="2:8" x14ac:dyDescent="0.25">
      <c r="B167" t="str">
        <f>Master[[#This Row],[Accession Prefix (NPGS)]]&amp;" "&amp;Master[[#This Row],[Accession Number -Assigned]]&amp;" COLLECTED "&amp;TEXT(Master[[#This Row],[Date Collected or Developed]], "MM/DD/YYYY")</f>
        <v xml:space="preserve">  COLLECTED 01/00/1900</v>
      </c>
      <c r="C167" t="str">
        <f t="shared" si="6"/>
        <v>ASPECT</v>
      </c>
      <c r="D167" s="76" t="str">
        <f>IF(Master[[#This Row],[ASPECT -lookup picker]]="","",Master[[#This Row],[ASPECT -lookup picker]])</f>
        <v/>
      </c>
      <c r="E167" s="109"/>
      <c r="H167" t="str">
        <f>IF(Master[[#This Row],[ASPECT Original Value]]="","",Master[[#This Row],[ASPECT Original Value]])</f>
        <v/>
      </c>
    </row>
    <row r="168" spans="2:8" x14ac:dyDescent="0.25">
      <c r="B168" t="str">
        <f>Master[[#This Row],[Accession Prefix (NPGS)]]&amp;" "&amp;Master[[#This Row],[Accession Number -Assigned]]&amp;" COLLECTED "&amp;TEXT(Master[[#This Row],[Date Collected or Developed]], "MM/DD/YYYY")</f>
        <v xml:space="preserve">  COLLECTED 01/00/1900</v>
      </c>
      <c r="C168" t="str">
        <f t="shared" si="6"/>
        <v>ASPECT</v>
      </c>
      <c r="D168" s="76" t="str">
        <f>IF(Master[[#This Row],[ASPECT -lookup picker]]="","",Master[[#This Row],[ASPECT -lookup picker]])</f>
        <v/>
      </c>
      <c r="E168" s="109"/>
      <c r="H168" t="str">
        <f>IF(Master[[#This Row],[ASPECT Original Value]]="","",Master[[#This Row],[ASPECT Original Value]])</f>
        <v/>
      </c>
    </row>
    <row r="169" spans="2:8" x14ac:dyDescent="0.25">
      <c r="B169" t="str">
        <f>Master[[#This Row],[Accession Prefix (NPGS)]]&amp;" "&amp;Master[[#This Row],[Accession Number -Assigned]]&amp;" COLLECTED "&amp;TEXT(Master[[#This Row],[Date Collected or Developed]], "MM/DD/YYYY")</f>
        <v xml:space="preserve">  COLLECTED 01/00/1900</v>
      </c>
      <c r="C169" t="str">
        <f t="shared" si="6"/>
        <v>ASPECT</v>
      </c>
      <c r="D169" s="76" t="str">
        <f>IF(Master[[#This Row],[ASPECT -lookup picker]]="","",Master[[#This Row],[ASPECT -lookup picker]])</f>
        <v/>
      </c>
      <c r="E169" s="109"/>
      <c r="H169" t="str">
        <f>IF(Master[[#This Row],[ASPECT Original Value]]="","",Master[[#This Row],[ASPECT Original Value]])</f>
        <v/>
      </c>
    </row>
    <row r="170" spans="2:8" x14ac:dyDescent="0.25">
      <c r="B170" t="str">
        <f>Master[[#This Row],[Accession Prefix (NPGS)]]&amp;" "&amp;Master[[#This Row],[Accession Number -Assigned]]&amp;" COLLECTED "&amp;TEXT(Master[[#This Row],[Date Collected or Developed]], "MM/DD/YYYY")</f>
        <v xml:space="preserve">  COLLECTED 01/00/1900</v>
      </c>
      <c r="C170" t="str">
        <f t="shared" si="6"/>
        <v>ASPECT</v>
      </c>
      <c r="D170" s="76" t="str">
        <f>IF(Master[[#This Row],[ASPECT -lookup picker]]="","",Master[[#This Row],[ASPECT -lookup picker]])</f>
        <v/>
      </c>
      <c r="E170" s="109"/>
      <c r="H170" t="str">
        <f>IF(Master[[#This Row],[ASPECT Original Value]]="","",Master[[#This Row],[ASPECT Original Value]])</f>
        <v/>
      </c>
    </row>
    <row r="171" spans="2:8" x14ac:dyDescent="0.25">
      <c r="B171" t="str">
        <f>Master[[#This Row],[Accession Prefix (NPGS)]]&amp;" "&amp;Master[[#This Row],[Accession Number -Assigned]]&amp;" COLLECTED "&amp;TEXT(Master[[#This Row],[Date Collected or Developed]], "MM/DD/YYYY")</f>
        <v xml:space="preserve">  COLLECTED 01/00/1900</v>
      </c>
      <c r="C171" t="str">
        <f t="shared" si="6"/>
        <v>ASPECT</v>
      </c>
      <c r="D171" s="76" t="str">
        <f>IF(Master[[#This Row],[ASPECT -lookup picker]]="","",Master[[#This Row],[ASPECT -lookup picker]])</f>
        <v/>
      </c>
      <c r="E171" s="109"/>
      <c r="H171" t="str">
        <f>IF(Master[[#This Row],[ASPECT Original Value]]="","",Master[[#This Row],[ASPECT Original Value]])</f>
        <v/>
      </c>
    </row>
    <row r="172" spans="2:8" x14ac:dyDescent="0.25">
      <c r="B172" t="str">
        <f>Master[[#This Row],[Accession Prefix (NPGS)]]&amp;" "&amp;Master[[#This Row],[Accession Number -Assigned]]&amp;" COLLECTED "&amp;TEXT(Master[[#This Row],[Date Collected or Developed]], "MM/DD/YYYY")</f>
        <v xml:space="preserve">  COLLECTED 01/00/1900</v>
      </c>
      <c r="C172" t="str">
        <f t="shared" si="6"/>
        <v>ASPECT</v>
      </c>
      <c r="D172" s="76" t="str">
        <f>IF(Master[[#This Row],[ASPECT -lookup picker]]="","",Master[[#This Row],[ASPECT -lookup picker]])</f>
        <v/>
      </c>
      <c r="E172" s="109"/>
      <c r="H172" t="str">
        <f>IF(Master[[#This Row],[ASPECT Original Value]]="","",Master[[#This Row],[ASPECT Original Value]])</f>
        <v/>
      </c>
    </row>
    <row r="173" spans="2:8" x14ac:dyDescent="0.25">
      <c r="B173" t="str">
        <f>Master[[#This Row],[Accession Prefix (NPGS)]]&amp;" "&amp;Master[[#This Row],[Accession Number -Assigned]]&amp;" COLLECTED "&amp;TEXT(Master[[#This Row],[Date Collected or Developed]], "MM/DD/YYYY")</f>
        <v xml:space="preserve">  COLLECTED 01/00/1900</v>
      </c>
      <c r="C173" t="str">
        <f t="shared" si="6"/>
        <v>ASPECT</v>
      </c>
      <c r="D173" s="76" t="str">
        <f>IF(Master[[#This Row],[ASPECT -lookup picker]]="","",Master[[#This Row],[ASPECT -lookup picker]])</f>
        <v/>
      </c>
      <c r="E173" s="109"/>
      <c r="H173" t="str">
        <f>IF(Master[[#This Row],[ASPECT Original Value]]="","",Master[[#This Row],[ASPECT Original Value]])</f>
        <v/>
      </c>
    </row>
    <row r="174" spans="2:8" x14ac:dyDescent="0.25">
      <c r="B174" t="str">
        <f>Master[[#This Row],[Accession Prefix (NPGS)]]&amp;" "&amp;Master[[#This Row],[Accession Number -Assigned]]&amp;" COLLECTED "&amp;TEXT(Master[[#This Row],[Date Collected or Developed]], "MM/DD/YYYY")</f>
        <v xml:space="preserve">  COLLECTED 01/00/1900</v>
      </c>
      <c r="C174" t="str">
        <f t="shared" si="6"/>
        <v>ASPECT</v>
      </c>
      <c r="D174" s="76" t="str">
        <f>IF(Master[[#This Row],[ASPECT -lookup picker]]="","",Master[[#This Row],[ASPECT -lookup picker]])</f>
        <v/>
      </c>
      <c r="E174" s="109"/>
      <c r="H174" t="str">
        <f>IF(Master[[#This Row],[ASPECT Original Value]]="","",Master[[#This Row],[ASPECT Original Value]])</f>
        <v/>
      </c>
    </row>
    <row r="175" spans="2:8" x14ac:dyDescent="0.25">
      <c r="B175" t="str">
        <f>Master[[#This Row],[Accession Prefix (NPGS)]]&amp;" "&amp;Master[[#This Row],[Accession Number -Assigned]]&amp;" COLLECTED "&amp;TEXT(Master[[#This Row],[Date Collected or Developed]], "MM/DD/YYYY")</f>
        <v xml:space="preserve">  COLLECTED 01/00/1900</v>
      </c>
      <c r="C175" t="str">
        <f t="shared" si="6"/>
        <v>ASPECT</v>
      </c>
      <c r="D175" s="76" t="str">
        <f>IF(Master[[#This Row],[ASPECT -lookup picker]]="","",Master[[#This Row],[ASPECT -lookup picker]])</f>
        <v/>
      </c>
      <c r="E175" s="109"/>
      <c r="H175" t="str">
        <f>IF(Master[[#This Row],[ASPECT Original Value]]="","",Master[[#This Row],[ASPECT Original Value]])</f>
        <v/>
      </c>
    </row>
    <row r="176" spans="2:8" x14ac:dyDescent="0.25">
      <c r="B176" t="str">
        <f>Master[[#This Row],[Accession Prefix (NPGS)]]&amp;" "&amp;Master[[#This Row],[Accession Number -Assigned]]&amp;" COLLECTED "&amp;TEXT(Master[[#This Row],[Date Collected or Developed]], "MM/DD/YYYY")</f>
        <v xml:space="preserve">  COLLECTED 01/00/1900</v>
      </c>
      <c r="C176" t="str">
        <f t="shared" si="6"/>
        <v>ASPECT</v>
      </c>
      <c r="D176" s="76" t="str">
        <f>IF(Master[[#This Row],[ASPECT -lookup picker]]="","",Master[[#This Row],[ASPECT -lookup picker]])</f>
        <v/>
      </c>
      <c r="E176" s="109"/>
      <c r="H176" t="str">
        <f>IF(Master[[#This Row],[ASPECT Original Value]]="","",Master[[#This Row],[ASPECT Original Value]])</f>
        <v/>
      </c>
    </row>
    <row r="177" spans="2:8" x14ac:dyDescent="0.25">
      <c r="B177" t="str">
        <f>Master[[#This Row],[Accession Prefix (NPGS)]]&amp;" "&amp;Master[[#This Row],[Accession Number -Assigned]]&amp;" COLLECTED "&amp;TEXT(Master[[#This Row],[Date Collected or Developed]], "MM/DD/YYYY")</f>
        <v xml:space="preserve">  COLLECTED 01/00/1900</v>
      </c>
      <c r="C177" t="str">
        <f t="shared" si="6"/>
        <v>ASPECT</v>
      </c>
      <c r="D177" s="76" t="str">
        <f>IF(Master[[#This Row],[ASPECT -lookup picker]]="","",Master[[#This Row],[ASPECT -lookup picker]])</f>
        <v/>
      </c>
      <c r="E177" s="109"/>
      <c r="H177" t="str">
        <f>IF(Master[[#This Row],[ASPECT Original Value]]="","",Master[[#This Row],[ASPECT Original Value]])</f>
        <v/>
      </c>
    </row>
    <row r="178" spans="2:8" x14ac:dyDescent="0.25">
      <c r="B178" t="str">
        <f>Master[[#This Row],[Accession Prefix (NPGS)]]&amp;" "&amp;Master[[#This Row],[Accession Number -Assigned]]&amp;" COLLECTED "&amp;TEXT(Master[[#This Row],[Date Collected or Developed]], "MM/DD/YYYY")</f>
        <v xml:space="preserve">  COLLECTED 01/00/1900</v>
      </c>
      <c r="C178" t="str">
        <f t="shared" si="6"/>
        <v>ASPECT</v>
      </c>
      <c r="D178" s="76" t="str">
        <f>IF(Master[[#This Row],[ASPECT -lookup picker]]="","",Master[[#This Row],[ASPECT -lookup picker]])</f>
        <v/>
      </c>
      <c r="E178" s="109"/>
      <c r="H178" t="str">
        <f>IF(Master[[#This Row],[ASPECT Original Value]]="","",Master[[#This Row],[ASPECT Original Value]])</f>
        <v/>
      </c>
    </row>
    <row r="179" spans="2:8" x14ac:dyDescent="0.25">
      <c r="B179" t="str">
        <f>Master[[#This Row],[Accession Prefix (NPGS)]]&amp;" "&amp;Master[[#This Row],[Accession Number -Assigned]]&amp;" COLLECTED "&amp;TEXT(Master[[#This Row],[Date Collected or Developed]], "MM/DD/YYYY")</f>
        <v xml:space="preserve">  COLLECTED 01/00/1900</v>
      </c>
      <c r="C179" t="str">
        <f t="shared" si="6"/>
        <v>ASPECT</v>
      </c>
      <c r="D179" s="76" t="str">
        <f>IF(Master[[#This Row],[ASPECT -lookup picker]]="","",Master[[#This Row],[ASPECT -lookup picker]])</f>
        <v/>
      </c>
      <c r="E179" s="109"/>
      <c r="H179" t="str">
        <f>IF(Master[[#This Row],[ASPECT Original Value]]="","",Master[[#This Row],[ASPECT Original Value]])</f>
        <v/>
      </c>
    </row>
    <row r="180" spans="2:8" x14ac:dyDescent="0.25">
      <c r="B180" t="str">
        <f>Master[[#This Row],[Accession Prefix (NPGS)]]&amp;" "&amp;Master[[#This Row],[Accession Number -Assigned]]&amp;" COLLECTED "&amp;TEXT(Master[[#This Row],[Date Collected or Developed]], "MM/DD/YYYY")</f>
        <v xml:space="preserve">  COLLECTED 01/00/1900</v>
      </c>
      <c r="C180" t="str">
        <f t="shared" si="6"/>
        <v>ASPECT</v>
      </c>
      <c r="D180" s="76" t="str">
        <f>IF(Master[[#This Row],[ASPECT -lookup picker]]="","",Master[[#This Row],[ASPECT -lookup picker]])</f>
        <v/>
      </c>
      <c r="E180" s="109"/>
      <c r="H180" t="str">
        <f>IF(Master[[#This Row],[ASPECT Original Value]]="","",Master[[#This Row],[ASPECT Original Value]])</f>
        <v/>
      </c>
    </row>
    <row r="181" spans="2:8" x14ac:dyDescent="0.25">
      <c r="B181" t="str">
        <f>Master[[#This Row],[Accession Prefix (NPGS)]]&amp;" "&amp;Master[[#This Row],[Accession Number -Assigned]]&amp;" COLLECTED "&amp;TEXT(Master[[#This Row],[Date Collected or Developed]], "MM/DD/YYYY")</f>
        <v xml:space="preserve">  COLLECTED 01/00/1900</v>
      </c>
      <c r="C181" t="str">
        <f t="shared" si="6"/>
        <v>ASPECT</v>
      </c>
      <c r="D181" s="76" t="str">
        <f>IF(Master[[#This Row],[ASPECT -lookup picker]]="","",Master[[#This Row],[ASPECT -lookup picker]])</f>
        <v/>
      </c>
      <c r="E181" s="109"/>
      <c r="H181" t="str">
        <f>IF(Master[[#This Row],[ASPECT Original Value]]="","",Master[[#This Row],[ASPECT Original Value]])</f>
        <v/>
      </c>
    </row>
    <row r="182" spans="2:8" x14ac:dyDescent="0.25">
      <c r="B182" t="str">
        <f>Master[[#This Row],[Accession Prefix (NPGS)]]&amp;" "&amp;Master[[#This Row],[Accession Number -Assigned]]&amp;" COLLECTED "&amp;TEXT(Master[[#This Row],[Date Collected or Developed]], "MM/DD/YYYY")</f>
        <v xml:space="preserve">  COLLECTED 01/00/1900</v>
      </c>
      <c r="C182" t="str">
        <f t="shared" si="6"/>
        <v>ASPECT</v>
      </c>
      <c r="D182" s="76" t="str">
        <f>IF(Master[[#This Row],[ASPECT -lookup picker]]="","",Master[[#This Row],[ASPECT -lookup picker]])</f>
        <v/>
      </c>
      <c r="E182" s="109"/>
      <c r="H182" t="str">
        <f>IF(Master[[#This Row],[ASPECT Original Value]]="","",Master[[#This Row],[ASPECT Original Value]])</f>
        <v/>
      </c>
    </row>
    <row r="183" spans="2:8" x14ac:dyDescent="0.25">
      <c r="B183" t="str">
        <f>Master[[#This Row],[Accession Prefix (NPGS)]]&amp;" "&amp;Master[[#This Row],[Accession Number -Assigned]]&amp;" COLLECTED "&amp;TEXT(Master[[#This Row],[Date Collected or Developed]], "MM/DD/YYYY")</f>
        <v xml:space="preserve">  COLLECTED 01/00/1900</v>
      </c>
      <c r="C183" t="str">
        <f t="shared" si="6"/>
        <v>ASPECT</v>
      </c>
      <c r="D183" s="76" t="str">
        <f>IF(Master[[#This Row],[ASPECT -lookup picker]]="","",Master[[#This Row],[ASPECT -lookup picker]])</f>
        <v/>
      </c>
      <c r="E183" s="109"/>
      <c r="H183" t="str">
        <f>IF(Master[[#This Row],[ASPECT Original Value]]="","",Master[[#This Row],[ASPECT Original Value]])</f>
        <v/>
      </c>
    </row>
    <row r="184" spans="2:8" x14ac:dyDescent="0.25">
      <c r="B184" t="str">
        <f>Master[[#This Row],[Accession Prefix (NPGS)]]&amp;" "&amp;Master[[#This Row],[Accession Number -Assigned]]&amp;" COLLECTED "&amp;TEXT(Master[[#This Row],[Date Collected or Developed]], "MM/DD/YYYY")</f>
        <v xml:space="preserve">  COLLECTED 01/00/1900</v>
      </c>
      <c r="C184" t="str">
        <f t="shared" si="6"/>
        <v>ASPECT</v>
      </c>
      <c r="D184" s="76" t="str">
        <f>IF(Master[[#This Row],[ASPECT -lookup picker]]="","",Master[[#This Row],[ASPECT -lookup picker]])</f>
        <v/>
      </c>
      <c r="E184" s="109"/>
      <c r="H184" t="str">
        <f>IF(Master[[#This Row],[ASPECT Original Value]]="","",Master[[#This Row],[ASPECT Original Value]])</f>
        <v/>
      </c>
    </row>
    <row r="185" spans="2:8" x14ac:dyDescent="0.25">
      <c r="B185" t="str">
        <f>Master[[#This Row],[Accession Prefix (NPGS)]]&amp;" "&amp;Master[[#This Row],[Accession Number -Assigned]]&amp;" COLLECTED "&amp;TEXT(Master[[#This Row],[Date Collected or Developed]], "MM/DD/YYYY")</f>
        <v xml:space="preserve">  COLLECTED 01/00/1900</v>
      </c>
      <c r="C185" t="str">
        <f t="shared" si="6"/>
        <v>ASPECT</v>
      </c>
      <c r="D185" s="76" t="str">
        <f>IF(Master[[#This Row],[ASPECT -lookup picker]]="","",Master[[#This Row],[ASPECT -lookup picker]])</f>
        <v/>
      </c>
      <c r="E185" s="109"/>
      <c r="H185" t="str">
        <f>IF(Master[[#This Row],[ASPECT Original Value]]="","",Master[[#This Row],[ASPECT Original Value]])</f>
        <v/>
      </c>
    </row>
    <row r="186" spans="2:8" x14ac:dyDescent="0.25">
      <c r="B186" t="str">
        <f>Master[[#This Row],[Accession Prefix (NPGS)]]&amp;" "&amp;Master[[#This Row],[Accession Number -Assigned]]&amp;" COLLECTED "&amp;TEXT(Master[[#This Row],[Date Collected or Developed]], "MM/DD/YYYY")</f>
        <v xml:space="preserve">  COLLECTED 01/00/1900</v>
      </c>
      <c r="C186" t="str">
        <f t="shared" si="6"/>
        <v>ASPECT</v>
      </c>
      <c r="D186" s="76" t="str">
        <f>IF(Master[[#This Row],[ASPECT -lookup picker]]="","",Master[[#This Row],[ASPECT -lookup picker]])</f>
        <v/>
      </c>
      <c r="E186" s="109"/>
      <c r="H186" t="str">
        <f>IF(Master[[#This Row],[ASPECT Original Value]]="","",Master[[#This Row],[ASPECT Original Value]])</f>
        <v/>
      </c>
    </row>
    <row r="187" spans="2:8" x14ac:dyDescent="0.25">
      <c r="B187" t="str">
        <f>Master[[#This Row],[Accession Prefix (NPGS)]]&amp;" "&amp;Master[[#This Row],[Accession Number -Assigned]]&amp;" COLLECTED "&amp;TEXT(Master[[#This Row],[Date Collected or Developed]], "MM/DD/YYYY")</f>
        <v xml:space="preserve">  COLLECTED 01/00/1900</v>
      </c>
      <c r="C187" t="str">
        <f t="shared" si="6"/>
        <v>ASPECT</v>
      </c>
      <c r="D187" s="76" t="str">
        <f>IF(Master[[#This Row],[ASPECT -lookup picker]]="","",Master[[#This Row],[ASPECT -lookup picker]])</f>
        <v/>
      </c>
      <c r="E187" s="109"/>
      <c r="H187" t="str">
        <f>IF(Master[[#This Row],[ASPECT Original Value]]="","",Master[[#This Row],[ASPECT Original Value]])</f>
        <v/>
      </c>
    </row>
    <row r="188" spans="2:8" x14ac:dyDescent="0.25">
      <c r="B188" t="str">
        <f>Master[[#This Row],[Accession Prefix (NPGS)]]&amp;" "&amp;Master[[#This Row],[Accession Number -Assigned]]&amp;" COLLECTED "&amp;TEXT(Master[[#This Row],[Date Collected or Developed]], "MM/DD/YYYY")</f>
        <v xml:space="preserve">  COLLECTED 01/00/1900</v>
      </c>
      <c r="C188" t="str">
        <f t="shared" si="6"/>
        <v>ASPECT</v>
      </c>
      <c r="D188" s="76" t="str">
        <f>IF(Master[[#This Row],[ASPECT -lookup picker]]="","",Master[[#This Row],[ASPECT -lookup picker]])</f>
        <v/>
      </c>
      <c r="E188" s="109"/>
      <c r="H188" t="str">
        <f>IF(Master[[#This Row],[ASPECT Original Value]]="","",Master[[#This Row],[ASPECT Original Value]])</f>
        <v/>
      </c>
    </row>
    <row r="189" spans="2:8" x14ac:dyDescent="0.25">
      <c r="B189" t="str">
        <f>Master[[#This Row],[Accession Prefix (NPGS)]]&amp;" "&amp;Master[[#This Row],[Accession Number -Assigned]]&amp;" COLLECTED "&amp;TEXT(Master[[#This Row],[Date Collected or Developed]], "MM/DD/YYYY")</f>
        <v xml:space="preserve">  COLLECTED 01/00/1900</v>
      </c>
      <c r="C189" t="str">
        <f t="shared" si="6"/>
        <v>ASPECT</v>
      </c>
      <c r="D189" s="76" t="str">
        <f>IF(Master[[#This Row],[ASPECT -lookup picker]]="","",Master[[#This Row],[ASPECT -lookup picker]])</f>
        <v/>
      </c>
      <c r="E189" s="109"/>
      <c r="H189" t="str">
        <f>IF(Master[[#This Row],[ASPECT Original Value]]="","",Master[[#This Row],[ASPECT Original Value]])</f>
        <v/>
      </c>
    </row>
    <row r="190" spans="2:8" x14ac:dyDescent="0.25">
      <c r="B190" t="str">
        <f>Master[[#This Row],[Accession Prefix (NPGS)]]&amp;" "&amp;Master[[#This Row],[Accession Number -Assigned]]&amp;" COLLECTED "&amp;TEXT(Master[[#This Row],[Date Collected or Developed]], "MM/DD/YYYY")</f>
        <v xml:space="preserve">  COLLECTED 01/00/1900</v>
      </c>
      <c r="C190" t="str">
        <f t="shared" si="6"/>
        <v>ASPECT</v>
      </c>
      <c r="D190" s="76" t="str">
        <f>IF(Master[[#This Row],[ASPECT -lookup picker]]="","",Master[[#This Row],[ASPECT -lookup picker]])</f>
        <v/>
      </c>
      <c r="E190" s="109"/>
      <c r="H190" t="str">
        <f>IF(Master[[#This Row],[ASPECT Original Value]]="","",Master[[#This Row],[ASPECT Original Value]])</f>
        <v/>
      </c>
    </row>
    <row r="191" spans="2:8" x14ac:dyDescent="0.25">
      <c r="B191" t="str">
        <f>Master[[#This Row],[Accession Prefix (NPGS)]]&amp;" "&amp;Master[[#This Row],[Accession Number -Assigned]]&amp;" COLLECTED "&amp;TEXT(Master[[#This Row],[Date Collected or Developed]], "MM/DD/YYYY")</f>
        <v xml:space="preserve">  COLLECTED 01/00/1900</v>
      </c>
      <c r="C191" t="str">
        <f t="shared" si="6"/>
        <v>ASPECT</v>
      </c>
      <c r="D191" s="76" t="str">
        <f>IF(Master[[#This Row],[ASPECT -lookup picker]]="","",Master[[#This Row],[ASPECT -lookup picker]])</f>
        <v/>
      </c>
      <c r="E191" s="109"/>
      <c r="H191" t="str">
        <f>IF(Master[[#This Row],[ASPECT Original Value]]="","",Master[[#This Row],[ASPECT Original Value]])</f>
        <v/>
      </c>
    </row>
    <row r="192" spans="2:8" x14ac:dyDescent="0.25">
      <c r="B192" t="str">
        <f>Master[[#This Row],[Accession Prefix (NPGS)]]&amp;" "&amp;Master[[#This Row],[Accession Number -Assigned]]&amp;" COLLECTED "&amp;TEXT(Master[[#This Row],[Date Collected or Developed]], "MM/DD/YYYY")</f>
        <v xml:space="preserve">  COLLECTED 01/00/1900</v>
      </c>
      <c r="C192" t="str">
        <f t="shared" si="6"/>
        <v>ASPECT</v>
      </c>
      <c r="D192" s="76" t="str">
        <f>IF(Master[[#This Row],[ASPECT -lookup picker]]="","",Master[[#This Row],[ASPECT -lookup picker]])</f>
        <v/>
      </c>
      <c r="E192" s="109"/>
      <c r="H192" t="str">
        <f>IF(Master[[#This Row],[ASPECT Original Value]]="","",Master[[#This Row],[ASPECT Original Value]])</f>
        <v/>
      </c>
    </row>
    <row r="193" spans="2:8" x14ac:dyDescent="0.25">
      <c r="B193" t="str">
        <f>Master[[#This Row],[Accession Prefix (NPGS)]]&amp;" "&amp;Master[[#This Row],[Accession Number -Assigned]]&amp;" COLLECTED "&amp;TEXT(Master[[#This Row],[Date Collected or Developed]], "MM/DD/YYYY")</f>
        <v xml:space="preserve">  COLLECTED 01/00/1900</v>
      </c>
      <c r="C193" t="str">
        <f t="shared" si="6"/>
        <v>ASPECT</v>
      </c>
      <c r="D193" s="76" t="str">
        <f>IF(Master[[#This Row],[ASPECT -lookup picker]]="","",Master[[#This Row],[ASPECT -lookup picker]])</f>
        <v/>
      </c>
      <c r="E193" s="109"/>
      <c r="H193" t="str">
        <f>IF(Master[[#This Row],[ASPECT Original Value]]="","",Master[[#This Row],[ASPECT Original Value]])</f>
        <v/>
      </c>
    </row>
    <row r="194" spans="2:8" x14ac:dyDescent="0.25">
      <c r="B194" t="str">
        <f>Master[[#This Row],[Accession Prefix (NPGS)]]&amp;" "&amp;Master[[#This Row],[Accession Number -Assigned]]&amp;" COLLECTED "&amp;TEXT(Master[[#This Row],[Date Collected or Developed]], "MM/DD/YYYY")</f>
        <v xml:space="preserve">  COLLECTED 01/00/1900</v>
      </c>
      <c r="C194" t="str">
        <f t="shared" si="6"/>
        <v>ASPECT</v>
      </c>
      <c r="D194" s="76" t="str">
        <f>IF(Master[[#This Row],[ASPECT -lookup picker]]="","",Master[[#This Row],[ASPECT -lookup picker]])</f>
        <v/>
      </c>
      <c r="E194" s="109"/>
      <c r="H194" t="str">
        <f>IF(Master[[#This Row],[ASPECT Original Value]]="","",Master[[#This Row],[ASPECT Original Value]])</f>
        <v/>
      </c>
    </row>
    <row r="195" spans="2:8" x14ac:dyDescent="0.25">
      <c r="B195" t="str">
        <f>Master[[#This Row],[Accession Prefix (NPGS)]]&amp;" "&amp;Master[[#This Row],[Accession Number -Assigned]]&amp;" COLLECTED "&amp;TEXT(Master[[#This Row],[Date Collected or Developed]], "MM/DD/YYYY")</f>
        <v xml:space="preserve">  COLLECTED 01/00/1900</v>
      </c>
      <c r="C195" t="str">
        <f t="shared" si="6"/>
        <v>ASPECT</v>
      </c>
      <c r="D195" s="76" t="str">
        <f>IF(Master[[#This Row],[ASPECT -lookup picker]]="","",Master[[#This Row],[ASPECT -lookup picker]])</f>
        <v/>
      </c>
      <c r="E195" s="109"/>
      <c r="H195" t="str">
        <f>IF(Master[[#This Row],[ASPECT Original Value]]="","",Master[[#This Row],[ASPECT Original Value]])</f>
        <v/>
      </c>
    </row>
    <row r="196" spans="2:8" x14ac:dyDescent="0.25">
      <c r="B196" t="str">
        <f>Master[[#This Row],[Accession Prefix (NPGS)]]&amp;" "&amp;Master[[#This Row],[Accession Number -Assigned]]&amp;" COLLECTED "&amp;TEXT(Master[[#This Row],[Date Collected or Developed]], "MM/DD/YYYY")</f>
        <v xml:space="preserve">  COLLECTED 01/00/1900</v>
      </c>
      <c r="C196" t="str">
        <f t="shared" ref="C196:C201" si="7">"ASPECT"</f>
        <v>ASPECT</v>
      </c>
      <c r="D196" s="76" t="str">
        <f>IF(Master[[#This Row],[ASPECT -lookup picker]]="","",Master[[#This Row],[ASPECT -lookup picker]])</f>
        <v/>
      </c>
      <c r="E196" s="109"/>
      <c r="H196" t="str">
        <f>IF(Master[[#This Row],[ASPECT Original Value]]="","",Master[[#This Row],[ASPECT Original Value]])</f>
        <v/>
      </c>
    </row>
    <row r="197" spans="2:8" x14ac:dyDescent="0.25">
      <c r="B197" t="str">
        <f>Master[[#This Row],[Accession Prefix (NPGS)]]&amp;" "&amp;Master[[#This Row],[Accession Number -Assigned]]&amp;" COLLECTED "&amp;TEXT(Master[[#This Row],[Date Collected or Developed]], "MM/DD/YYYY")</f>
        <v xml:space="preserve">  COLLECTED 01/00/1900</v>
      </c>
      <c r="C197" t="str">
        <f t="shared" si="7"/>
        <v>ASPECT</v>
      </c>
      <c r="D197" s="76" t="str">
        <f>IF(Master[[#This Row],[ASPECT -lookup picker]]="","",Master[[#This Row],[ASPECT -lookup picker]])</f>
        <v/>
      </c>
      <c r="E197" s="109"/>
      <c r="H197" t="str">
        <f>IF(Master[[#This Row],[ASPECT Original Value]]="","",Master[[#This Row],[ASPECT Original Value]])</f>
        <v/>
      </c>
    </row>
    <row r="198" spans="2:8" x14ac:dyDescent="0.25">
      <c r="B198" t="str">
        <f>Master[[#This Row],[Accession Prefix (NPGS)]]&amp;" "&amp;Master[[#This Row],[Accession Number -Assigned]]&amp;" COLLECTED "&amp;TEXT(Master[[#This Row],[Date Collected or Developed]], "MM/DD/YYYY")</f>
        <v xml:space="preserve">  COLLECTED 01/00/1900</v>
      </c>
      <c r="C198" t="str">
        <f t="shared" si="7"/>
        <v>ASPECT</v>
      </c>
      <c r="D198" s="76" t="str">
        <f>IF(Master[[#This Row],[ASPECT -lookup picker]]="","",Master[[#This Row],[ASPECT -lookup picker]])</f>
        <v/>
      </c>
      <c r="E198" s="109"/>
      <c r="H198" t="str">
        <f>IF(Master[[#This Row],[ASPECT Original Value]]="","",Master[[#This Row],[ASPECT Original Value]])</f>
        <v/>
      </c>
    </row>
    <row r="199" spans="2:8" x14ac:dyDescent="0.25">
      <c r="B199" t="str">
        <f>Master[[#This Row],[Accession Prefix (NPGS)]]&amp;" "&amp;Master[[#This Row],[Accession Number -Assigned]]&amp;" COLLECTED "&amp;TEXT(Master[[#This Row],[Date Collected or Developed]], "MM/DD/YYYY")</f>
        <v xml:space="preserve">  COLLECTED 01/00/1900</v>
      </c>
      <c r="C199" t="str">
        <f t="shared" si="7"/>
        <v>ASPECT</v>
      </c>
      <c r="D199" s="76" t="str">
        <f>IF(Master[[#This Row],[ASPECT -lookup picker]]="","",Master[[#This Row],[ASPECT -lookup picker]])</f>
        <v/>
      </c>
      <c r="E199" s="109"/>
      <c r="H199" t="str">
        <f>IF(Master[[#This Row],[ASPECT Original Value]]="","",Master[[#This Row],[ASPECT Original Value]])</f>
        <v/>
      </c>
    </row>
    <row r="200" spans="2:8" x14ac:dyDescent="0.25">
      <c r="B200" t="str">
        <f>Master[[#This Row],[Accession Prefix (NPGS)]]&amp;" "&amp;Master[[#This Row],[Accession Number -Assigned]]&amp;" COLLECTED "&amp;TEXT(Master[[#This Row],[Date Collected or Developed]], "MM/DD/YYYY")</f>
        <v xml:space="preserve">  COLLECTED 01/00/1900</v>
      </c>
      <c r="C200" t="str">
        <f t="shared" si="7"/>
        <v>ASPECT</v>
      </c>
      <c r="D200" s="76" t="str">
        <f>IF(Master[[#This Row],[ASPECT -lookup picker]]="","",Master[[#This Row],[ASPECT -lookup picker]])</f>
        <v/>
      </c>
      <c r="E200" s="109"/>
      <c r="H200" t="str">
        <f>IF(Master[[#This Row],[ASPECT Original Value]]="","",Master[[#This Row],[ASPECT Original Value]])</f>
        <v/>
      </c>
    </row>
    <row r="201" spans="2:8" x14ac:dyDescent="0.25">
      <c r="B201" t="str">
        <f>Master[[#This Row],[Accession Prefix (NPGS)]]&amp;" "&amp;Master[[#This Row],[Accession Number -Assigned]]&amp;" COLLECTED "&amp;TEXT(Master[[#This Row],[Date Collected or Developed]], "MM/DD/YYYY")</f>
        <v xml:space="preserve">  COLLECTED 01/00/1900</v>
      </c>
      <c r="C201" t="str">
        <f t="shared" si="7"/>
        <v>ASPECT</v>
      </c>
      <c r="D201" s="76" t="str">
        <f>IF(Master[[#This Row],[ASPECT -lookup picker]]="","",Master[[#This Row],[ASPECT -lookup picker]])</f>
        <v/>
      </c>
      <c r="E201" s="109"/>
      <c r="H201" t="str">
        <f>IF(Master[[#This Row],[ASPECT Original Value]]="","",Master[[#This Row],[ASPECT Original Value]])</f>
        <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4">
    <tabColor theme="4" tint="0.59999389629810485"/>
  </sheetPr>
  <dimension ref="A1:O201"/>
  <sheetViews>
    <sheetView workbookViewId="0">
      <selection activeCell="A2" sqref="A2"/>
    </sheetView>
  </sheetViews>
  <sheetFormatPr defaultRowHeight="15" x14ac:dyDescent="0.25"/>
  <cols>
    <col min="1" max="1" width="12.5703125" customWidth="1"/>
    <col min="2" max="2" width="32.28515625" customWidth="1"/>
    <col min="3" max="3" width="12.7109375" customWidth="1"/>
    <col min="4" max="4" width="16.7109375" bestFit="1" customWidth="1"/>
    <col min="5" max="5" width="12.28515625" bestFit="1" customWidth="1"/>
    <col min="6" max="6" width="16.28515625" customWidth="1"/>
    <col min="7" max="7" width="14.28515625" bestFit="1" customWidth="1"/>
    <col min="8" max="8" width="15.7109375" customWidth="1"/>
    <col min="9" max="9" width="13.7109375" bestFit="1" customWidth="1"/>
    <col min="10" max="10" width="5.42578125" bestFit="1" customWidth="1"/>
  </cols>
  <sheetData>
    <row r="1" spans="1:15" s="116" customFormat="1" ht="60" x14ac:dyDescent="0.25">
      <c r="A1" s="116" t="s">
        <v>80</v>
      </c>
      <c r="B1" s="118" t="s">
        <v>74</v>
      </c>
      <c r="C1" s="118" t="s">
        <v>81</v>
      </c>
      <c r="D1" s="116" t="s">
        <v>82</v>
      </c>
      <c r="E1" s="116" t="s">
        <v>83</v>
      </c>
      <c r="F1" s="116" t="s">
        <v>84</v>
      </c>
      <c r="G1" s="116" t="s">
        <v>85</v>
      </c>
      <c r="H1" s="116" t="s">
        <v>86</v>
      </c>
      <c r="I1" s="116" t="s">
        <v>9</v>
      </c>
    </row>
    <row r="2" spans="1:15" ht="15.75" x14ac:dyDescent="0.25">
      <c r="A2" s="1"/>
      <c r="B2" t="str">
        <f>Master[[#This Row],[Accession Prefix (NPGS)]]&amp;" "&amp;Master[[#This Row],[Accession Number -Assigned]]&amp;" COLLECTED "&amp;TEXT(Master[[#This Row],[Date Collected or Developed]], "MM/DD/YYYY")</f>
        <v>W6 57036 COLLECTED 07/09/2018</v>
      </c>
      <c r="C2" t="str">
        <f>"SLOPE"</f>
        <v>SLOPE</v>
      </c>
      <c r="D2" s="9"/>
      <c r="F2" s="17" t="str">
        <f>IF(Master[[#This Row],[SLOPE]]="","",Master[[#This Row],[SLOPE]])</f>
        <v/>
      </c>
      <c r="G2" s="17" t="str">
        <f>IF(Master[[#This Row],[SLOPE]]="","",Master[[#This Row],[SLOPE]])</f>
        <v/>
      </c>
      <c r="H2" s="17" t="str">
        <f>IF(Master[[#This Row],[SLOPE Original Value]]="","",Master[[#This Row],[SLOPE Original Value]])</f>
        <v/>
      </c>
      <c r="K2" s="3"/>
      <c r="O2" s="3"/>
    </row>
    <row r="3" spans="1:15" x14ac:dyDescent="0.25">
      <c r="B3" t="str">
        <f>Master[[#This Row],[Accession Prefix (NPGS)]]&amp;" "&amp;Master[[#This Row],[Accession Number -Assigned]]&amp;" COLLECTED "&amp;TEXT(Master[[#This Row],[Date Collected or Developed]], "MM/DD/YYYY")</f>
        <v>W6  COLLECTED COLL_DT</v>
      </c>
      <c r="C3" t="str">
        <f t="shared" ref="C3:C21" si="0">"SLOPE"</f>
        <v>SLOPE</v>
      </c>
      <c r="D3" s="9"/>
      <c r="F3" s="17" t="str">
        <f>IF(Master[[#This Row],[SLOPE]]="","",Master[[#This Row],[SLOPE]])</f>
        <v>SLOPE</v>
      </c>
      <c r="G3" s="17" t="str">
        <f>IF(Master[[#This Row],[SLOPE]]="","",Master[[#This Row],[SLOPE]])</f>
        <v>SLOPE</v>
      </c>
      <c r="H3" s="17" t="str">
        <f>IF(Master[[#This Row],[SLOPE Original Value]]="","",Master[[#This Row],[SLOPE Original Value]])</f>
        <v>SLOPE</v>
      </c>
      <c r="K3" s="3"/>
      <c r="O3" s="3"/>
    </row>
    <row r="4" spans="1:15" x14ac:dyDescent="0.25">
      <c r="B4" t="str">
        <f>Master[[#This Row],[Accession Prefix (NPGS)]]&amp;" "&amp;Master[[#This Row],[Accession Number -Assigned]]&amp;" COLLECTED "&amp;TEXT(Master[[#This Row],[Date Collected or Developed]], "MM/DD/YYYY")</f>
        <v>W6 59590 COLLECTED 07/01/2020</v>
      </c>
      <c r="C4" t="str">
        <f t="shared" si="0"/>
        <v>SLOPE</v>
      </c>
      <c r="D4" s="9"/>
      <c r="F4" s="17">
        <f>IF(Master[[#This Row],[SLOPE]]="","",Master[[#This Row],[SLOPE]])</f>
        <v>5</v>
      </c>
      <c r="G4" s="17">
        <f>IF(Master[[#This Row],[SLOPE]]="","",Master[[#This Row],[SLOPE]])</f>
        <v>5</v>
      </c>
      <c r="H4" s="17">
        <f>IF(Master[[#This Row],[SLOPE Original Value]]="","",Master[[#This Row],[SLOPE Original Value]])</f>
        <v>5</v>
      </c>
      <c r="K4" s="3"/>
      <c r="O4" s="3"/>
    </row>
    <row r="5" spans="1:15" x14ac:dyDescent="0.25">
      <c r="B5" t="str">
        <f>Master[[#This Row],[Accession Prefix (NPGS)]]&amp;" "&amp;Master[[#This Row],[Accession Number -Assigned]]&amp;" COLLECTED "&amp;TEXT(Master[[#This Row],[Date Collected or Developed]], "MM/DD/YYYY")</f>
        <v>W6 59591 COLLECTED 07/14/2020</v>
      </c>
      <c r="C5" t="str">
        <f t="shared" si="0"/>
        <v>SLOPE</v>
      </c>
      <c r="D5" s="9"/>
      <c r="F5" s="17">
        <f>IF(Master[[#This Row],[SLOPE]]="","",Master[[#This Row],[SLOPE]])</f>
        <v>45</v>
      </c>
      <c r="G5" s="17">
        <f>IF(Master[[#This Row],[SLOPE]]="","",Master[[#This Row],[SLOPE]])</f>
        <v>45</v>
      </c>
      <c r="H5" s="17">
        <f>IF(Master[[#This Row],[SLOPE Original Value]]="","",Master[[#This Row],[SLOPE Original Value]])</f>
        <v>45</v>
      </c>
      <c r="K5" s="3"/>
      <c r="O5" s="3"/>
    </row>
    <row r="6" spans="1:15" x14ac:dyDescent="0.25">
      <c r="B6" t="str">
        <f>Master[[#This Row],[Accession Prefix (NPGS)]]&amp;" "&amp;Master[[#This Row],[Accession Number -Assigned]]&amp;" COLLECTED "&amp;TEXT(Master[[#This Row],[Date Collected or Developed]], "MM/DD/YYYY")</f>
        <v>W6 59592 COLLECTED 07/29/2020</v>
      </c>
      <c r="C6" t="str">
        <f t="shared" si="0"/>
        <v>SLOPE</v>
      </c>
      <c r="D6" s="9"/>
      <c r="F6" s="17">
        <f>IF(Master[[#This Row],[SLOPE]]="","",Master[[#This Row],[SLOPE]])</f>
        <v>12</v>
      </c>
      <c r="G6" s="17">
        <f>IF(Master[[#This Row],[SLOPE]]="","",Master[[#This Row],[SLOPE]])</f>
        <v>12</v>
      </c>
      <c r="H6" s="17">
        <f>IF(Master[[#This Row],[SLOPE Original Value]]="","",Master[[#This Row],[SLOPE Original Value]])</f>
        <v>12</v>
      </c>
      <c r="K6" s="3"/>
      <c r="O6" s="3"/>
    </row>
    <row r="7" spans="1:15" x14ac:dyDescent="0.25">
      <c r="B7" t="str">
        <f>Master[[#This Row],[Accession Prefix (NPGS)]]&amp;" "&amp;Master[[#This Row],[Accession Number -Assigned]]&amp;" COLLECTED "&amp;TEXT(Master[[#This Row],[Date Collected or Developed]], "MM/DD/YYYY")</f>
        <v>W6 59593 COLLECTED 08/04/2020</v>
      </c>
      <c r="C7" t="str">
        <f t="shared" si="0"/>
        <v>SLOPE</v>
      </c>
      <c r="D7" s="9"/>
      <c r="F7" s="17">
        <f>IF(Master[[#This Row],[SLOPE]]="","",Master[[#This Row],[SLOPE]])</f>
        <v>12</v>
      </c>
      <c r="G7" s="17">
        <f>IF(Master[[#This Row],[SLOPE]]="","",Master[[#This Row],[SLOPE]])</f>
        <v>12</v>
      </c>
      <c r="H7" s="17">
        <f>IF(Master[[#This Row],[SLOPE Original Value]]="","",Master[[#This Row],[SLOPE Original Value]])</f>
        <v>12</v>
      </c>
      <c r="K7" s="3"/>
      <c r="O7" s="3"/>
    </row>
    <row r="8" spans="1:15" x14ac:dyDescent="0.25">
      <c r="B8" t="str">
        <f>Master[[#This Row],[Accession Prefix (NPGS)]]&amp;" "&amp;Master[[#This Row],[Accession Number -Assigned]]&amp;" COLLECTED "&amp;TEXT(Master[[#This Row],[Date Collected or Developed]], "MM/DD/YYYY")</f>
        <v>W6 59594 COLLECTED 08/10/2020</v>
      </c>
      <c r="C8" t="str">
        <f t="shared" si="0"/>
        <v>SLOPE</v>
      </c>
      <c r="D8" s="9"/>
      <c r="F8" s="17">
        <f>IF(Master[[#This Row],[SLOPE]]="","",Master[[#This Row],[SLOPE]])</f>
        <v>0</v>
      </c>
      <c r="G8" s="17">
        <f>IF(Master[[#This Row],[SLOPE]]="","",Master[[#This Row],[SLOPE]])</f>
        <v>0</v>
      </c>
      <c r="H8" s="17">
        <f>IF(Master[[#This Row],[SLOPE Original Value]]="","",Master[[#This Row],[SLOPE Original Value]])</f>
        <v>0</v>
      </c>
      <c r="K8" s="3"/>
      <c r="O8" s="3"/>
    </row>
    <row r="9" spans="1:15" x14ac:dyDescent="0.25">
      <c r="B9" t="str">
        <f>Master[[#This Row],[Accession Prefix (NPGS)]]&amp;" "&amp;Master[[#This Row],[Accession Number -Assigned]]&amp;" COLLECTED "&amp;TEXT(Master[[#This Row],[Date Collected or Developed]], "MM/DD/YYYY")</f>
        <v>W6 59595 COLLECTED 08/12/2020</v>
      </c>
      <c r="C9" t="str">
        <f t="shared" si="0"/>
        <v>SLOPE</v>
      </c>
      <c r="D9" s="9"/>
      <c r="F9" s="17">
        <f>IF(Master[[#This Row],[SLOPE]]="","",Master[[#This Row],[SLOPE]])</f>
        <v>40</v>
      </c>
      <c r="G9" s="17">
        <f>IF(Master[[#This Row],[SLOPE]]="","",Master[[#This Row],[SLOPE]])</f>
        <v>40</v>
      </c>
      <c r="H9" s="17">
        <f>IF(Master[[#This Row],[SLOPE Original Value]]="","",Master[[#This Row],[SLOPE Original Value]])</f>
        <v>40</v>
      </c>
    </row>
    <row r="10" spans="1:15" x14ac:dyDescent="0.25">
      <c r="B10" t="str">
        <f>Master[[#This Row],[Accession Prefix (NPGS)]]&amp;" "&amp;Master[[#This Row],[Accession Number -Assigned]]&amp;" COLLECTED "&amp;TEXT(Master[[#This Row],[Date Collected or Developed]], "MM/DD/YYYY")</f>
        <v>W6 59596 COLLECTED 08/13/2020</v>
      </c>
      <c r="C10" t="str">
        <f t="shared" si="0"/>
        <v>SLOPE</v>
      </c>
      <c r="D10" s="9"/>
      <c r="F10" s="17">
        <f>IF(Master[[#This Row],[SLOPE]]="","",Master[[#This Row],[SLOPE]])</f>
        <v>12</v>
      </c>
      <c r="G10" s="17">
        <f>IF(Master[[#This Row],[SLOPE]]="","",Master[[#This Row],[SLOPE]])</f>
        <v>12</v>
      </c>
      <c r="H10" s="17">
        <f>IF(Master[[#This Row],[SLOPE Original Value]]="","",Master[[#This Row],[SLOPE Original Value]])</f>
        <v>12</v>
      </c>
    </row>
    <row r="11" spans="1:15" x14ac:dyDescent="0.25">
      <c r="B11" t="str">
        <f>Master[[#This Row],[Accession Prefix (NPGS)]]&amp;" "&amp;Master[[#This Row],[Accession Number -Assigned]]&amp;" COLLECTED "&amp;TEXT(Master[[#This Row],[Date Collected or Developed]], "MM/DD/YYYY")</f>
        <v>W6 59597 COLLECTED 08/18/2020</v>
      </c>
      <c r="C11" t="str">
        <f t="shared" si="0"/>
        <v>SLOPE</v>
      </c>
      <c r="D11" s="9"/>
      <c r="F11" s="17">
        <f>IF(Master[[#This Row],[SLOPE]]="","",Master[[#This Row],[SLOPE]])</f>
        <v>15</v>
      </c>
      <c r="G11" s="17">
        <f>IF(Master[[#This Row],[SLOPE]]="","",Master[[#This Row],[SLOPE]])</f>
        <v>15</v>
      </c>
      <c r="H11" s="17">
        <f>IF(Master[[#This Row],[SLOPE Original Value]]="","",Master[[#This Row],[SLOPE Original Value]])</f>
        <v>15</v>
      </c>
    </row>
    <row r="12" spans="1:15" x14ac:dyDescent="0.25">
      <c r="B12" t="str">
        <f>Master[[#This Row],[Accession Prefix (NPGS)]]&amp;" "&amp;Master[[#This Row],[Accession Number -Assigned]]&amp;" COLLECTED "&amp;TEXT(Master[[#This Row],[Date Collected or Developed]], "MM/DD/YYYY")</f>
        <v>W6 59598 COLLECTED 08/18/2020</v>
      </c>
      <c r="C12" t="str">
        <f t="shared" si="0"/>
        <v>SLOPE</v>
      </c>
      <c r="D12" s="9"/>
      <c r="F12" s="17">
        <f>IF(Master[[#This Row],[SLOPE]]="","",Master[[#This Row],[SLOPE]])</f>
        <v>0</v>
      </c>
      <c r="G12" s="17">
        <f>IF(Master[[#This Row],[SLOPE]]="","",Master[[#This Row],[SLOPE]])</f>
        <v>0</v>
      </c>
      <c r="H12" s="17">
        <f>IF(Master[[#This Row],[SLOPE Original Value]]="","",Master[[#This Row],[SLOPE Original Value]])</f>
        <v>0</v>
      </c>
    </row>
    <row r="13" spans="1:15" x14ac:dyDescent="0.25">
      <c r="B13" t="str">
        <f>Master[[#This Row],[Accession Prefix (NPGS)]]&amp;" "&amp;Master[[#This Row],[Accession Number -Assigned]]&amp;" COLLECTED "&amp;TEXT(Master[[#This Row],[Date Collected or Developed]], "MM/DD/YYYY")</f>
        <v>W6 59599 COLLECTED 08/19/2020</v>
      </c>
      <c r="C13" t="str">
        <f t="shared" si="0"/>
        <v>SLOPE</v>
      </c>
      <c r="D13" s="9"/>
      <c r="F13" s="17">
        <f>IF(Master[[#This Row],[SLOPE]]="","",Master[[#This Row],[SLOPE]])</f>
        <v>40</v>
      </c>
      <c r="G13" s="17">
        <f>IF(Master[[#This Row],[SLOPE]]="","",Master[[#This Row],[SLOPE]])</f>
        <v>40</v>
      </c>
      <c r="H13" s="17">
        <f>IF(Master[[#This Row],[SLOPE Original Value]]="","",Master[[#This Row],[SLOPE Original Value]])</f>
        <v>40</v>
      </c>
    </row>
    <row r="14" spans="1:15" x14ac:dyDescent="0.25">
      <c r="B14" t="str">
        <f>Master[[#This Row],[Accession Prefix (NPGS)]]&amp;" "&amp;Master[[#This Row],[Accession Number -Assigned]]&amp;" COLLECTED "&amp;TEXT(Master[[#This Row],[Date Collected or Developed]], "MM/DD/YYYY")</f>
        <v>W6 59600 COLLECTED 08/20/2020</v>
      </c>
      <c r="C14" t="str">
        <f t="shared" si="0"/>
        <v>SLOPE</v>
      </c>
      <c r="D14" s="9"/>
      <c r="F14" s="17">
        <f>IF(Master[[#This Row],[SLOPE]]="","",Master[[#This Row],[SLOPE]])</f>
        <v>40</v>
      </c>
      <c r="G14" s="17">
        <f>IF(Master[[#This Row],[SLOPE]]="","",Master[[#This Row],[SLOPE]])</f>
        <v>40</v>
      </c>
      <c r="H14" s="17">
        <f>IF(Master[[#This Row],[SLOPE Original Value]]="","",Master[[#This Row],[SLOPE Original Value]])</f>
        <v>40</v>
      </c>
    </row>
    <row r="15" spans="1:15" x14ac:dyDescent="0.25">
      <c r="B15" t="str">
        <f>Master[[#This Row],[Accession Prefix (NPGS)]]&amp;" "&amp;Master[[#This Row],[Accession Number -Assigned]]&amp;" COLLECTED "&amp;TEXT(Master[[#This Row],[Date Collected or Developed]], "MM/DD/YYYY")</f>
        <v>W6 59601 COLLECTED 08/26/2020</v>
      </c>
      <c r="C15" t="str">
        <f t="shared" si="0"/>
        <v>SLOPE</v>
      </c>
      <c r="D15" s="9"/>
      <c r="F15" s="17">
        <f>IF(Master[[#This Row],[SLOPE]]="","",Master[[#This Row],[SLOPE]])</f>
        <v>20</v>
      </c>
      <c r="G15" s="17">
        <f>IF(Master[[#This Row],[SLOPE]]="","",Master[[#This Row],[SLOPE]])</f>
        <v>20</v>
      </c>
      <c r="H15" s="17">
        <f>IF(Master[[#This Row],[SLOPE Original Value]]="","",Master[[#This Row],[SLOPE Original Value]])</f>
        <v>20</v>
      </c>
    </row>
    <row r="16" spans="1:15" x14ac:dyDescent="0.25">
      <c r="B16" t="str">
        <f>Master[[#This Row],[Accession Prefix (NPGS)]]&amp;" "&amp;Master[[#This Row],[Accession Number -Assigned]]&amp;" COLLECTED "&amp;TEXT(Master[[#This Row],[Date Collected or Developed]], "MM/DD/YYYY")</f>
        <v>W6 59602 COLLECTED 08/27/2020</v>
      </c>
      <c r="C16" t="str">
        <f t="shared" si="0"/>
        <v>SLOPE</v>
      </c>
      <c r="D16" s="9"/>
      <c r="F16" s="17">
        <f>IF(Master[[#This Row],[SLOPE]]="","",Master[[#This Row],[SLOPE]])</f>
        <v>4</v>
      </c>
      <c r="G16" s="17">
        <f>IF(Master[[#This Row],[SLOPE]]="","",Master[[#This Row],[SLOPE]])</f>
        <v>4</v>
      </c>
      <c r="H16" s="17">
        <f>IF(Master[[#This Row],[SLOPE Original Value]]="","",Master[[#This Row],[SLOPE Original Value]])</f>
        <v>4</v>
      </c>
    </row>
    <row r="17" spans="2:8" x14ac:dyDescent="0.25">
      <c r="B17" t="str">
        <f>Master[[#This Row],[Accession Prefix (NPGS)]]&amp;" "&amp;Master[[#This Row],[Accession Number -Assigned]]&amp;" COLLECTED "&amp;TEXT(Master[[#This Row],[Date Collected or Developed]], "MM/DD/YYYY")</f>
        <v>W6 59603 COLLECTED 09/02/2020</v>
      </c>
      <c r="C17" t="str">
        <f t="shared" si="0"/>
        <v>SLOPE</v>
      </c>
      <c r="D17" s="9"/>
      <c r="F17" s="17">
        <f>IF(Master[[#This Row],[SLOPE]]="","",Master[[#This Row],[SLOPE]])</f>
        <v>24</v>
      </c>
      <c r="G17" s="17">
        <f>IF(Master[[#This Row],[SLOPE]]="","",Master[[#This Row],[SLOPE]])</f>
        <v>24</v>
      </c>
      <c r="H17" s="17">
        <f>IF(Master[[#This Row],[SLOPE Original Value]]="","",Master[[#This Row],[SLOPE Original Value]])</f>
        <v>24</v>
      </c>
    </row>
    <row r="18" spans="2:8" x14ac:dyDescent="0.25">
      <c r="B18" t="str">
        <f>Master[[#This Row],[Accession Prefix (NPGS)]]&amp;" "&amp;Master[[#This Row],[Accession Number -Assigned]]&amp;" COLLECTED "&amp;TEXT(Master[[#This Row],[Date Collected or Developed]], "MM/DD/YYYY")</f>
        <v>W6 59604 COLLECTED 09/03/2020</v>
      </c>
      <c r="C18" t="str">
        <f t="shared" si="0"/>
        <v>SLOPE</v>
      </c>
      <c r="D18" s="9"/>
      <c r="F18" s="17">
        <f>IF(Master[[#This Row],[SLOPE]]="","",Master[[#This Row],[SLOPE]])</f>
        <v>2</v>
      </c>
      <c r="G18" s="17">
        <f>IF(Master[[#This Row],[SLOPE]]="","",Master[[#This Row],[SLOPE]])</f>
        <v>2</v>
      </c>
      <c r="H18" s="17">
        <f>IF(Master[[#This Row],[SLOPE Original Value]]="","",Master[[#This Row],[SLOPE Original Value]])</f>
        <v>2</v>
      </c>
    </row>
    <row r="19" spans="2:8" x14ac:dyDescent="0.25">
      <c r="B19" t="str">
        <f>Master[[#This Row],[Accession Prefix (NPGS)]]&amp;" "&amp;Master[[#This Row],[Accession Number -Assigned]]&amp;" COLLECTED "&amp;TEXT(Master[[#This Row],[Date Collected or Developed]], "MM/DD/YYYY")</f>
        <v>W6 59605 COLLECTED 09/10/2020</v>
      </c>
      <c r="C19" t="str">
        <f t="shared" si="0"/>
        <v>SLOPE</v>
      </c>
      <c r="D19" s="9"/>
      <c r="F19" s="17">
        <f>IF(Master[[#This Row],[SLOPE]]="","",Master[[#This Row],[SLOPE]])</f>
        <v>0</v>
      </c>
      <c r="G19" s="17">
        <f>IF(Master[[#This Row],[SLOPE]]="","",Master[[#This Row],[SLOPE]])</f>
        <v>0</v>
      </c>
      <c r="H19" s="17">
        <f>IF(Master[[#This Row],[SLOPE Original Value]]="","",Master[[#This Row],[SLOPE Original Value]])</f>
        <v>0</v>
      </c>
    </row>
    <row r="20" spans="2:8" x14ac:dyDescent="0.25">
      <c r="B20" t="str">
        <f>Master[[#This Row],[Accession Prefix (NPGS)]]&amp;" "&amp;Master[[#This Row],[Accession Number -Assigned]]&amp;" COLLECTED "&amp;TEXT(Master[[#This Row],[Date Collected or Developed]], "MM/DD/YYYY")</f>
        <v>W6 59606 COLLECTED 09/15/2020</v>
      </c>
      <c r="C20" t="str">
        <f t="shared" si="0"/>
        <v>SLOPE</v>
      </c>
      <c r="D20" s="9"/>
      <c r="F20" s="17">
        <f>IF(Master[[#This Row],[SLOPE]]="","",Master[[#This Row],[SLOPE]])</f>
        <v>12</v>
      </c>
      <c r="G20" s="17">
        <f>IF(Master[[#This Row],[SLOPE]]="","",Master[[#This Row],[SLOPE]])</f>
        <v>12</v>
      </c>
      <c r="H20" s="17">
        <f>IF(Master[[#This Row],[SLOPE Original Value]]="","",Master[[#This Row],[SLOPE Original Value]])</f>
        <v>12</v>
      </c>
    </row>
    <row r="21" spans="2:8" x14ac:dyDescent="0.25">
      <c r="B21" t="str">
        <f>Master[[#This Row],[Accession Prefix (NPGS)]]&amp;" "&amp;Master[[#This Row],[Accession Number -Assigned]]&amp;" COLLECTED "&amp;TEXT(Master[[#This Row],[Date Collected or Developed]], "MM/DD/YYYY")</f>
        <v>W6 59607 COLLECTED 09/15/2020</v>
      </c>
      <c r="C21" t="str">
        <f t="shared" si="0"/>
        <v>SLOPE</v>
      </c>
      <c r="D21" s="9"/>
      <c r="F21" s="17">
        <f>IF(Master[[#This Row],[SLOPE]]="","",Master[[#This Row],[SLOPE]])</f>
        <v>0</v>
      </c>
      <c r="G21" s="17">
        <f>IF(Master[[#This Row],[SLOPE]]="","",Master[[#This Row],[SLOPE]])</f>
        <v>0</v>
      </c>
      <c r="H21" s="17">
        <f>IF(Master[[#This Row],[SLOPE Original Value]]="","",Master[[#This Row],[SLOPE Original Value]])</f>
        <v>0</v>
      </c>
    </row>
    <row r="22" spans="2:8" x14ac:dyDescent="0.25">
      <c r="B22" t="str">
        <f>Master[[#This Row],[Accession Prefix (NPGS)]]&amp;" "&amp;Master[[#This Row],[Accession Number -Assigned]]&amp;" COLLECTED "&amp;TEXT(Master[[#This Row],[Date Collected or Developed]], "MM/DD/YYYY")</f>
        <v>W6 59608 COLLECTED 09/16/2020</v>
      </c>
      <c r="C22" t="str">
        <f t="shared" ref="C22:C53" si="1">"SLOPE"</f>
        <v>SLOPE</v>
      </c>
      <c r="D22" s="9"/>
      <c r="F22" s="17">
        <f>IF(Master[[#This Row],[SLOPE]]="","",Master[[#This Row],[SLOPE]])</f>
        <v>0</v>
      </c>
      <c r="G22" s="76">
        <f>IF(Master[[#This Row],[SLOPE]]="","",Master[[#This Row],[SLOPE]])</f>
        <v>0</v>
      </c>
      <c r="H22" s="76">
        <f>IF(Master[[#This Row],[SLOPE Original Value]]="","",Master[[#This Row],[SLOPE Original Value]])</f>
        <v>0</v>
      </c>
    </row>
    <row r="23" spans="2:8" x14ac:dyDescent="0.25">
      <c r="B23" t="str">
        <f>Master[[#This Row],[Accession Prefix (NPGS)]]&amp;" "&amp;Master[[#This Row],[Accession Number -Assigned]]&amp;" COLLECTED "&amp;TEXT(Master[[#This Row],[Date Collected or Developed]], "MM/DD/YYYY")</f>
        <v>W6 59609 COLLECTED 09/16/2020</v>
      </c>
      <c r="C23" t="str">
        <f t="shared" si="1"/>
        <v>SLOPE</v>
      </c>
      <c r="D23" s="9"/>
      <c r="F23" s="17">
        <f>IF(Master[[#This Row],[SLOPE]]="","",Master[[#This Row],[SLOPE]])</f>
        <v>5</v>
      </c>
      <c r="G23" s="76">
        <f>IF(Master[[#This Row],[SLOPE]]="","",Master[[#This Row],[SLOPE]])</f>
        <v>5</v>
      </c>
      <c r="H23" s="76">
        <f>IF(Master[[#This Row],[SLOPE Original Value]]="","",Master[[#This Row],[SLOPE Original Value]])</f>
        <v>5</v>
      </c>
    </row>
    <row r="24" spans="2:8" x14ac:dyDescent="0.25">
      <c r="B24" t="str">
        <f>Master[[#This Row],[Accession Prefix (NPGS)]]&amp;" "&amp;Master[[#This Row],[Accession Number -Assigned]]&amp;" COLLECTED "&amp;TEXT(Master[[#This Row],[Date Collected or Developed]], "MM/DD/YYYY")</f>
        <v>W6 59610 COLLECTED 09/17/2020</v>
      </c>
      <c r="C24" t="str">
        <f t="shared" si="1"/>
        <v>SLOPE</v>
      </c>
      <c r="D24" s="9"/>
      <c r="F24" s="17">
        <f>IF(Master[[#This Row],[SLOPE]]="","",Master[[#This Row],[SLOPE]])</f>
        <v>11</v>
      </c>
      <c r="G24" s="76">
        <f>IF(Master[[#This Row],[SLOPE]]="","",Master[[#This Row],[SLOPE]])</f>
        <v>11</v>
      </c>
      <c r="H24" s="76">
        <f>IF(Master[[#This Row],[SLOPE Original Value]]="","",Master[[#This Row],[SLOPE Original Value]])</f>
        <v>11</v>
      </c>
    </row>
    <row r="25" spans="2:8" x14ac:dyDescent="0.25">
      <c r="B25" t="str">
        <f>Master[[#This Row],[Accession Prefix (NPGS)]]&amp;" "&amp;Master[[#This Row],[Accession Number -Assigned]]&amp;" COLLECTED "&amp;TEXT(Master[[#This Row],[Date Collected or Developed]], "MM/DD/YYYY")</f>
        <v>W6 59611 COLLECTED 09/24/2020</v>
      </c>
      <c r="C25" t="str">
        <f t="shared" si="1"/>
        <v>SLOPE</v>
      </c>
      <c r="D25" s="9"/>
      <c r="F25" s="17">
        <f>IF(Master[[#This Row],[SLOPE]]="","",Master[[#This Row],[SLOPE]])</f>
        <v>2</v>
      </c>
      <c r="G25" s="76">
        <f>IF(Master[[#This Row],[SLOPE]]="","",Master[[#This Row],[SLOPE]])</f>
        <v>2</v>
      </c>
      <c r="H25" s="76">
        <f>IF(Master[[#This Row],[SLOPE Original Value]]="","",Master[[#This Row],[SLOPE Original Value]])</f>
        <v>2</v>
      </c>
    </row>
    <row r="26" spans="2:8" x14ac:dyDescent="0.25">
      <c r="B26" t="str">
        <f>Master[[#This Row],[Accession Prefix (NPGS)]]&amp;" "&amp;Master[[#This Row],[Accession Number -Assigned]]&amp;" COLLECTED "&amp;TEXT(Master[[#This Row],[Date Collected or Developed]], "MM/DD/YYYY")</f>
        <v>W6 59612 COLLECTED 09/24/2020</v>
      </c>
      <c r="C26" t="str">
        <f t="shared" si="1"/>
        <v>SLOPE</v>
      </c>
      <c r="D26" s="9"/>
      <c r="F26" s="17">
        <f>IF(Master[[#This Row],[SLOPE]]="","",Master[[#This Row],[SLOPE]])</f>
        <v>25</v>
      </c>
      <c r="G26" s="76">
        <f>IF(Master[[#This Row],[SLOPE]]="","",Master[[#This Row],[SLOPE]])</f>
        <v>25</v>
      </c>
      <c r="H26" s="76">
        <f>IF(Master[[#This Row],[SLOPE Original Value]]="","",Master[[#This Row],[SLOPE Original Value]])</f>
        <v>25</v>
      </c>
    </row>
    <row r="27" spans="2:8" x14ac:dyDescent="0.25">
      <c r="B27" t="str">
        <f>Master[[#This Row],[Accession Prefix (NPGS)]]&amp;" "&amp;Master[[#This Row],[Accession Number -Assigned]]&amp;" COLLECTED "&amp;TEXT(Master[[#This Row],[Date Collected or Developed]], "MM/DD/YYYY")</f>
        <v>W6 59613 COLLECTED 09/30/2020</v>
      </c>
      <c r="C27" t="str">
        <f t="shared" si="1"/>
        <v>SLOPE</v>
      </c>
      <c r="D27" s="9"/>
      <c r="F27" s="17">
        <f>IF(Master[[#This Row],[SLOPE]]="","",Master[[#This Row],[SLOPE]])</f>
        <v>0</v>
      </c>
      <c r="G27" s="76">
        <f>IF(Master[[#This Row],[SLOPE]]="","",Master[[#This Row],[SLOPE]])</f>
        <v>0</v>
      </c>
      <c r="H27" s="76">
        <f>IF(Master[[#This Row],[SLOPE Original Value]]="","",Master[[#This Row],[SLOPE Original Value]])</f>
        <v>0</v>
      </c>
    </row>
    <row r="28" spans="2:8" x14ac:dyDescent="0.25">
      <c r="B28" t="str">
        <f>Master[[#This Row],[Accession Prefix (NPGS)]]&amp;" "&amp;Master[[#This Row],[Accession Number -Assigned]]&amp;" COLLECTED "&amp;TEXT(Master[[#This Row],[Date Collected or Developed]], "MM/DD/YYYY")</f>
        <v>W6 59614 COLLECTED 09/30/2020</v>
      </c>
      <c r="C28" t="str">
        <f t="shared" si="1"/>
        <v>SLOPE</v>
      </c>
      <c r="D28" s="9"/>
      <c r="F28" s="17">
        <f>IF(Master[[#This Row],[SLOPE]]="","",Master[[#This Row],[SLOPE]])</f>
        <v>0</v>
      </c>
      <c r="G28" s="76">
        <f>IF(Master[[#This Row],[SLOPE]]="","",Master[[#This Row],[SLOPE]])</f>
        <v>0</v>
      </c>
      <c r="H28" s="76">
        <f>IF(Master[[#This Row],[SLOPE Original Value]]="","",Master[[#This Row],[SLOPE Original Value]])</f>
        <v>0</v>
      </c>
    </row>
    <row r="29" spans="2:8" x14ac:dyDescent="0.25">
      <c r="B29" t="str">
        <f>Master[[#This Row],[Accession Prefix (NPGS)]]&amp;" "&amp;Master[[#This Row],[Accession Number -Assigned]]&amp;" COLLECTED "&amp;TEXT(Master[[#This Row],[Date Collected or Developed]], "MM/DD/YYYY")</f>
        <v>W6 59615 COLLECTED 10/08/2020</v>
      </c>
      <c r="C29" t="str">
        <f t="shared" si="1"/>
        <v>SLOPE</v>
      </c>
      <c r="D29" s="9"/>
      <c r="F29" s="17">
        <f>IF(Master[[#This Row],[SLOPE]]="","",Master[[#This Row],[SLOPE]])</f>
        <v>2</v>
      </c>
      <c r="G29" s="76">
        <f>IF(Master[[#This Row],[SLOPE]]="","",Master[[#This Row],[SLOPE]])</f>
        <v>2</v>
      </c>
      <c r="H29" s="76">
        <f>IF(Master[[#This Row],[SLOPE Original Value]]="","",Master[[#This Row],[SLOPE Original Value]])</f>
        <v>2</v>
      </c>
    </row>
    <row r="30" spans="2:8" x14ac:dyDescent="0.25">
      <c r="B30" t="str">
        <f>Master[[#This Row],[Accession Prefix (NPGS)]]&amp;" "&amp;Master[[#This Row],[Accession Number -Assigned]]&amp;" COLLECTED "&amp;TEXT(Master[[#This Row],[Date Collected or Developed]], "MM/DD/YYYY")</f>
        <v>W6 59616 COLLECTED 10/22/2020</v>
      </c>
      <c r="C30" t="str">
        <f t="shared" si="1"/>
        <v>SLOPE</v>
      </c>
      <c r="D30" s="9"/>
      <c r="F30" s="17">
        <f>IF(Master[[#This Row],[SLOPE]]="","",Master[[#This Row],[SLOPE]])</f>
        <v>10</v>
      </c>
      <c r="G30" s="76">
        <f>IF(Master[[#This Row],[SLOPE]]="","",Master[[#This Row],[SLOPE]])</f>
        <v>10</v>
      </c>
      <c r="H30" s="76">
        <f>IF(Master[[#This Row],[SLOPE Original Value]]="","",Master[[#This Row],[SLOPE Original Value]])</f>
        <v>10</v>
      </c>
    </row>
    <row r="31" spans="2:8" x14ac:dyDescent="0.25">
      <c r="B31" t="str">
        <f>Master[[#This Row],[Accession Prefix (NPGS)]]&amp;" "&amp;Master[[#This Row],[Accession Number -Assigned]]&amp;" COLLECTED "&amp;TEXT(Master[[#This Row],[Date Collected or Developed]], "MM/DD/YYYY")</f>
        <v>W6 59617 COLLECTED 08/25/2020</v>
      </c>
      <c r="C31" t="str">
        <f t="shared" si="1"/>
        <v>SLOPE</v>
      </c>
      <c r="D31" s="9"/>
      <c r="F31" s="17" t="str">
        <f>IF(Master[[#This Row],[SLOPE]]="","",Master[[#This Row],[SLOPE]])</f>
        <v/>
      </c>
      <c r="G31" s="76" t="str">
        <f>IF(Master[[#This Row],[SLOPE]]="","",Master[[#This Row],[SLOPE]])</f>
        <v/>
      </c>
      <c r="H31" s="76" t="str">
        <f>IF(Master[[#This Row],[SLOPE Original Value]]="","",Master[[#This Row],[SLOPE Original Value]])</f>
        <v/>
      </c>
    </row>
    <row r="32" spans="2:8" x14ac:dyDescent="0.25">
      <c r="B32" t="str">
        <f>Master[[#This Row],[Accession Prefix (NPGS)]]&amp;" "&amp;Master[[#This Row],[Accession Number -Assigned]]&amp;" COLLECTED "&amp;TEXT(Master[[#This Row],[Date Collected or Developed]], "MM/DD/YYYY")</f>
        <v>W6 59618 COLLECTED 09/02/2020</v>
      </c>
      <c r="C32" t="str">
        <f t="shared" si="1"/>
        <v>SLOPE</v>
      </c>
      <c r="D32" s="9"/>
      <c r="F32" s="17">
        <f>IF(Master[[#This Row],[SLOPE]]="","",Master[[#This Row],[SLOPE]])</f>
        <v>45</v>
      </c>
      <c r="G32" s="76">
        <f>IF(Master[[#This Row],[SLOPE]]="","",Master[[#This Row],[SLOPE]])</f>
        <v>45</v>
      </c>
      <c r="H32" s="76">
        <f>IF(Master[[#This Row],[SLOPE Original Value]]="","",Master[[#This Row],[SLOPE Original Value]])</f>
        <v>45</v>
      </c>
    </row>
    <row r="33" spans="2:8" x14ac:dyDescent="0.25">
      <c r="B33" t="str">
        <f>Master[[#This Row],[Accession Prefix (NPGS)]]&amp;" "&amp;Master[[#This Row],[Accession Number -Assigned]]&amp;" COLLECTED "&amp;TEXT(Master[[#This Row],[Date Collected or Developed]], "MM/DD/YYYY")</f>
        <v>W6 59619 COLLECTED 09/03/2020</v>
      </c>
      <c r="C33" t="str">
        <f t="shared" si="1"/>
        <v>SLOPE</v>
      </c>
      <c r="D33" s="9"/>
      <c r="F33" s="17">
        <f>IF(Master[[#This Row],[SLOPE]]="","",Master[[#This Row],[SLOPE]])</f>
        <v>45</v>
      </c>
      <c r="G33" s="76">
        <f>IF(Master[[#This Row],[SLOPE]]="","",Master[[#This Row],[SLOPE]])</f>
        <v>45</v>
      </c>
      <c r="H33" s="76">
        <f>IF(Master[[#This Row],[SLOPE Original Value]]="","",Master[[#This Row],[SLOPE Original Value]])</f>
        <v>45</v>
      </c>
    </row>
    <row r="34" spans="2:8" x14ac:dyDescent="0.25">
      <c r="B34" t="str">
        <f>Master[[#This Row],[Accession Prefix (NPGS)]]&amp;" "&amp;Master[[#This Row],[Accession Number -Assigned]]&amp;" COLLECTED "&amp;TEXT(Master[[#This Row],[Date Collected or Developed]], "MM/DD/YYYY")</f>
        <v>W6 59620 COLLECTED 09/10/2020</v>
      </c>
      <c r="C34" t="str">
        <f t="shared" si="1"/>
        <v>SLOPE</v>
      </c>
      <c r="D34" s="9"/>
      <c r="F34" s="17" t="str">
        <f>IF(Master[[#This Row],[SLOPE]]="","",Master[[#This Row],[SLOPE]])</f>
        <v/>
      </c>
      <c r="G34" s="76" t="str">
        <f>IF(Master[[#This Row],[SLOPE]]="","",Master[[#This Row],[SLOPE]])</f>
        <v/>
      </c>
      <c r="H34" s="76" t="str">
        <f>IF(Master[[#This Row],[SLOPE Original Value]]="","",Master[[#This Row],[SLOPE Original Value]])</f>
        <v/>
      </c>
    </row>
    <row r="35" spans="2:8" x14ac:dyDescent="0.25">
      <c r="B35" t="str">
        <f>Master[[#This Row],[Accession Prefix (NPGS)]]&amp;" "&amp;Master[[#This Row],[Accession Number -Assigned]]&amp;" COLLECTED "&amp;TEXT(Master[[#This Row],[Date Collected or Developed]], "MM/DD/YYYY")</f>
        <v>W6 59621 COLLECTED 09/22/2020</v>
      </c>
      <c r="C35" t="str">
        <f t="shared" si="1"/>
        <v>SLOPE</v>
      </c>
      <c r="D35" s="9"/>
      <c r="F35" s="17" t="str">
        <f>IF(Master[[#This Row],[SLOPE]]="","",Master[[#This Row],[SLOPE]])</f>
        <v/>
      </c>
      <c r="G35" s="76" t="str">
        <f>IF(Master[[#This Row],[SLOPE]]="","",Master[[#This Row],[SLOPE]])</f>
        <v/>
      </c>
      <c r="H35" s="76" t="str">
        <f>IF(Master[[#This Row],[SLOPE Original Value]]="","",Master[[#This Row],[SLOPE Original Value]])</f>
        <v/>
      </c>
    </row>
    <row r="36" spans="2:8" x14ac:dyDescent="0.25">
      <c r="B36" t="str">
        <f>Master[[#This Row],[Accession Prefix (NPGS)]]&amp;" "&amp;Master[[#This Row],[Accession Number -Assigned]]&amp;" COLLECTED "&amp;TEXT(Master[[#This Row],[Date Collected or Developed]], "MM/DD/YYYY")</f>
        <v>W6 59622 COLLECTED 09/22/2020</v>
      </c>
      <c r="C36" t="str">
        <f t="shared" si="1"/>
        <v>SLOPE</v>
      </c>
      <c r="D36" s="9"/>
      <c r="F36" s="17" t="str">
        <f>IF(Master[[#This Row],[SLOPE]]="","",Master[[#This Row],[SLOPE]])</f>
        <v/>
      </c>
      <c r="G36" s="76" t="str">
        <f>IF(Master[[#This Row],[SLOPE]]="","",Master[[#This Row],[SLOPE]])</f>
        <v/>
      </c>
      <c r="H36" s="76" t="str">
        <f>IF(Master[[#This Row],[SLOPE Original Value]]="","",Master[[#This Row],[SLOPE Original Value]])</f>
        <v/>
      </c>
    </row>
    <row r="37" spans="2:8" x14ac:dyDescent="0.25">
      <c r="B37" t="str">
        <f>Master[[#This Row],[Accession Prefix (NPGS)]]&amp;" "&amp;Master[[#This Row],[Accession Number -Assigned]]&amp;" COLLECTED "&amp;TEXT(Master[[#This Row],[Date Collected or Developed]], "MM/DD/YYYY")</f>
        <v>W6 59623 COLLECTED 10/10/2020</v>
      </c>
      <c r="C37" t="str">
        <f t="shared" si="1"/>
        <v>SLOPE</v>
      </c>
      <c r="D37" s="9"/>
      <c r="F37" s="17">
        <f>IF(Master[[#This Row],[SLOPE]]="","",Master[[#This Row],[SLOPE]])</f>
        <v>35</v>
      </c>
      <c r="G37" s="76">
        <f>IF(Master[[#This Row],[SLOPE]]="","",Master[[#This Row],[SLOPE]])</f>
        <v>35</v>
      </c>
      <c r="H37" s="76">
        <f>IF(Master[[#This Row],[SLOPE Original Value]]="","",Master[[#This Row],[SLOPE Original Value]])</f>
        <v>35</v>
      </c>
    </row>
    <row r="38" spans="2:8" x14ac:dyDescent="0.25">
      <c r="B38" t="str">
        <f>Master[[#This Row],[Accession Prefix (NPGS)]]&amp;" "&amp;Master[[#This Row],[Accession Number -Assigned]]&amp;" COLLECTED "&amp;TEXT(Master[[#This Row],[Date Collected or Developed]], "MM/DD/YYYY")</f>
        <v>W6 59624 COLLECTED 10/10/2020</v>
      </c>
      <c r="C38" t="str">
        <f t="shared" si="1"/>
        <v>SLOPE</v>
      </c>
      <c r="D38" s="9"/>
      <c r="F38" s="17" t="str">
        <f>IF(Master[[#This Row],[SLOPE]]="","",Master[[#This Row],[SLOPE]])</f>
        <v/>
      </c>
      <c r="G38" s="76" t="str">
        <f>IF(Master[[#This Row],[SLOPE]]="","",Master[[#This Row],[SLOPE]])</f>
        <v/>
      </c>
      <c r="H38" s="76" t="str">
        <f>IF(Master[[#This Row],[SLOPE Original Value]]="","",Master[[#This Row],[SLOPE Original Value]])</f>
        <v/>
      </c>
    </row>
    <row r="39" spans="2:8" x14ac:dyDescent="0.25">
      <c r="B39" t="str">
        <f>Master[[#This Row],[Accession Prefix (NPGS)]]&amp;" "&amp;Master[[#This Row],[Accession Number -Assigned]]&amp;" COLLECTED "&amp;TEXT(Master[[#This Row],[Date Collected or Developed]], "MM/DD/YYYY")</f>
        <v>W6 59625 COLLECTED 10/10/2020</v>
      </c>
      <c r="C39" t="str">
        <f t="shared" si="1"/>
        <v>SLOPE</v>
      </c>
      <c r="D39" s="9"/>
      <c r="F39" s="17">
        <f>IF(Master[[#This Row],[SLOPE]]="","",Master[[#This Row],[SLOPE]])</f>
        <v>20</v>
      </c>
      <c r="G39" s="76">
        <f>IF(Master[[#This Row],[SLOPE]]="","",Master[[#This Row],[SLOPE]])</f>
        <v>20</v>
      </c>
      <c r="H39" s="76">
        <f>IF(Master[[#This Row],[SLOPE Original Value]]="","",Master[[#This Row],[SLOPE Original Value]])</f>
        <v>20</v>
      </c>
    </row>
    <row r="40" spans="2:8" x14ac:dyDescent="0.25">
      <c r="B40" t="str">
        <f>Master[[#This Row],[Accession Prefix (NPGS)]]&amp;" "&amp;Master[[#This Row],[Accession Number -Assigned]]&amp;" COLLECTED "&amp;TEXT(Master[[#This Row],[Date Collected or Developed]], "MM/DD/YYYY")</f>
        <v>W6 59626 COLLECTED 10/14/2020</v>
      </c>
      <c r="C40" t="str">
        <f t="shared" si="1"/>
        <v>SLOPE</v>
      </c>
      <c r="D40" s="9"/>
      <c r="F40" s="17">
        <f>IF(Master[[#This Row],[SLOPE]]="","",Master[[#This Row],[SLOPE]])</f>
        <v>55</v>
      </c>
      <c r="G40" s="76">
        <f>IF(Master[[#This Row],[SLOPE]]="","",Master[[#This Row],[SLOPE]])</f>
        <v>55</v>
      </c>
      <c r="H40" s="76">
        <f>IF(Master[[#This Row],[SLOPE Original Value]]="","",Master[[#This Row],[SLOPE Original Value]])</f>
        <v>55</v>
      </c>
    </row>
    <row r="41" spans="2:8" x14ac:dyDescent="0.25">
      <c r="B41" t="str">
        <f>Master[[#This Row],[Accession Prefix (NPGS)]]&amp;" "&amp;Master[[#This Row],[Accession Number -Assigned]]&amp;" COLLECTED "&amp;TEXT(Master[[#This Row],[Date Collected or Developed]], "MM/DD/YYYY")</f>
        <v>W6 59627 COLLECTED 10/14/2020</v>
      </c>
      <c r="C41" t="str">
        <f t="shared" si="1"/>
        <v>SLOPE</v>
      </c>
      <c r="D41" s="9"/>
      <c r="F41" s="17">
        <f>IF(Master[[#This Row],[SLOPE]]="","",Master[[#This Row],[SLOPE]])</f>
        <v>50</v>
      </c>
      <c r="G41" s="76">
        <f>IF(Master[[#This Row],[SLOPE]]="","",Master[[#This Row],[SLOPE]])</f>
        <v>50</v>
      </c>
      <c r="H41" s="76">
        <f>IF(Master[[#This Row],[SLOPE Original Value]]="","",Master[[#This Row],[SLOPE Original Value]])</f>
        <v>50</v>
      </c>
    </row>
    <row r="42" spans="2:8" x14ac:dyDescent="0.25">
      <c r="B42" t="str">
        <f>Master[[#This Row],[Accession Prefix (NPGS)]]&amp;" "&amp;Master[[#This Row],[Accession Number -Assigned]]&amp;" COLLECTED "&amp;TEXT(Master[[#This Row],[Date Collected or Developed]], "MM/DD/YYYY")</f>
        <v>W6 59628 COLLECTED 10/14/2020</v>
      </c>
      <c r="C42" t="str">
        <f t="shared" si="1"/>
        <v>SLOPE</v>
      </c>
      <c r="D42" s="9"/>
      <c r="F42" s="17">
        <f>IF(Master[[#This Row],[SLOPE]]="","",Master[[#This Row],[SLOPE]])</f>
        <v>0</v>
      </c>
      <c r="G42" s="76">
        <f>IF(Master[[#This Row],[SLOPE]]="","",Master[[#This Row],[SLOPE]])</f>
        <v>0</v>
      </c>
      <c r="H42" s="76">
        <f>IF(Master[[#This Row],[SLOPE Original Value]]="","",Master[[#This Row],[SLOPE Original Value]])</f>
        <v>0</v>
      </c>
    </row>
    <row r="43" spans="2:8" x14ac:dyDescent="0.25">
      <c r="B43" t="str">
        <f>Master[[#This Row],[Accession Prefix (NPGS)]]&amp;" "&amp;Master[[#This Row],[Accession Number -Assigned]]&amp;" COLLECTED "&amp;TEXT(Master[[#This Row],[Date Collected or Developed]], "MM/DD/YYYY")</f>
        <v>W6 59629 COLLECTED 10/15/2020</v>
      </c>
      <c r="C43" t="str">
        <f t="shared" si="1"/>
        <v>SLOPE</v>
      </c>
      <c r="D43" s="9"/>
      <c r="F43" s="17">
        <f>IF(Master[[#This Row],[SLOPE]]="","",Master[[#This Row],[SLOPE]])</f>
        <v>0</v>
      </c>
      <c r="G43" s="76">
        <f>IF(Master[[#This Row],[SLOPE]]="","",Master[[#This Row],[SLOPE]])</f>
        <v>0</v>
      </c>
      <c r="H43" s="76">
        <f>IF(Master[[#This Row],[SLOPE Original Value]]="","",Master[[#This Row],[SLOPE Original Value]])</f>
        <v>0</v>
      </c>
    </row>
    <row r="44" spans="2:8" x14ac:dyDescent="0.25">
      <c r="B44" t="str">
        <f>Master[[#This Row],[Accession Prefix (NPGS)]]&amp;" "&amp;Master[[#This Row],[Accession Number -Assigned]]&amp;" COLLECTED "&amp;TEXT(Master[[#This Row],[Date Collected or Developed]], "MM/DD/YYYY")</f>
        <v>W6 59630 COLLECTED 10/15/2020</v>
      </c>
      <c r="C44" t="str">
        <f t="shared" si="1"/>
        <v>SLOPE</v>
      </c>
      <c r="D44" s="9"/>
      <c r="F44" s="17">
        <f>IF(Master[[#This Row],[SLOPE]]="","",Master[[#This Row],[SLOPE]])</f>
        <v>22.5</v>
      </c>
      <c r="G44" s="76">
        <f>IF(Master[[#This Row],[SLOPE]]="","",Master[[#This Row],[SLOPE]])</f>
        <v>22.5</v>
      </c>
      <c r="H44" s="76" t="str">
        <f>IF(Master[[#This Row],[SLOPE Original Value]]="","",Master[[#This Row],[SLOPE Original Value]])</f>
        <v>15-30</v>
      </c>
    </row>
    <row r="45" spans="2:8" x14ac:dyDescent="0.25">
      <c r="B45" t="str">
        <f>Master[[#This Row],[Accession Prefix (NPGS)]]&amp;" "&amp;Master[[#This Row],[Accession Number -Assigned]]&amp;" COLLECTED "&amp;TEXT(Master[[#This Row],[Date Collected or Developed]], "MM/DD/YYYY")</f>
        <v>W6 59631 COLLECTED 10/20/2020</v>
      </c>
      <c r="C45" t="str">
        <f t="shared" si="1"/>
        <v>SLOPE</v>
      </c>
      <c r="D45" s="9"/>
      <c r="F45" s="17">
        <f>IF(Master[[#This Row],[SLOPE]]="","",Master[[#This Row],[SLOPE]])</f>
        <v>0</v>
      </c>
      <c r="G45" s="76">
        <f>IF(Master[[#This Row],[SLOPE]]="","",Master[[#This Row],[SLOPE]])</f>
        <v>0</v>
      </c>
      <c r="H45" s="76">
        <f>IF(Master[[#This Row],[SLOPE Original Value]]="","",Master[[#This Row],[SLOPE Original Value]])</f>
        <v>0</v>
      </c>
    </row>
    <row r="46" spans="2:8" x14ac:dyDescent="0.25">
      <c r="B46" t="str">
        <f>Master[[#This Row],[Accession Prefix (NPGS)]]&amp;" "&amp;Master[[#This Row],[Accession Number -Assigned]]&amp;" COLLECTED "&amp;TEXT(Master[[#This Row],[Date Collected or Developed]], "MM/DD/YYYY")</f>
        <v>W6 59632 COLLECTED 10/27/2020</v>
      </c>
      <c r="C46" t="str">
        <f t="shared" si="1"/>
        <v>SLOPE</v>
      </c>
      <c r="D46" s="9"/>
      <c r="F46" s="17">
        <f>IF(Master[[#This Row],[SLOPE]]="","",Master[[#This Row],[SLOPE]])</f>
        <v>0</v>
      </c>
      <c r="G46" s="76">
        <f>IF(Master[[#This Row],[SLOPE]]="","",Master[[#This Row],[SLOPE]])</f>
        <v>0</v>
      </c>
      <c r="H46" s="76">
        <f>IF(Master[[#This Row],[SLOPE Original Value]]="","",Master[[#This Row],[SLOPE Original Value]])</f>
        <v>0</v>
      </c>
    </row>
    <row r="47" spans="2:8" x14ac:dyDescent="0.25">
      <c r="B47" t="str">
        <f>Master[[#This Row],[Accession Prefix (NPGS)]]&amp;" "&amp;Master[[#This Row],[Accession Number -Assigned]]&amp;" COLLECTED "&amp;TEXT(Master[[#This Row],[Date Collected or Developed]], "MM/DD/YYYY")</f>
        <v>W6 59633 COLLECTED 11/10/2020</v>
      </c>
      <c r="C47" t="str">
        <f t="shared" si="1"/>
        <v>SLOPE</v>
      </c>
      <c r="D47" s="9"/>
      <c r="F47" s="17">
        <f>IF(Master[[#This Row],[SLOPE]]="","",Master[[#This Row],[SLOPE]])</f>
        <v>0</v>
      </c>
      <c r="G47" s="76">
        <f>IF(Master[[#This Row],[SLOPE]]="","",Master[[#This Row],[SLOPE]])</f>
        <v>0</v>
      </c>
      <c r="H47" s="76">
        <f>IF(Master[[#This Row],[SLOPE Original Value]]="","",Master[[#This Row],[SLOPE Original Value]])</f>
        <v>0</v>
      </c>
    </row>
    <row r="48" spans="2:8" x14ac:dyDescent="0.25">
      <c r="B48" t="str">
        <f>Master[[#This Row],[Accession Prefix (NPGS)]]&amp;" "&amp;Master[[#This Row],[Accession Number -Assigned]]&amp;" COLLECTED "&amp;TEXT(Master[[#This Row],[Date Collected or Developed]], "MM/DD/YYYY")</f>
        <v>W6 59634 COLLECTED 11/10/2020</v>
      </c>
      <c r="C48" t="str">
        <f t="shared" si="1"/>
        <v>SLOPE</v>
      </c>
      <c r="D48" s="9"/>
      <c r="F48" s="17">
        <f>IF(Master[[#This Row],[SLOPE]]="","",Master[[#This Row],[SLOPE]])</f>
        <v>0</v>
      </c>
      <c r="G48" s="76">
        <f>IF(Master[[#This Row],[SLOPE]]="","",Master[[#This Row],[SLOPE]])</f>
        <v>0</v>
      </c>
      <c r="H48" s="76">
        <f>IF(Master[[#This Row],[SLOPE Original Value]]="","",Master[[#This Row],[SLOPE Original Value]])</f>
        <v>0</v>
      </c>
    </row>
    <row r="49" spans="2:8" x14ac:dyDescent="0.25">
      <c r="B49" t="str">
        <f>Master[[#This Row],[Accession Prefix (NPGS)]]&amp;" "&amp;Master[[#This Row],[Accession Number -Assigned]]&amp;" COLLECTED "&amp;TEXT(Master[[#This Row],[Date Collected or Developed]], "MM/DD/YYYY")</f>
        <v>W6 59635 COLLECTED 11/19/2020</v>
      </c>
      <c r="C49" t="str">
        <f t="shared" si="1"/>
        <v>SLOPE</v>
      </c>
      <c r="D49" s="9"/>
      <c r="F49" s="17">
        <f>IF(Master[[#This Row],[SLOPE]]="","",Master[[#This Row],[SLOPE]])</f>
        <v>5</v>
      </c>
      <c r="G49" s="76">
        <f>IF(Master[[#This Row],[SLOPE]]="","",Master[[#This Row],[SLOPE]])</f>
        <v>5</v>
      </c>
      <c r="H49" s="76">
        <f>IF(Master[[#This Row],[SLOPE Original Value]]="","",Master[[#This Row],[SLOPE Original Value]])</f>
        <v>5</v>
      </c>
    </row>
    <row r="50" spans="2:8" x14ac:dyDescent="0.25">
      <c r="B50" t="str">
        <f>Master[[#This Row],[Accession Prefix (NPGS)]]&amp;" "&amp;Master[[#This Row],[Accession Number -Assigned]]&amp;" COLLECTED "&amp;TEXT(Master[[#This Row],[Date Collected or Developed]], "MM/DD/YYYY")</f>
        <v>W6 59636 COLLECTED 11/23/2020</v>
      </c>
      <c r="C50" t="str">
        <f t="shared" si="1"/>
        <v>SLOPE</v>
      </c>
      <c r="D50" s="9"/>
      <c r="F50" s="17" t="str">
        <f>IF(Master[[#This Row],[SLOPE]]="","",Master[[#This Row],[SLOPE]])</f>
        <v/>
      </c>
      <c r="G50" s="76" t="str">
        <f>IF(Master[[#This Row],[SLOPE]]="","",Master[[#This Row],[SLOPE]])</f>
        <v/>
      </c>
      <c r="H50" s="76" t="str">
        <f>IF(Master[[#This Row],[SLOPE Original Value]]="","",Master[[#This Row],[SLOPE Original Value]])</f>
        <v/>
      </c>
    </row>
    <row r="51" spans="2:8" x14ac:dyDescent="0.25">
      <c r="B51" t="str">
        <f>Master[[#This Row],[Accession Prefix (NPGS)]]&amp;" "&amp;Master[[#This Row],[Accession Number -Assigned]]&amp;" COLLECTED "&amp;TEXT(Master[[#This Row],[Date Collected or Developed]], "MM/DD/YYYY")</f>
        <v>W6 59637 COLLECTED 12/03/2020</v>
      </c>
      <c r="C51" t="str">
        <f t="shared" si="1"/>
        <v>SLOPE</v>
      </c>
      <c r="D51" s="9"/>
      <c r="F51" s="17">
        <f>IF(Master[[#This Row],[SLOPE]]="","",Master[[#This Row],[SLOPE]])</f>
        <v>25</v>
      </c>
      <c r="G51" s="76">
        <f>IF(Master[[#This Row],[SLOPE]]="","",Master[[#This Row],[SLOPE]])</f>
        <v>25</v>
      </c>
      <c r="H51" s="76">
        <f>IF(Master[[#This Row],[SLOPE Original Value]]="","",Master[[#This Row],[SLOPE Original Value]])</f>
        <v>25</v>
      </c>
    </row>
    <row r="52" spans="2:8" x14ac:dyDescent="0.25">
      <c r="B52" t="str">
        <f>Master[[#This Row],[Accession Prefix (NPGS)]]&amp;" "&amp;Master[[#This Row],[Accession Number -Assigned]]&amp;" COLLECTED "&amp;TEXT(Master[[#This Row],[Date Collected or Developed]], "MM/DD/YYYY")</f>
        <v>W6 59638 COLLECTED 12/03/2020</v>
      </c>
      <c r="C52" t="str">
        <f t="shared" si="1"/>
        <v>SLOPE</v>
      </c>
      <c r="D52" s="9"/>
      <c r="F52" s="17">
        <f>IF(Master[[#This Row],[SLOPE]]="","",Master[[#This Row],[SLOPE]])</f>
        <v>0</v>
      </c>
      <c r="G52" s="76">
        <f>IF(Master[[#This Row],[SLOPE]]="","",Master[[#This Row],[SLOPE]])</f>
        <v>0</v>
      </c>
      <c r="H52" s="76">
        <f>IF(Master[[#This Row],[SLOPE Original Value]]="","",Master[[#This Row],[SLOPE Original Value]])</f>
        <v>0</v>
      </c>
    </row>
    <row r="53" spans="2:8" x14ac:dyDescent="0.25">
      <c r="B53" t="str">
        <f>Master[[#This Row],[Accession Prefix (NPGS)]]&amp;" "&amp;Master[[#This Row],[Accession Number -Assigned]]&amp;" COLLECTED "&amp;TEXT(Master[[#This Row],[Date Collected or Developed]], "MM/DD/YYYY")</f>
        <v>W6 59639 COLLECTED 12/03/2020</v>
      </c>
      <c r="C53" t="str">
        <f t="shared" si="1"/>
        <v>SLOPE</v>
      </c>
      <c r="D53" s="9"/>
      <c r="F53" s="17">
        <f>IF(Master[[#This Row],[SLOPE]]="","",Master[[#This Row],[SLOPE]])</f>
        <v>0</v>
      </c>
      <c r="G53" s="76">
        <f>IF(Master[[#This Row],[SLOPE]]="","",Master[[#This Row],[SLOPE]])</f>
        <v>0</v>
      </c>
      <c r="H53" s="76">
        <f>IF(Master[[#This Row],[SLOPE Original Value]]="","",Master[[#This Row],[SLOPE Original Value]])</f>
        <v>0</v>
      </c>
    </row>
    <row r="54" spans="2:8" x14ac:dyDescent="0.25">
      <c r="B54" t="str">
        <f>Master[[#This Row],[Accession Prefix (NPGS)]]&amp;" "&amp;Master[[#This Row],[Accession Number -Assigned]]&amp;" COLLECTED "&amp;TEXT(Master[[#This Row],[Date Collected or Developed]], "MM/DD/YYYY")</f>
        <v>W6 59640 COLLECTED 12/15/2020</v>
      </c>
      <c r="C54" t="str">
        <f t="shared" ref="C54:C85" si="2">"SLOPE"</f>
        <v>SLOPE</v>
      </c>
      <c r="D54" s="9"/>
      <c r="F54" s="17">
        <f>IF(Master[[#This Row],[SLOPE]]="","",Master[[#This Row],[SLOPE]])</f>
        <v>0</v>
      </c>
      <c r="G54" s="76">
        <f>IF(Master[[#This Row],[SLOPE]]="","",Master[[#This Row],[SLOPE]])</f>
        <v>0</v>
      </c>
      <c r="H54" s="76">
        <f>IF(Master[[#This Row],[SLOPE Original Value]]="","",Master[[#This Row],[SLOPE Original Value]])</f>
        <v>0</v>
      </c>
    </row>
    <row r="55" spans="2:8" x14ac:dyDescent="0.25">
      <c r="B55" t="str">
        <f>Master[[#This Row],[Accession Prefix (NPGS)]]&amp;" "&amp;Master[[#This Row],[Accession Number -Assigned]]&amp;" COLLECTED "&amp;TEXT(Master[[#This Row],[Date Collected or Developed]], "MM/DD/YYYY")</f>
        <v>W6 59641 COLLECTED 08/17/2020</v>
      </c>
      <c r="C55" t="str">
        <f t="shared" si="2"/>
        <v>SLOPE</v>
      </c>
      <c r="D55" s="9"/>
      <c r="F55" s="17" t="str">
        <f>IF(Master[[#This Row],[SLOPE]]="","",Master[[#This Row],[SLOPE]])</f>
        <v/>
      </c>
      <c r="G55" s="76" t="str">
        <f>IF(Master[[#This Row],[SLOPE]]="","",Master[[#This Row],[SLOPE]])</f>
        <v/>
      </c>
      <c r="H55" s="76" t="str">
        <f>IF(Master[[#This Row],[SLOPE Original Value]]="","",Master[[#This Row],[SLOPE Original Value]])</f>
        <v/>
      </c>
    </row>
    <row r="56" spans="2:8" x14ac:dyDescent="0.25">
      <c r="B56" t="str">
        <f>Master[[#This Row],[Accession Prefix (NPGS)]]&amp;" "&amp;Master[[#This Row],[Accession Number -Assigned]]&amp;" COLLECTED "&amp;TEXT(Master[[#This Row],[Date Collected or Developed]], "MM/DD/YYYY")</f>
        <v>W6 59642 COLLECTED 08/25/2020</v>
      </c>
      <c r="C56" t="str">
        <f t="shared" si="2"/>
        <v>SLOPE</v>
      </c>
      <c r="D56" s="9"/>
      <c r="F56" s="17" t="str">
        <f>IF(Master[[#This Row],[SLOPE]]="","",Master[[#This Row],[SLOPE]])</f>
        <v/>
      </c>
      <c r="G56" s="76" t="str">
        <f>IF(Master[[#This Row],[SLOPE]]="","",Master[[#This Row],[SLOPE]])</f>
        <v/>
      </c>
      <c r="H56" s="76" t="str">
        <f>IF(Master[[#This Row],[SLOPE Original Value]]="","",Master[[#This Row],[SLOPE Original Value]])</f>
        <v/>
      </c>
    </row>
    <row r="57" spans="2:8" x14ac:dyDescent="0.25">
      <c r="B57" t="str">
        <f>Master[[#This Row],[Accession Prefix (NPGS)]]&amp;" "&amp;Master[[#This Row],[Accession Number -Assigned]]&amp;" COLLECTED "&amp;TEXT(Master[[#This Row],[Date Collected or Developed]], "MM/DD/YYYY")</f>
        <v>W6 59643 COLLECTED 05/26/2020</v>
      </c>
      <c r="C57" t="str">
        <f t="shared" si="2"/>
        <v>SLOPE</v>
      </c>
      <c r="D57" s="9"/>
      <c r="F57" s="17">
        <f>IF(Master[[#This Row],[SLOPE]]="","",Master[[#This Row],[SLOPE]])</f>
        <v>2</v>
      </c>
      <c r="G57" s="76">
        <f>IF(Master[[#This Row],[SLOPE]]="","",Master[[#This Row],[SLOPE]])</f>
        <v>2</v>
      </c>
      <c r="H57" s="76">
        <f>IF(Master[[#This Row],[SLOPE Original Value]]="","",Master[[#This Row],[SLOPE Original Value]])</f>
        <v>2</v>
      </c>
    </row>
    <row r="58" spans="2:8" x14ac:dyDescent="0.25">
      <c r="B58" t="str">
        <f>Master[[#This Row],[Accession Prefix (NPGS)]]&amp;" "&amp;Master[[#This Row],[Accession Number -Assigned]]&amp;" COLLECTED "&amp;TEXT(Master[[#This Row],[Date Collected or Developed]], "MM/DD/YYYY")</f>
        <v>W6 59644 COLLECTED 05/27/2020</v>
      </c>
      <c r="C58" t="str">
        <f t="shared" si="2"/>
        <v>SLOPE</v>
      </c>
      <c r="D58" s="9"/>
      <c r="F58" s="17">
        <f>IF(Master[[#This Row],[SLOPE]]="","",Master[[#This Row],[SLOPE]])</f>
        <v>9</v>
      </c>
      <c r="G58" s="76">
        <f>IF(Master[[#This Row],[SLOPE]]="","",Master[[#This Row],[SLOPE]])</f>
        <v>9</v>
      </c>
      <c r="H58" s="76">
        <f>IF(Master[[#This Row],[SLOPE Original Value]]="","",Master[[#This Row],[SLOPE Original Value]])</f>
        <v>9</v>
      </c>
    </row>
    <row r="59" spans="2:8" x14ac:dyDescent="0.25">
      <c r="B59" t="str">
        <f>Master[[#This Row],[Accession Prefix (NPGS)]]&amp;" "&amp;Master[[#This Row],[Accession Number -Assigned]]&amp;" COLLECTED "&amp;TEXT(Master[[#This Row],[Date Collected or Developed]], "MM/DD/YYYY")</f>
        <v>W6 59645 COLLECTED 06/09/2020</v>
      </c>
      <c r="C59" t="str">
        <f t="shared" si="2"/>
        <v>SLOPE</v>
      </c>
      <c r="D59" s="9"/>
      <c r="F59" s="17">
        <f>IF(Master[[#This Row],[SLOPE]]="","",Master[[#This Row],[SLOPE]])</f>
        <v>15</v>
      </c>
      <c r="G59" s="76">
        <f>IF(Master[[#This Row],[SLOPE]]="","",Master[[#This Row],[SLOPE]])</f>
        <v>15</v>
      </c>
      <c r="H59" s="76">
        <f>IF(Master[[#This Row],[SLOPE Original Value]]="","",Master[[#This Row],[SLOPE Original Value]])</f>
        <v>15</v>
      </c>
    </row>
    <row r="60" spans="2:8" x14ac:dyDescent="0.25">
      <c r="B60" t="str">
        <f>Master[[#This Row],[Accession Prefix (NPGS)]]&amp;" "&amp;Master[[#This Row],[Accession Number -Assigned]]&amp;" COLLECTED "&amp;TEXT(Master[[#This Row],[Date Collected or Developed]], "MM/DD/YYYY")</f>
        <v>W6 59646 COLLECTED 06/24/2020</v>
      </c>
      <c r="C60" t="str">
        <f t="shared" si="2"/>
        <v>SLOPE</v>
      </c>
      <c r="D60" s="9"/>
      <c r="F60" s="17">
        <f>IF(Master[[#This Row],[SLOPE]]="","",Master[[#This Row],[SLOPE]])</f>
        <v>7</v>
      </c>
      <c r="G60" s="76">
        <f>IF(Master[[#This Row],[SLOPE]]="","",Master[[#This Row],[SLOPE]])</f>
        <v>7</v>
      </c>
      <c r="H60" s="76">
        <f>IF(Master[[#This Row],[SLOPE Original Value]]="","",Master[[#This Row],[SLOPE Original Value]])</f>
        <v>7</v>
      </c>
    </row>
    <row r="61" spans="2:8" x14ac:dyDescent="0.25">
      <c r="B61" t="str">
        <f>Master[[#This Row],[Accession Prefix (NPGS)]]&amp;" "&amp;Master[[#This Row],[Accession Number -Assigned]]&amp;" COLLECTED "&amp;TEXT(Master[[#This Row],[Date Collected or Developed]], "MM/DD/YYYY")</f>
        <v>W6 59647 COLLECTED 07/07/2020</v>
      </c>
      <c r="C61" t="str">
        <f t="shared" si="2"/>
        <v>SLOPE</v>
      </c>
      <c r="D61" s="9"/>
      <c r="F61" s="17">
        <f>IF(Master[[#This Row],[SLOPE]]="","",Master[[#This Row],[SLOPE]])</f>
        <v>28</v>
      </c>
      <c r="G61" s="76">
        <f>IF(Master[[#This Row],[SLOPE]]="","",Master[[#This Row],[SLOPE]])</f>
        <v>28</v>
      </c>
      <c r="H61" s="76">
        <f>IF(Master[[#This Row],[SLOPE Original Value]]="","",Master[[#This Row],[SLOPE Original Value]])</f>
        <v>28</v>
      </c>
    </row>
    <row r="62" spans="2:8" x14ac:dyDescent="0.25">
      <c r="B62" t="str">
        <f>Master[[#This Row],[Accession Prefix (NPGS)]]&amp;" "&amp;Master[[#This Row],[Accession Number -Assigned]]&amp;" COLLECTED "&amp;TEXT(Master[[#This Row],[Date Collected or Developed]], "MM/DD/YYYY")</f>
        <v>W6 59648 COLLECTED 07/09/2020</v>
      </c>
      <c r="C62" t="str">
        <f t="shared" si="2"/>
        <v>SLOPE</v>
      </c>
      <c r="D62" s="9"/>
      <c r="F62" s="17">
        <f>IF(Master[[#This Row],[SLOPE]]="","",Master[[#This Row],[SLOPE]])</f>
        <v>14</v>
      </c>
      <c r="G62" s="76">
        <f>IF(Master[[#This Row],[SLOPE]]="","",Master[[#This Row],[SLOPE]])</f>
        <v>14</v>
      </c>
      <c r="H62" s="76">
        <f>IF(Master[[#This Row],[SLOPE Original Value]]="","",Master[[#This Row],[SLOPE Original Value]])</f>
        <v>14</v>
      </c>
    </row>
    <row r="63" spans="2:8" x14ac:dyDescent="0.25">
      <c r="B63" t="str">
        <f>Master[[#This Row],[Accession Prefix (NPGS)]]&amp;" "&amp;Master[[#This Row],[Accession Number -Assigned]]&amp;" COLLECTED "&amp;TEXT(Master[[#This Row],[Date Collected or Developed]], "MM/DD/YYYY")</f>
        <v>W6 59649 COLLECTED 07/13/2020</v>
      </c>
      <c r="C63" t="str">
        <f t="shared" si="2"/>
        <v>SLOPE</v>
      </c>
      <c r="D63" s="9"/>
      <c r="F63" s="17">
        <f>IF(Master[[#This Row],[SLOPE]]="","",Master[[#This Row],[SLOPE]])</f>
        <v>4</v>
      </c>
      <c r="G63" s="76">
        <f>IF(Master[[#This Row],[SLOPE]]="","",Master[[#This Row],[SLOPE]])</f>
        <v>4</v>
      </c>
      <c r="H63" s="76">
        <f>IF(Master[[#This Row],[SLOPE Original Value]]="","",Master[[#This Row],[SLOPE Original Value]])</f>
        <v>4</v>
      </c>
    </row>
    <row r="64" spans="2:8" x14ac:dyDescent="0.25">
      <c r="B64" t="str">
        <f>Master[[#This Row],[Accession Prefix (NPGS)]]&amp;" "&amp;Master[[#This Row],[Accession Number -Assigned]]&amp;" COLLECTED "&amp;TEXT(Master[[#This Row],[Date Collected or Developed]], "MM/DD/YYYY")</f>
        <v>W6 59650 COLLECTED 08/10/2020</v>
      </c>
      <c r="C64" t="str">
        <f t="shared" si="2"/>
        <v>SLOPE</v>
      </c>
      <c r="D64" s="9"/>
      <c r="F64" s="17">
        <f>IF(Master[[#This Row],[SLOPE]]="","",Master[[#This Row],[SLOPE]])</f>
        <v>8</v>
      </c>
      <c r="G64" s="76">
        <f>IF(Master[[#This Row],[SLOPE]]="","",Master[[#This Row],[SLOPE]])</f>
        <v>8</v>
      </c>
      <c r="H64" s="76">
        <f>IF(Master[[#This Row],[SLOPE Original Value]]="","",Master[[#This Row],[SLOPE Original Value]])</f>
        <v>8</v>
      </c>
    </row>
    <row r="65" spans="2:8" x14ac:dyDescent="0.25">
      <c r="B65" t="str">
        <f>Master[[#This Row],[Accession Prefix (NPGS)]]&amp;" "&amp;Master[[#This Row],[Accession Number -Assigned]]&amp;" COLLECTED "&amp;TEXT(Master[[#This Row],[Date Collected or Developed]], "MM/DD/YYYY")</f>
        <v>W6 59651 COLLECTED 08/11/2020</v>
      </c>
      <c r="C65" t="str">
        <f t="shared" si="2"/>
        <v>SLOPE</v>
      </c>
      <c r="D65" s="9"/>
      <c r="F65" s="17">
        <f>IF(Master[[#This Row],[SLOPE]]="","",Master[[#This Row],[SLOPE]])</f>
        <v>10</v>
      </c>
      <c r="G65" s="76">
        <f>IF(Master[[#This Row],[SLOPE]]="","",Master[[#This Row],[SLOPE]])</f>
        <v>10</v>
      </c>
      <c r="H65" s="76">
        <f>IF(Master[[#This Row],[SLOPE Original Value]]="","",Master[[#This Row],[SLOPE Original Value]])</f>
        <v>10</v>
      </c>
    </row>
    <row r="66" spans="2:8" x14ac:dyDescent="0.25">
      <c r="B66" t="str">
        <f>Master[[#This Row],[Accession Prefix (NPGS)]]&amp;" "&amp;Master[[#This Row],[Accession Number -Assigned]]&amp;" COLLECTED "&amp;TEXT(Master[[#This Row],[Date Collected or Developed]], "MM/DD/YYYY")</f>
        <v>W6 59652 COLLECTED 08/11/2020</v>
      </c>
      <c r="C66" t="str">
        <f t="shared" si="2"/>
        <v>SLOPE</v>
      </c>
      <c r="D66" s="9"/>
      <c r="F66" s="17">
        <f>IF(Master[[#This Row],[SLOPE]]="","",Master[[#This Row],[SLOPE]])</f>
        <v>5</v>
      </c>
      <c r="G66" s="76">
        <f>IF(Master[[#This Row],[SLOPE]]="","",Master[[#This Row],[SLOPE]])</f>
        <v>5</v>
      </c>
      <c r="H66" s="76">
        <f>IF(Master[[#This Row],[SLOPE Original Value]]="","",Master[[#This Row],[SLOPE Original Value]])</f>
        <v>5</v>
      </c>
    </row>
    <row r="67" spans="2:8" x14ac:dyDescent="0.25">
      <c r="B67" t="str">
        <f>Master[[#This Row],[Accession Prefix (NPGS)]]&amp;" "&amp;Master[[#This Row],[Accession Number -Assigned]]&amp;" COLLECTED "&amp;TEXT(Master[[#This Row],[Date Collected or Developed]], "MM/DD/YYYY")</f>
        <v>W6 59653 COLLECTED 08/12/2020</v>
      </c>
      <c r="C67" t="str">
        <f t="shared" si="2"/>
        <v>SLOPE</v>
      </c>
      <c r="D67" s="9"/>
      <c r="F67" s="17">
        <f>IF(Master[[#This Row],[SLOPE]]="","",Master[[#This Row],[SLOPE]])</f>
        <v>3</v>
      </c>
      <c r="G67" s="76">
        <f>IF(Master[[#This Row],[SLOPE]]="","",Master[[#This Row],[SLOPE]])</f>
        <v>3</v>
      </c>
      <c r="H67" s="76">
        <f>IF(Master[[#This Row],[SLOPE Original Value]]="","",Master[[#This Row],[SLOPE Original Value]])</f>
        <v>3</v>
      </c>
    </row>
    <row r="68" spans="2:8" x14ac:dyDescent="0.25">
      <c r="B68" t="str">
        <f>Master[[#This Row],[Accession Prefix (NPGS)]]&amp;" "&amp;Master[[#This Row],[Accession Number -Assigned]]&amp;" COLLECTED "&amp;TEXT(Master[[#This Row],[Date Collected or Developed]], "MM/DD/YYYY")</f>
        <v>W6 59654 COLLECTED 08/12/2020</v>
      </c>
      <c r="C68" t="str">
        <f t="shared" si="2"/>
        <v>SLOPE</v>
      </c>
      <c r="D68" s="9"/>
      <c r="F68" s="17">
        <f>IF(Master[[#This Row],[SLOPE]]="","",Master[[#This Row],[SLOPE]])</f>
        <v>7</v>
      </c>
      <c r="G68" s="76">
        <f>IF(Master[[#This Row],[SLOPE]]="","",Master[[#This Row],[SLOPE]])</f>
        <v>7</v>
      </c>
      <c r="H68" s="76">
        <f>IF(Master[[#This Row],[SLOPE Original Value]]="","",Master[[#This Row],[SLOPE Original Value]])</f>
        <v>7</v>
      </c>
    </row>
    <row r="69" spans="2:8" x14ac:dyDescent="0.25">
      <c r="B69" t="str">
        <f>Master[[#This Row],[Accession Prefix (NPGS)]]&amp;" "&amp;Master[[#This Row],[Accession Number -Assigned]]&amp;" COLLECTED "&amp;TEXT(Master[[#This Row],[Date Collected or Developed]], "MM/DD/YYYY")</f>
        <v>W6 59655 COLLECTED 06/11/2020</v>
      </c>
      <c r="C69" t="str">
        <f t="shared" si="2"/>
        <v>SLOPE</v>
      </c>
      <c r="D69" s="9"/>
      <c r="F69" s="17">
        <f>IF(Master[[#This Row],[SLOPE]]="","",Master[[#This Row],[SLOPE]])</f>
        <v>30</v>
      </c>
      <c r="G69" s="76">
        <f>IF(Master[[#This Row],[SLOPE]]="","",Master[[#This Row],[SLOPE]])</f>
        <v>30</v>
      </c>
      <c r="H69" s="76">
        <f>IF(Master[[#This Row],[SLOPE Original Value]]="","",Master[[#This Row],[SLOPE Original Value]])</f>
        <v>30</v>
      </c>
    </row>
    <row r="70" spans="2:8" x14ac:dyDescent="0.25">
      <c r="B70" t="str">
        <f>Master[[#This Row],[Accession Prefix (NPGS)]]&amp;" "&amp;Master[[#This Row],[Accession Number -Assigned]]&amp;" COLLECTED "&amp;TEXT(Master[[#This Row],[Date Collected or Developed]], "MM/DD/YYYY")</f>
        <v>W6 59656 COLLECTED 06/15/2020</v>
      </c>
      <c r="C70" t="str">
        <f t="shared" si="2"/>
        <v>SLOPE</v>
      </c>
      <c r="D70" s="9"/>
      <c r="F70" s="17">
        <f>IF(Master[[#This Row],[SLOPE]]="","",Master[[#This Row],[SLOPE]])</f>
        <v>0</v>
      </c>
      <c r="G70" s="76">
        <f>IF(Master[[#This Row],[SLOPE]]="","",Master[[#This Row],[SLOPE]])</f>
        <v>0</v>
      </c>
      <c r="H70" s="76">
        <f>IF(Master[[#This Row],[SLOPE Original Value]]="","",Master[[#This Row],[SLOPE Original Value]])</f>
        <v>0</v>
      </c>
    </row>
    <row r="71" spans="2:8" x14ac:dyDescent="0.25">
      <c r="B71" t="str">
        <f>Master[[#This Row],[Accession Prefix (NPGS)]]&amp;" "&amp;Master[[#This Row],[Accession Number -Assigned]]&amp;" COLLECTED "&amp;TEXT(Master[[#This Row],[Date Collected or Developed]], "MM/DD/YYYY")</f>
        <v>W6 59657 COLLECTED 06/16/2020</v>
      </c>
      <c r="C71" t="str">
        <f t="shared" si="2"/>
        <v>SLOPE</v>
      </c>
      <c r="D71" s="9"/>
      <c r="F71" s="17">
        <f>IF(Master[[#This Row],[SLOPE]]="","",Master[[#This Row],[SLOPE]])</f>
        <v>10</v>
      </c>
      <c r="G71" s="76">
        <f>IF(Master[[#This Row],[SLOPE]]="","",Master[[#This Row],[SLOPE]])</f>
        <v>10</v>
      </c>
      <c r="H71" s="76">
        <f>IF(Master[[#This Row],[SLOPE Original Value]]="","",Master[[#This Row],[SLOPE Original Value]])</f>
        <v>10</v>
      </c>
    </row>
    <row r="72" spans="2:8" x14ac:dyDescent="0.25">
      <c r="B72" t="str">
        <f>Master[[#This Row],[Accession Prefix (NPGS)]]&amp;" "&amp;Master[[#This Row],[Accession Number -Assigned]]&amp;" COLLECTED "&amp;TEXT(Master[[#This Row],[Date Collected or Developed]], "MM/DD/YYYY")</f>
        <v>W6 59658 COLLECTED 06/16/2020</v>
      </c>
      <c r="C72" t="str">
        <f t="shared" si="2"/>
        <v>SLOPE</v>
      </c>
      <c r="D72" s="9"/>
      <c r="F72" s="17">
        <f>IF(Master[[#This Row],[SLOPE]]="","",Master[[#This Row],[SLOPE]])</f>
        <v>0</v>
      </c>
      <c r="G72" s="76">
        <f>IF(Master[[#This Row],[SLOPE]]="","",Master[[#This Row],[SLOPE]])</f>
        <v>0</v>
      </c>
      <c r="H72" s="76">
        <f>IF(Master[[#This Row],[SLOPE Original Value]]="","",Master[[#This Row],[SLOPE Original Value]])</f>
        <v>0</v>
      </c>
    </row>
    <row r="73" spans="2:8" x14ac:dyDescent="0.25">
      <c r="B73" t="str">
        <f>Master[[#This Row],[Accession Prefix (NPGS)]]&amp;" "&amp;Master[[#This Row],[Accession Number -Assigned]]&amp;" COLLECTED "&amp;TEXT(Master[[#This Row],[Date Collected or Developed]], "MM/DD/YYYY")</f>
        <v>W6 59659 COLLECTED 06/17/2020</v>
      </c>
      <c r="C73" t="str">
        <f t="shared" si="2"/>
        <v>SLOPE</v>
      </c>
      <c r="D73" s="9"/>
      <c r="F73" s="17">
        <f>IF(Master[[#This Row],[SLOPE]]="","",Master[[#This Row],[SLOPE]])</f>
        <v>10</v>
      </c>
      <c r="G73" s="76">
        <f>IF(Master[[#This Row],[SLOPE]]="","",Master[[#This Row],[SLOPE]])</f>
        <v>10</v>
      </c>
      <c r="H73" s="76">
        <f>IF(Master[[#This Row],[SLOPE Original Value]]="","",Master[[#This Row],[SLOPE Original Value]])</f>
        <v>10</v>
      </c>
    </row>
    <row r="74" spans="2:8" x14ac:dyDescent="0.25">
      <c r="B74" t="str">
        <f>Master[[#This Row],[Accession Prefix (NPGS)]]&amp;" "&amp;Master[[#This Row],[Accession Number -Assigned]]&amp;" COLLECTED "&amp;TEXT(Master[[#This Row],[Date Collected or Developed]], "MM/DD/YYYY")</f>
        <v>W6 59660 COLLECTED 06/24/2020</v>
      </c>
      <c r="C74" t="str">
        <f t="shared" si="2"/>
        <v>SLOPE</v>
      </c>
      <c r="D74" s="9"/>
      <c r="F74" s="17">
        <f>IF(Master[[#This Row],[SLOPE]]="","",Master[[#This Row],[SLOPE]])</f>
        <v>0</v>
      </c>
      <c r="G74" s="76">
        <f>IF(Master[[#This Row],[SLOPE]]="","",Master[[#This Row],[SLOPE]])</f>
        <v>0</v>
      </c>
      <c r="H74" s="76">
        <f>IF(Master[[#This Row],[SLOPE Original Value]]="","",Master[[#This Row],[SLOPE Original Value]])</f>
        <v>0</v>
      </c>
    </row>
    <row r="75" spans="2:8" x14ac:dyDescent="0.25">
      <c r="B75" t="str">
        <f>Master[[#This Row],[Accession Prefix (NPGS)]]&amp;" "&amp;Master[[#This Row],[Accession Number -Assigned]]&amp;" COLLECTED "&amp;TEXT(Master[[#This Row],[Date Collected or Developed]], "MM/DD/YYYY")</f>
        <v>W6 59661 COLLECTED 06/24/2020</v>
      </c>
      <c r="C75" t="str">
        <f t="shared" si="2"/>
        <v>SLOPE</v>
      </c>
      <c r="D75" s="9"/>
      <c r="F75" s="17">
        <f>IF(Master[[#This Row],[SLOPE]]="","",Master[[#This Row],[SLOPE]])</f>
        <v>10</v>
      </c>
      <c r="G75" s="76">
        <f>IF(Master[[#This Row],[SLOPE]]="","",Master[[#This Row],[SLOPE]])</f>
        <v>10</v>
      </c>
      <c r="H75" s="76">
        <f>IF(Master[[#This Row],[SLOPE Original Value]]="","",Master[[#This Row],[SLOPE Original Value]])</f>
        <v>10</v>
      </c>
    </row>
    <row r="76" spans="2:8" x14ac:dyDescent="0.25">
      <c r="B76" t="str">
        <f>Master[[#This Row],[Accession Prefix (NPGS)]]&amp;" "&amp;Master[[#This Row],[Accession Number -Assigned]]&amp;" COLLECTED "&amp;TEXT(Master[[#This Row],[Date Collected or Developed]], "MM/DD/YYYY")</f>
        <v>W6 59662 COLLECTED 07/01/2020</v>
      </c>
      <c r="C76" t="str">
        <f t="shared" si="2"/>
        <v>SLOPE</v>
      </c>
      <c r="D76" s="9"/>
      <c r="F76" s="17">
        <f>IF(Master[[#This Row],[SLOPE]]="","",Master[[#This Row],[SLOPE]])</f>
        <v>0</v>
      </c>
      <c r="G76" s="76">
        <f>IF(Master[[#This Row],[SLOPE]]="","",Master[[#This Row],[SLOPE]])</f>
        <v>0</v>
      </c>
      <c r="H76" s="76">
        <f>IF(Master[[#This Row],[SLOPE Original Value]]="","",Master[[#This Row],[SLOPE Original Value]])</f>
        <v>0</v>
      </c>
    </row>
    <row r="77" spans="2:8" x14ac:dyDescent="0.25">
      <c r="B77" t="str">
        <f>Master[[#This Row],[Accession Prefix (NPGS)]]&amp;" "&amp;Master[[#This Row],[Accession Number -Assigned]]&amp;" COLLECTED "&amp;TEXT(Master[[#This Row],[Date Collected or Developed]], "MM/DD/YYYY")</f>
        <v>W6 59663 COLLECTED 06/25/2020</v>
      </c>
      <c r="C77" t="str">
        <f t="shared" si="2"/>
        <v>SLOPE</v>
      </c>
      <c r="D77" s="9"/>
      <c r="F77" s="17">
        <f>IF(Master[[#This Row],[SLOPE]]="","",Master[[#This Row],[SLOPE]])</f>
        <v>30</v>
      </c>
      <c r="G77" s="76">
        <f>IF(Master[[#This Row],[SLOPE]]="","",Master[[#This Row],[SLOPE]])</f>
        <v>30</v>
      </c>
      <c r="H77" s="76">
        <f>IF(Master[[#This Row],[SLOPE Original Value]]="","",Master[[#This Row],[SLOPE Original Value]])</f>
        <v>30</v>
      </c>
    </row>
    <row r="78" spans="2:8" x14ac:dyDescent="0.25">
      <c r="B78" t="str">
        <f>Master[[#This Row],[Accession Prefix (NPGS)]]&amp;" "&amp;Master[[#This Row],[Accession Number -Assigned]]&amp;" COLLECTED "&amp;TEXT(Master[[#This Row],[Date Collected or Developed]], "MM/DD/YYYY")</f>
        <v>W6 59664 COLLECTED 08/11/2020</v>
      </c>
      <c r="C78" t="str">
        <f t="shared" si="2"/>
        <v>SLOPE</v>
      </c>
      <c r="D78" s="9"/>
      <c r="F78" s="17">
        <f>IF(Master[[#This Row],[SLOPE]]="","",Master[[#This Row],[SLOPE]])</f>
        <v>10</v>
      </c>
      <c r="G78" s="76">
        <f>IF(Master[[#This Row],[SLOPE]]="","",Master[[#This Row],[SLOPE]])</f>
        <v>10</v>
      </c>
      <c r="H78" s="76">
        <f>IF(Master[[#This Row],[SLOPE Original Value]]="","",Master[[#This Row],[SLOPE Original Value]])</f>
        <v>10</v>
      </c>
    </row>
    <row r="79" spans="2:8" x14ac:dyDescent="0.25">
      <c r="B79" t="str">
        <f>Master[[#This Row],[Accession Prefix (NPGS)]]&amp;" "&amp;Master[[#This Row],[Accession Number -Assigned]]&amp;" COLLECTED "&amp;TEXT(Master[[#This Row],[Date Collected or Developed]], "MM/DD/YYYY")</f>
        <v>W6 59665 COLLECTED 07/01/2020</v>
      </c>
      <c r="C79" t="str">
        <f t="shared" si="2"/>
        <v>SLOPE</v>
      </c>
      <c r="D79" s="9"/>
      <c r="F79" s="17">
        <f>IF(Master[[#This Row],[SLOPE]]="","",Master[[#This Row],[SLOPE]])</f>
        <v>10</v>
      </c>
      <c r="G79" s="76">
        <f>IF(Master[[#This Row],[SLOPE]]="","",Master[[#This Row],[SLOPE]])</f>
        <v>10</v>
      </c>
      <c r="H79" s="76">
        <f>IF(Master[[#This Row],[SLOPE Original Value]]="","",Master[[#This Row],[SLOPE Original Value]])</f>
        <v>10</v>
      </c>
    </row>
    <row r="80" spans="2:8" x14ac:dyDescent="0.25">
      <c r="B80" t="str">
        <f>Master[[#This Row],[Accession Prefix (NPGS)]]&amp;" "&amp;Master[[#This Row],[Accession Number -Assigned]]&amp;" COLLECTED "&amp;TEXT(Master[[#This Row],[Date Collected or Developed]], "MM/DD/YYYY")</f>
        <v>W6 59666 COLLECTED 06/29/2020</v>
      </c>
      <c r="C80" t="str">
        <f t="shared" si="2"/>
        <v>SLOPE</v>
      </c>
      <c r="D80" s="9"/>
      <c r="F80" s="17">
        <f>IF(Master[[#This Row],[SLOPE]]="","",Master[[#This Row],[SLOPE]])</f>
        <v>10</v>
      </c>
      <c r="G80" s="76">
        <f>IF(Master[[#This Row],[SLOPE]]="","",Master[[#This Row],[SLOPE]])</f>
        <v>10</v>
      </c>
      <c r="H80" s="76">
        <f>IF(Master[[#This Row],[SLOPE Original Value]]="","",Master[[#This Row],[SLOPE Original Value]])</f>
        <v>10</v>
      </c>
    </row>
    <row r="81" spans="2:8" x14ac:dyDescent="0.25">
      <c r="B81" t="str">
        <f>Master[[#This Row],[Accession Prefix (NPGS)]]&amp;" "&amp;Master[[#This Row],[Accession Number -Assigned]]&amp;" COLLECTED "&amp;TEXT(Master[[#This Row],[Date Collected or Developed]], "MM/DD/YYYY")</f>
        <v>W6 59667 COLLECTED 06/29/2020</v>
      </c>
      <c r="C81" t="str">
        <f t="shared" si="2"/>
        <v>SLOPE</v>
      </c>
      <c r="D81" s="9"/>
      <c r="F81" s="17">
        <f>IF(Master[[#This Row],[SLOPE]]="","",Master[[#This Row],[SLOPE]])</f>
        <v>30</v>
      </c>
      <c r="G81" s="76">
        <f>IF(Master[[#This Row],[SLOPE]]="","",Master[[#This Row],[SLOPE]])</f>
        <v>30</v>
      </c>
      <c r="H81" s="76">
        <f>IF(Master[[#This Row],[SLOPE Original Value]]="","",Master[[#This Row],[SLOPE Original Value]])</f>
        <v>30</v>
      </c>
    </row>
    <row r="82" spans="2:8" x14ac:dyDescent="0.25">
      <c r="B82" t="str">
        <f>Master[[#This Row],[Accession Prefix (NPGS)]]&amp;" "&amp;Master[[#This Row],[Accession Number -Assigned]]&amp;" COLLECTED "&amp;TEXT(Master[[#This Row],[Date Collected or Developed]], "MM/DD/YYYY")</f>
        <v>W6 59668 COLLECTED 07/07/2020</v>
      </c>
      <c r="C82" t="str">
        <f t="shared" si="2"/>
        <v>SLOPE</v>
      </c>
      <c r="D82" s="9"/>
      <c r="F82" s="17">
        <f>IF(Master[[#This Row],[SLOPE]]="","",Master[[#This Row],[SLOPE]])</f>
        <v>10</v>
      </c>
      <c r="G82" s="76">
        <f>IF(Master[[#This Row],[SLOPE]]="","",Master[[#This Row],[SLOPE]])</f>
        <v>10</v>
      </c>
      <c r="H82" s="76">
        <f>IF(Master[[#This Row],[SLOPE Original Value]]="","",Master[[#This Row],[SLOPE Original Value]])</f>
        <v>10</v>
      </c>
    </row>
    <row r="83" spans="2:8" x14ac:dyDescent="0.25">
      <c r="B83" t="str">
        <f>Master[[#This Row],[Accession Prefix (NPGS)]]&amp;" "&amp;Master[[#This Row],[Accession Number -Assigned]]&amp;" COLLECTED "&amp;TEXT(Master[[#This Row],[Date Collected or Developed]], "MM/DD/YYYY")</f>
        <v>W6 59669 COLLECTED 08/10/2020</v>
      </c>
      <c r="C83" t="str">
        <f t="shared" si="2"/>
        <v>SLOPE</v>
      </c>
      <c r="D83" s="9"/>
      <c r="F83" s="17">
        <f>IF(Master[[#This Row],[SLOPE]]="","",Master[[#This Row],[SLOPE]])</f>
        <v>10</v>
      </c>
      <c r="G83" s="76">
        <f>IF(Master[[#This Row],[SLOPE]]="","",Master[[#This Row],[SLOPE]])</f>
        <v>10</v>
      </c>
      <c r="H83" s="76">
        <f>IF(Master[[#This Row],[SLOPE Original Value]]="","",Master[[#This Row],[SLOPE Original Value]])</f>
        <v>10</v>
      </c>
    </row>
    <row r="84" spans="2:8" x14ac:dyDescent="0.25">
      <c r="B84" t="str">
        <f>Master[[#This Row],[Accession Prefix (NPGS)]]&amp;" "&amp;Master[[#This Row],[Accession Number -Assigned]]&amp;" COLLECTED "&amp;TEXT(Master[[#This Row],[Date Collected or Developed]], "MM/DD/YYYY")</f>
        <v>W6 59670 COLLECTED 08/11/2020</v>
      </c>
      <c r="C84" t="str">
        <f t="shared" si="2"/>
        <v>SLOPE</v>
      </c>
      <c r="D84" s="9"/>
      <c r="F84" s="17">
        <f>IF(Master[[#This Row],[SLOPE]]="","",Master[[#This Row],[SLOPE]])</f>
        <v>10</v>
      </c>
      <c r="G84" s="76">
        <f>IF(Master[[#This Row],[SLOPE]]="","",Master[[#This Row],[SLOPE]])</f>
        <v>10</v>
      </c>
      <c r="H84" s="76" t="str">
        <f>IF(Master[[#This Row],[SLOPE Original Value]]="","",Master[[#This Row],[SLOPE Original Value]])</f>
        <v>0-20</v>
      </c>
    </row>
    <row r="85" spans="2:8" x14ac:dyDescent="0.25">
      <c r="B85" t="str">
        <f>Master[[#This Row],[Accession Prefix (NPGS)]]&amp;" "&amp;Master[[#This Row],[Accession Number -Assigned]]&amp;" COLLECTED "&amp;TEXT(Master[[#This Row],[Date Collected or Developed]], "MM/DD/YYYY")</f>
        <v>W6 59671 COLLECTED 08/17/2020</v>
      </c>
      <c r="C85" t="str">
        <f t="shared" si="2"/>
        <v>SLOPE</v>
      </c>
      <c r="D85" s="9"/>
      <c r="F85" s="17">
        <f>IF(Master[[#This Row],[SLOPE]]="","",Master[[#This Row],[SLOPE]])</f>
        <v>10</v>
      </c>
      <c r="G85" s="76">
        <f>IF(Master[[#This Row],[SLOPE]]="","",Master[[#This Row],[SLOPE]])</f>
        <v>10</v>
      </c>
      <c r="H85" s="76">
        <f>IF(Master[[#This Row],[SLOPE Original Value]]="","",Master[[#This Row],[SLOPE Original Value]])</f>
        <v>10</v>
      </c>
    </row>
    <row r="86" spans="2:8" x14ac:dyDescent="0.25">
      <c r="B86" t="str">
        <f>Master[[#This Row],[Accession Prefix (NPGS)]]&amp;" "&amp;Master[[#This Row],[Accession Number -Assigned]]&amp;" COLLECTED "&amp;TEXT(Master[[#This Row],[Date Collected or Developed]], "MM/DD/YYYY")</f>
        <v>W6 59672 COLLECTED 07/16/2020</v>
      </c>
      <c r="C86" t="str">
        <f t="shared" ref="C86:C117" si="3">"SLOPE"</f>
        <v>SLOPE</v>
      </c>
      <c r="D86" s="9"/>
      <c r="F86" s="17">
        <f>IF(Master[[#This Row],[SLOPE]]="","",Master[[#This Row],[SLOPE]])</f>
        <v>10</v>
      </c>
      <c r="G86" s="76">
        <f>IF(Master[[#This Row],[SLOPE]]="","",Master[[#This Row],[SLOPE]])</f>
        <v>10</v>
      </c>
      <c r="H86" s="76">
        <f>IF(Master[[#This Row],[SLOPE Original Value]]="","",Master[[#This Row],[SLOPE Original Value]])</f>
        <v>10</v>
      </c>
    </row>
    <row r="87" spans="2:8" x14ac:dyDescent="0.25">
      <c r="B87" t="str">
        <f>Master[[#This Row],[Accession Prefix (NPGS)]]&amp;" "&amp;Master[[#This Row],[Accession Number -Assigned]]&amp;" COLLECTED "&amp;TEXT(Master[[#This Row],[Date Collected or Developed]], "MM/DD/YYYY")</f>
        <v>W6 59673 COLLECTED 07/16/2020</v>
      </c>
      <c r="C87" t="str">
        <f t="shared" si="3"/>
        <v>SLOPE</v>
      </c>
      <c r="D87" s="9"/>
      <c r="F87" s="17">
        <f>IF(Master[[#This Row],[SLOPE]]="","",Master[[#This Row],[SLOPE]])</f>
        <v>10</v>
      </c>
      <c r="G87" s="76">
        <f>IF(Master[[#This Row],[SLOPE]]="","",Master[[#This Row],[SLOPE]])</f>
        <v>10</v>
      </c>
      <c r="H87" s="76">
        <f>IF(Master[[#This Row],[SLOPE Original Value]]="","",Master[[#This Row],[SLOPE Original Value]])</f>
        <v>10</v>
      </c>
    </row>
    <row r="88" spans="2:8" x14ac:dyDescent="0.25">
      <c r="B88" t="str">
        <f>Master[[#This Row],[Accession Prefix (NPGS)]]&amp;" "&amp;Master[[#This Row],[Accession Number -Assigned]]&amp;" COLLECTED "&amp;TEXT(Master[[#This Row],[Date Collected or Developed]], "MM/DD/YYYY")</f>
        <v>W6 59674 COLLECTED 07/16/2020</v>
      </c>
      <c r="C88" t="str">
        <f t="shared" si="3"/>
        <v>SLOPE</v>
      </c>
      <c r="D88" s="9"/>
      <c r="F88" s="17">
        <f>IF(Master[[#This Row],[SLOPE]]="","",Master[[#This Row],[SLOPE]])</f>
        <v>10</v>
      </c>
      <c r="G88" s="76">
        <f>IF(Master[[#This Row],[SLOPE]]="","",Master[[#This Row],[SLOPE]])</f>
        <v>10</v>
      </c>
      <c r="H88" s="76">
        <f>IF(Master[[#This Row],[SLOPE Original Value]]="","",Master[[#This Row],[SLOPE Original Value]])</f>
        <v>10</v>
      </c>
    </row>
    <row r="89" spans="2:8" x14ac:dyDescent="0.25">
      <c r="B89" t="str">
        <f>Master[[#This Row],[Accession Prefix (NPGS)]]&amp;" "&amp;Master[[#This Row],[Accession Number -Assigned]]&amp;" COLLECTED "&amp;TEXT(Master[[#This Row],[Date Collected or Developed]], "MM/DD/YYYY")</f>
        <v>W6 59675 COLLECTED 08/26/2020</v>
      </c>
      <c r="C89" t="str">
        <f t="shared" si="3"/>
        <v>SLOPE</v>
      </c>
      <c r="D89" s="9"/>
      <c r="F89" s="17">
        <f>IF(Master[[#This Row],[SLOPE]]="","",Master[[#This Row],[SLOPE]])</f>
        <v>20</v>
      </c>
      <c r="G89" s="76">
        <f>IF(Master[[#This Row],[SLOPE]]="","",Master[[#This Row],[SLOPE]])</f>
        <v>20</v>
      </c>
      <c r="H89" s="76" t="str">
        <f>IF(Master[[#This Row],[SLOPE Original Value]]="","",Master[[#This Row],[SLOPE Original Value]])</f>
        <v>10-30</v>
      </c>
    </row>
    <row r="90" spans="2:8" x14ac:dyDescent="0.25">
      <c r="B90" t="str">
        <f>Master[[#This Row],[Accession Prefix (NPGS)]]&amp;" "&amp;Master[[#This Row],[Accession Number -Assigned]]&amp;" COLLECTED "&amp;TEXT(Master[[#This Row],[Date Collected or Developed]], "MM/DD/YYYY")</f>
        <v>W6 59676 COLLECTED 08/20/2020</v>
      </c>
      <c r="C90" t="str">
        <f t="shared" si="3"/>
        <v>SLOPE</v>
      </c>
      <c r="D90" s="9"/>
      <c r="F90" s="17">
        <f>IF(Master[[#This Row],[SLOPE]]="","",Master[[#This Row],[SLOPE]])</f>
        <v>10</v>
      </c>
      <c r="G90" s="76">
        <f>IF(Master[[#This Row],[SLOPE]]="","",Master[[#This Row],[SLOPE]])</f>
        <v>10</v>
      </c>
      <c r="H90" s="76">
        <f>IF(Master[[#This Row],[SLOPE Original Value]]="","",Master[[#This Row],[SLOPE Original Value]])</f>
        <v>10</v>
      </c>
    </row>
    <row r="91" spans="2:8" x14ac:dyDescent="0.25">
      <c r="B91" t="str">
        <f>Master[[#This Row],[Accession Prefix (NPGS)]]&amp;" "&amp;Master[[#This Row],[Accession Number -Assigned]]&amp;" COLLECTED "&amp;TEXT(Master[[#This Row],[Date Collected or Developed]], "MM/DD/YYYY")</f>
        <v>W6 59677 COLLECTED 08/20/2020</v>
      </c>
      <c r="C91" t="str">
        <f t="shared" si="3"/>
        <v>SLOPE</v>
      </c>
      <c r="D91" s="9"/>
      <c r="F91" s="17">
        <f>IF(Master[[#This Row],[SLOPE]]="","",Master[[#This Row],[SLOPE]])</f>
        <v>10</v>
      </c>
      <c r="G91" s="76">
        <f>IF(Master[[#This Row],[SLOPE]]="","",Master[[#This Row],[SLOPE]])</f>
        <v>10</v>
      </c>
      <c r="H91" s="76">
        <f>IF(Master[[#This Row],[SLOPE Original Value]]="","",Master[[#This Row],[SLOPE Original Value]])</f>
        <v>10</v>
      </c>
    </row>
    <row r="92" spans="2:8" x14ac:dyDescent="0.25">
      <c r="B92" t="str">
        <f>Master[[#This Row],[Accession Prefix (NPGS)]]&amp;" "&amp;Master[[#This Row],[Accession Number -Assigned]]&amp;" COLLECTED "&amp;TEXT(Master[[#This Row],[Date Collected or Developed]], "MM/DD/YYYY")</f>
        <v>W6 59678 COLLECTED 10/01/2020</v>
      </c>
      <c r="C92" t="str">
        <f t="shared" si="3"/>
        <v>SLOPE</v>
      </c>
      <c r="D92" s="9"/>
      <c r="F92" s="17">
        <f>IF(Master[[#This Row],[SLOPE]]="","",Master[[#This Row],[SLOPE]])</f>
        <v>0</v>
      </c>
      <c r="G92" s="76">
        <f>IF(Master[[#This Row],[SLOPE]]="","",Master[[#This Row],[SLOPE]])</f>
        <v>0</v>
      </c>
      <c r="H92" s="76">
        <f>IF(Master[[#This Row],[SLOPE Original Value]]="","",Master[[#This Row],[SLOPE Original Value]])</f>
        <v>0</v>
      </c>
    </row>
    <row r="93" spans="2:8" x14ac:dyDescent="0.25">
      <c r="B93" t="str">
        <f>Master[[#This Row],[Accession Prefix (NPGS)]]&amp;" "&amp;Master[[#This Row],[Accession Number -Assigned]]&amp;" COLLECTED "&amp;TEXT(Master[[#This Row],[Date Collected or Developed]], "MM/DD/YYYY")</f>
        <v>W6 59679 COLLECTED 09/30/2020</v>
      </c>
      <c r="C93" t="str">
        <f t="shared" si="3"/>
        <v>SLOPE</v>
      </c>
      <c r="D93" s="9"/>
      <c r="F93" s="17">
        <f>IF(Master[[#This Row],[SLOPE]]="","",Master[[#This Row],[SLOPE]])</f>
        <v>0</v>
      </c>
      <c r="G93" s="76">
        <f>IF(Master[[#This Row],[SLOPE]]="","",Master[[#This Row],[SLOPE]])</f>
        <v>0</v>
      </c>
      <c r="H93" s="76">
        <f>IF(Master[[#This Row],[SLOPE Original Value]]="","",Master[[#This Row],[SLOPE Original Value]])</f>
        <v>0</v>
      </c>
    </row>
    <row r="94" spans="2:8" x14ac:dyDescent="0.25">
      <c r="B94" t="str">
        <f>Master[[#This Row],[Accession Prefix (NPGS)]]&amp;" "&amp;Master[[#This Row],[Accession Number -Assigned]]&amp;" COLLECTED "&amp;TEXT(Master[[#This Row],[Date Collected or Developed]], "MM/DD/YYYY")</f>
        <v>W6 59680 COLLECTED 10/01/2020</v>
      </c>
      <c r="C94" t="str">
        <f t="shared" si="3"/>
        <v>SLOPE</v>
      </c>
      <c r="D94" s="9"/>
      <c r="F94" s="17">
        <f>IF(Master[[#This Row],[SLOPE]]="","",Master[[#This Row],[SLOPE]])</f>
        <v>20</v>
      </c>
      <c r="G94" s="76">
        <f>IF(Master[[#This Row],[SLOPE]]="","",Master[[#This Row],[SLOPE]])</f>
        <v>20</v>
      </c>
      <c r="H94" s="76" t="str">
        <f>IF(Master[[#This Row],[SLOPE Original Value]]="","",Master[[#This Row],[SLOPE Original Value]])</f>
        <v>10-30</v>
      </c>
    </row>
    <row r="95" spans="2:8" x14ac:dyDescent="0.25">
      <c r="B95" t="str">
        <f>Master[[#This Row],[Accession Prefix (NPGS)]]&amp;" "&amp;Master[[#This Row],[Accession Number -Assigned]]&amp;" COLLECTED "&amp;TEXT(Master[[#This Row],[Date Collected or Developed]], "MM/DD/YYYY")</f>
        <v>W6 59681 COLLECTED 08/15/2020</v>
      </c>
      <c r="C95" t="str">
        <f t="shared" si="3"/>
        <v>SLOPE</v>
      </c>
      <c r="D95" s="9"/>
      <c r="F95" s="17">
        <f>IF(Master[[#This Row],[SLOPE]]="","",Master[[#This Row],[SLOPE]])</f>
        <v>10</v>
      </c>
      <c r="G95" s="76">
        <f>IF(Master[[#This Row],[SLOPE]]="","",Master[[#This Row],[SLOPE]])</f>
        <v>10</v>
      </c>
      <c r="H95" s="76">
        <f>IF(Master[[#This Row],[SLOPE Original Value]]="","",Master[[#This Row],[SLOPE Original Value]])</f>
        <v>10</v>
      </c>
    </row>
    <row r="96" spans="2:8" x14ac:dyDescent="0.25">
      <c r="B96" t="str">
        <f>Master[[#This Row],[Accession Prefix (NPGS)]]&amp;" "&amp;Master[[#This Row],[Accession Number -Assigned]]&amp;" COLLECTED "&amp;TEXT(Master[[#This Row],[Date Collected or Developed]], "MM/DD/YYYY")</f>
        <v>W6 59682 COLLECTED 09/30/2020</v>
      </c>
      <c r="C96" t="str">
        <f t="shared" si="3"/>
        <v>SLOPE</v>
      </c>
      <c r="D96" s="9"/>
      <c r="F96" s="17">
        <f>IF(Master[[#This Row],[SLOPE]]="","",Master[[#This Row],[SLOPE]])</f>
        <v>0</v>
      </c>
      <c r="G96" s="76">
        <f>IF(Master[[#This Row],[SLOPE]]="","",Master[[#This Row],[SLOPE]])</f>
        <v>0</v>
      </c>
      <c r="H96" s="76">
        <f>IF(Master[[#This Row],[SLOPE Original Value]]="","",Master[[#This Row],[SLOPE Original Value]])</f>
        <v>0</v>
      </c>
    </row>
    <row r="97" spans="2:8" x14ac:dyDescent="0.25">
      <c r="B97" t="str">
        <f>Master[[#This Row],[Accession Prefix (NPGS)]]&amp;" "&amp;Master[[#This Row],[Accession Number -Assigned]]&amp;" COLLECTED "&amp;TEXT(Master[[#This Row],[Date Collected or Developed]], "MM/DD/YYYY")</f>
        <v>W6 59683 COLLECTED 07/08/2020</v>
      </c>
      <c r="C97" t="str">
        <f t="shared" si="3"/>
        <v>SLOPE</v>
      </c>
      <c r="D97" s="9"/>
      <c r="F97" s="17">
        <f>IF(Master[[#This Row],[SLOPE]]="","",Master[[#This Row],[SLOPE]])</f>
        <v>15</v>
      </c>
      <c r="G97" s="76">
        <f>IF(Master[[#This Row],[SLOPE]]="","",Master[[#This Row],[SLOPE]])</f>
        <v>15</v>
      </c>
      <c r="H97" s="76">
        <f>IF(Master[[#This Row],[SLOPE Original Value]]="","",Master[[#This Row],[SLOPE Original Value]])</f>
        <v>15</v>
      </c>
    </row>
    <row r="98" spans="2:8" x14ac:dyDescent="0.25">
      <c r="B98" t="str">
        <f>Master[[#This Row],[Accession Prefix (NPGS)]]&amp;" "&amp;Master[[#This Row],[Accession Number -Assigned]]&amp;" COLLECTED "&amp;TEXT(Master[[#This Row],[Date Collected or Developed]], "MM/DD/YYYY")</f>
        <v>W6 59684 COLLECTED 06/15/2020</v>
      </c>
      <c r="C98" t="str">
        <f t="shared" si="3"/>
        <v>SLOPE</v>
      </c>
      <c r="D98" s="9"/>
      <c r="F98" s="17">
        <f>IF(Master[[#This Row],[SLOPE]]="","",Master[[#This Row],[SLOPE]])</f>
        <v>8</v>
      </c>
      <c r="G98" s="76">
        <f>IF(Master[[#This Row],[SLOPE]]="","",Master[[#This Row],[SLOPE]])</f>
        <v>8</v>
      </c>
      <c r="H98" s="76" t="str">
        <f>IF(Master[[#This Row],[SLOPE Original Value]]="","",Master[[#This Row],[SLOPE Original Value]])</f>
        <v>3-13</v>
      </c>
    </row>
    <row r="99" spans="2:8" x14ac:dyDescent="0.25">
      <c r="B99" t="str">
        <f>Master[[#This Row],[Accession Prefix (NPGS)]]&amp;" "&amp;Master[[#This Row],[Accession Number -Assigned]]&amp;" COLLECTED "&amp;TEXT(Master[[#This Row],[Date Collected or Developed]], "MM/DD/YYYY")</f>
        <v>W6 59685 COLLECTED 06/16/2020</v>
      </c>
      <c r="C99" t="str">
        <f t="shared" si="3"/>
        <v>SLOPE</v>
      </c>
      <c r="D99" s="9"/>
      <c r="F99" s="17">
        <f>IF(Master[[#This Row],[SLOPE]]="","",Master[[#This Row],[SLOPE]])</f>
        <v>4</v>
      </c>
      <c r="G99" s="76">
        <f>IF(Master[[#This Row],[SLOPE]]="","",Master[[#This Row],[SLOPE]])</f>
        <v>4</v>
      </c>
      <c r="H99" s="76">
        <f>IF(Master[[#This Row],[SLOPE Original Value]]="","",Master[[#This Row],[SLOPE Original Value]])</f>
        <v>4</v>
      </c>
    </row>
    <row r="100" spans="2:8" x14ac:dyDescent="0.25">
      <c r="B100" t="str">
        <f>Master[[#This Row],[Accession Prefix (NPGS)]]&amp;" "&amp;Master[[#This Row],[Accession Number -Assigned]]&amp;" COLLECTED "&amp;TEXT(Master[[#This Row],[Date Collected or Developed]], "MM/DD/YYYY")</f>
        <v>W6 59686 COLLECTED 06/17/2020</v>
      </c>
      <c r="C100" t="str">
        <f t="shared" si="3"/>
        <v>SLOPE</v>
      </c>
      <c r="D100" s="9"/>
      <c r="F100" s="17" t="str">
        <f>IF(Master[[#This Row],[SLOPE]]="","",Master[[#This Row],[SLOPE]])</f>
        <v/>
      </c>
      <c r="G100" s="76" t="str">
        <f>IF(Master[[#This Row],[SLOPE]]="","",Master[[#This Row],[SLOPE]])</f>
        <v/>
      </c>
      <c r="H100" s="76" t="str">
        <f>IF(Master[[#This Row],[SLOPE Original Value]]="","",Master[[#This Row],[SLOPE Original Value]])</f>
        <v/>
      </c>
    </row>
    <row r="101" spans="2:8" x14ac:dyDescent="0.25">
      <c r="B101" t="str">
        <f>Master[[#This Row],[Accession Prefix (NPGS)]]&amp;" "&amp;Master[[#This Row],[Accession Number -Assigned]]&amp;" COLLECTED "&amp;TEXT(Master[[#This Row],[Date Collected or Developed]], "MM/DD/YYYY")</f>
        <v>W6 59687 COLLECTED 06/23/2020</v>
      </c>
      <c r="C101" t="str">
        <f t="shared" si="3"/>
        <v>SLOPE</v>
      </c>
      <c r="D101" s="9"/>
      <c r="F101" s="17">
        <f>IF(Master[[#This Row],[SLOPE]]="","",Master[[#This Row],[SLOPE]])</f>
        <v>7.5</v>
      </c>
      <c r="G101" s="76">
        <f>IF(Master[[#This Row],[SLOPE]]="","",Master[[#This Row],[SLOPE]])</f>
        <v>7.5</v>
      </c>
      <c r="H101" s="76" t="str">
        <f>IF(Master[[#This Row],[SLOPE Original Value]]="","",Master[[#This Row],[SLOPE Original Value]])</f>
        <v>5-10</v>
      </c>
    </row>
    <row r="102" spans="2:8" x14ac:dyDescent="0.25">
      <c r="B102" t="str">
        <f>Master[[#This Row],[Accession Prefix (NPGS)]]&amp;" "&amp;Master[[#This Row],[Accession Number -Assigned]]&amp;" COLLECTED "&amp;TEXT(Master[[#This Row],[Date Collected or Developed]], "MM/DD/YYYY")</f>
        <v>W6 59688 COLLECTED 06/25/2020</v>
      </c>
      <c r="C102" t="str">
        <f t="shared" si="3"/>
        <v>SLOPE</v>
      </c>
      <c r="D102" s="9"/>
      <c r="F102" s="17">
        <f>IF(Master[[#This Row],[SLOPE]]="","",Master[[#This Row],[SLOPE]])</f>
        <v>9</v>
      </c>
      <c r="G102" s="76">
        <f>IF(Master[[#This Row],[SLOPE]]="","",Master[[#This Row],[SLOPE]])</f>
        <v>9</v>
      </c>
      <c r="H102" s="76">
        <f>IF(Master[[#This Row],[SLOPE Original Value]]="","",Master[[#This Row],[SLOPE Original Value]])</f>
        <v>9</v>
      </c>
    </row>
    <row r="103" spans="2:8" x14ac:dyDescent="0.25">
      <c r="B103" t="str">
        <f>Master[[#This Row],[Accession Prefix (NPGS)]]&amp;" "&amp;Master[[#This Row],[Accession Number -Assigned]]&amp;" COLLECTED "&amp;TEXT(Master[[#This Row],[Date Collected or Developed]], "MM/DD/YYYY")</f>
        <v>W6 59689 COLLECTED 06/30/2020</v>
      </c>
      <c r="C103" t="str">
        <f t="shared" si="3"/>
        <v>SLOPE</v>
      </c>
      <c r="D103" s="9"/>
      <c r="F103" s="17">
        <f>IF(Master[[#This Row],[SLOPE]]="","",Master[[#This Row],[SLOPE]])</f>
        <v>9</v>
      </c>
      <c r="G103" s="76">
        <f>IF(Master[[#This Row],[SLOPE]]="","",Master[[#This Row],[SLOPE]])</f>
        <v>9</v>
      </c>
      <c r="H103" s="76" t="str">
        <f>IF(Master[[#This Row],[SLOPE Original Value]]="","",Master[[#This Row],[SLOPE Original Value]])</f>
        <v>3-15</v>
      </c>
    </row>
    <row r="104" spans="2:8" x14ac:dyDescent="0.25">
      <c r="B104" t="str">
        <f>Master[[#This Row],[Accession Prefix (NPGS)]]&amp;" "&amp;Master[[#This Row],[Accession Number -Assigned]]&amp;" COLLECTED "&amp;TEXT(Master[[#This Row],[Date Collected or Developed]], "MM/DD/YYYY")</f>
        <v>W6 59690 COLLECTED 06/30/2020</v>
      </c>
      <c r="C104" t="str">
        <f t="shared" si="3"/>
        <v>SLOPE</v>
      </c>
      <c r="D104" s="9"/>
      <c r="F104" s="17">
        <f>IF(Master[[#This Row],[SLOPE]]="","",Master[[#This Row],[SLOPE]])</f>
        <v>9.5</v>
      </c>
      <c r="G104" s="76">
        <f>IF(Master[[#This Row],[SLOPE]]="","",Master[[#This Row],[SLOPE]])</f>
        <v>9.5</v>
      </c>
      <c r="H104" s="76" t="str">
        <f>IF(Master[[#This Row],[SLOPE Original Value]]="","",Master[[#This Row],[SLOPE Original Value]])</f>
        <v>0-19</v>
      </c>
    </row>
    <row r="105" spans="2:8" x14ac:dyDescent="0.25">
      <c r="B105" t="str">
        <f>Master[[#This Row],[Accession Prefix (NPGS)]]&amp;" "&amp;Master[[#This Row],[Accession Number -Assigned]]&amp;" COLLECTED "&amp;TEXT(Master[[#This Row],[Date Collected or Developed]], "MM/DD/YYYY")</f>
        <v>W6 59691 COLLECTED 07/07/2020</v>
      </c>
      <c r="C105" t="str">
        <f t="shared" si="3"/>
        <v>SLOPE</v>
      </c>
      <c r="D105" s="9"/>
      <c r="F105" s="17">
        <f>IF(Master[[#This Row],[SLOPE]]="","",Master[[#This Row],[SLOPE]])</f>
        <v>3</v>
      </c>
      <c r="G105" s="76">
        <f>IF(Master[[#This Row],[SLOPE]]="","",Master[[#This Row],[SLOPE]])</f>
        <v>3</v>
      </c>
      <c r="H105" s="76">
        <f>IF(Master[[#This Row],[SLOPE Original Value]]="","",Master[[#This Row],[SLOPE Original Value]])</f>
        <v>3</v>
      </c>
    </row>
    <row r="106" spans="2:8" x14ac:dyDescent="0.25">
      <c r="B106" t="str">
        <f>Master[[#This Row],[Accession Prefix (NPGS)]]&amp;" "&amp;Master[[#This Row],[Accession Number -Assigned]]&amp;" COLLECTED "&amp;TEXT(Master[[#This Row],[Date Collected or Developed]], "MM/DD/YYYY")</f>
        <v>W6 59692 COLLECTED 07/08/2020</v>
      </c>
      <c r="C106" t="str">
        <f t="shared" si="3"/>
        <v>SLOPE</v>
      </c>
      <c r="D106" s="9"/>
      <c r="F106" s="17">
        <f>IF(Master[[#This Row],[SLOPE]]="","",Master[[#This Row],[SLOPE]])</f>
        <v>11.5</v>
      </c>
      <c r="G106" s="76">
        <f>IF(Master[[#This Row],[SLOPE]]="","",Master[[#This Row],[SLOPE]])</f>
        <v>11.5</v>
      </c>
      <c r="H106" s="76" t="str">
        <f>IF(Master[[#This Row],[SLOPE Original Value]]="","",Master[[#This Row],[SLOPE Original Value]])</f>
        <v>0-23</v>
      </c>
    </row>
    <row r="107" spans="2:8" x14ac:dyDescent="0.25">
      <c r="B107" t="str">
        <f>Master[[#This Row],[Accession Prefix (NPGS)]]&amp;" "&amp;Master[[#This Row],[Accession Number -Assigned]]&amp;" COLLECTED "&amp;TEXT(Master[[#This Row],[Date Collected or Developed]], "MM/DD/YYYY")</f>
        <v>W6 59693 COLLECTED 07/09/2020</v>
      </c>
      <c r="C107" t="str">
        <f t="shared" si="3"/>
        <v>SLOPE</v>
      </c>
      <c r="D107" s="9"/>
      <c r="F107" s="17">
        <f>IF(Master[[#This Row],[SLOPE]]="","",Master[[#This Row],[SLOPE]])</f>
        <v>9</v>
      </c>
      <c r="G107" s="76">
        <f>IF(Master[[#This Row],[SLOPE]]="","",Master[[#This Row],[SLOPE]])</f>
        <v>9</v>
      </c>
      <c r="H107" s="76">
        <f>IF(Master[[#This Row],[SLOPE Original Value]]="","",Master[[#This Row],[SLOPE Original Value]])</f>
        <v>9</v>
      </c>
    </row>
    <row r="108" spans="2:8" x14ac:dyDescent="0.25">
      <c r="B108" t="str">
        <f>Master[[#This Row],[Accession Prefix (NPGS)]]&amp;" "&amp;Master[[#This Row],[Accession Number -Assigned]]&amp;" COLLECTED "&amp;TEXT(Master[[#This Row],[Date Collected or Developed]], "MM/DD/YYYY")</f>
        <v>W6 59694 COLLECTED 07/13/2020</v>
      </c>
      <c r="C108" t="str">
        <f t="shared" si="3"/>
        <v>SLOPE</v>
      </c>
      <c r="D108" s="9"/>
      <c r="F108" s="17">
        <f>IF(Master[[#This Row],[SLOPE]]="","",Master[[#This Row],[SLOPE]])</f>
        <v>6</v>
      </c>
      <c r="G108" s="76">
        <f>IF(Master[[#This Row],[SLOPE]]="","",Master[[#This Row],[SLOPE]])</f>
        <v>6</v>
      </c>
      <c r="H108" s="76" t="str">
        <f>IF(Master[[#This Row],[SLOPE Original Value]]="","",Master[[#This Row],[SLOPE Original Value]])</f>
        <v>2-10</v>
      </c>
    </row>
    <row r="109" spans="2:8" x14ac:dyDescent="0.25">
      <c r="B109" t="str">
        <f>Master[[#This Row],[Accession Prefix (NPGS)]]&amp;" "&amp;Master[[#This Row],[Accession Number -Assigned]]&amp;" COLLECTED "&amp;TEXT(Master[[#This Row],[Date Collected or Developed]], "MM/DD/YYYY")</f>
        <v>W6 59695 COLLECTED 07/14/2020</v>
      </c>
      <c r="C109" t="str">
        <f t="shared" si="3"/>
        <v>SLOPE</v>
      </c>
      <c r="D109" s="9"/>
      <c r="F109" s="17">
        <f>IF(Master[[#This Row],[SLOPE]]="","",Master[[#This Row],[SLOPE]])</f>
        <v>6</v>
      </c>
      <c r="G109" s="76">
        <f>IF(Master[[#This Row],[SLOPE]]="","",Master[[#This Row],[SLOPE]])</f>
        <v>6</v>
      </c>
      <c r="H109" s="76" t="str">
        <f>IF(Master[[#This Row],[SLOPE Original Value]]="","",Master[[#This Row],[SLOPE Original Value]])</f>
        <v>1-11</v>
      </c>
    </row>
    <row r="110" spans="2:8" x14ac:dyDescent="0.25">
      <c r="B110" t="str">
        <f>Master[[#This Row],[Accession Prefix (NPGS)]]&amp;" "&amp;Master[[#This Row],[Accession Number -Assigned]]&amp;" COLLECTED "&amp;TEXT(Master[[#This Row],[Date Collected or Developed]], "MM/DD/YYYY")</f>
        <v>W6 59696 COLLECTED 07/15/2020</v>
      </c>
      <c r="C110" t="str">
        <f t="shared" si="3"/>
        <v>SLOPE</v>
      </c>
      <c r="D110" s="9"/>
      <c r="F110" s="17">
        <f>IF(Master[[#This Row],[SLOPE]]="","",Master[[#This Row],[SLOPE]])</f>
        <v>12.5</v>
      </c>
      <c r="G110" s="76">
        <f>IF(Master[[#This Row],[SLOPE]]="","",Master[[#This Row],[SLOPE]])</f>
        <v>12.5</v>
      </c>
      <c r="H110" s="76" t="str">
        <f>IF(Master[[#This Row],[SLOPE Original Value]]="","",Master[[#This Row],[SLOPE Original Value]])</f>
        <v>0-25</v>
      </c>
    </row>
    <row r="111" spans="2:8" x14ac:dyDescent="0.25">
      <c r="B111" t="str">
        <f>Master[[#This Row],[Accession Prefix (NPGS)]]&amp;" "&amp;Master[[#This Row],[Accession Number -Assigned]]&amp;" COLLECTED "&amp;TEXT(Master[[#This Row],[Date Collected or Developed]], "MM/DD/YYYY")</f>
        <v>W6 59697 COLLECTED 07/15/2020</v>
      </c>
      <c r="C111" t="str">
        <f t="shared" si="3"/>
        <v>SLOPE</v>
      </c>
      <c r="D111" s="9"/>
      <c r="F111" s="17">
        <f>IF(Master[[#This Row],[SLOPE]]="","",Master[[#This Row],[SLOPE]])</f>
        <v>12</v>
      </c>
      <c r="G111" s="76">
        <f>IF(Master[[#This Row],[SLOPE]]="","",Master[[#This Row],[SLOPE]])</f>
        <v>12</v>
      </c>
      <c r="H111" s="76" t="str">
        <f>IF(Master[[#This Row],[SLOPE Original Value]]="","",Master[[#This Row],[SLOPE Original Value]])</f>
        <v>4-20</v>
      </c>
    </row>
    <row r="112" spans="2:8" x14ac:dyDescent="0.25">
      <c r="B112" t="str">
        <f>Master[[#This Row],[Accession Prefix (NPGS)]]&amp;" "&amp;Master[[#This Row],[Accession Number -Assigned]]&amp;" COLLECTED "&amp;TEXT(Master[[#This Row],[Date Collected or Developed]], "MM/DD/YYYY")</f>
        <v>W6 59698 COLLECTED 07/16/2020</v>
      </c>
      <c r="C112" t="str">
        <f t="shared" si="3"/>
        <v>SLOPE</v>
      </c>
      <c r="D112" s="9"/>
      <c r="F112" s="17">
        <f>IF(Master[[#This Row],[SLOPE]]="","",Master[[#This Row],[SLOPE]])</f>
        <v>0.5</v>
      </c>
      <c r="G112" s="76">
        <f>IF(Master[[#This Row],[SLOPE]]="","",Master[[#This Row],[SLOPE]])</f>
        <v>0.5</v>
      </c>
      <c r="H112" s="76" t="str">
        <f>IF(Master[[#This Row],[SLOPE Original Value]]="","",Master[[#This Row],[SLOPE Original Value]])</f>
        <v>0-1</v>
      </c>
    </row>
    <row r="113" spans="2:8" x14ac:dyDescent="0.25">
      <c r="B113" t="str">
        <f>Master[[#This Row],[Accession Prefix (NPGS)]]&amp;" "&amp;Master[[#This Row],[Accession Number -Assigned]]&amp;" COLLECTED "&amp;TEXT(Master[[#This Row],[Date Collected or Developed]], "MM/DD/YYYY")</f>
        <v>W6 59699 COLLECTED 07/27/2020</v>
      </c>
      <c r="C113" t="str">
        <f t="shared" si="3"/>
        <v>SLOPE</v>
      </c>
      <c r="D113" s="9"/>
      <c r="F113" s="17">
        <f>IF(Master[[#This Row],[SLOPE]]="","",Master[[#This Row],[SLOPE]])</f>
        <v>10</v>
      </c>
      <c r="G113" s="76">
        <f>IF(Master[[#This Row],[SLOPE]]="","",Master[[#This Row],[SLOPE]])</f>
        <v>10</v>
      </c>
      <c r="H113" s="76" t="str">
        <f>IF(Master[[#This Row],[SLOPE Original Value]]="","",Master[[#This Row],[SLOPE Original Value]])</f>
        <v>3-17</v>
      </c>
    </row>
    <row r="114" spans="2:8" x14ac:dyDescent="0.25">
      <c r="B114" t="str">
        <f>Master[[#This Row],[Accession Prefix (NPGS)]]&amp;" "&amp;Master[[#This Row],[Accession Number -Assigned]]&amp;" COLLECTED "&amp;TEXT(Master[[#This Row],[Date Collected or Developed]], "MM/DD/YYYY")</f>
        <v>W6 59700 COLLECTED 08/03/2020</v>
      </c>
      <c r="C114" t="str">
        <f t="shared" si="3"/>
        <v>SLOPE</v>
      </c>
      <c r="D114" s="9"/>
      <c r="F114" s="17">
        <f>IF(Master[[#This Row],[SLOPE]]="","",Master[[#This Row],[SLOPE]])</f>
        <v>8.5</v>
      </c>
      <c r="G114" s="76">
        <f>IF(Master[[#This Row],[SLOPE]]="","",Master[[#This Row],[SLOPE]])</f>
        <v>8.5</v>
      </c>
      <c r="H114" s="76" t="str">
        <f>IF(Master[[#This Row],[SLOPE Original Value]]="","",Master[[#This Row],[SLOPE Original Value]])</f>
        <v>0-17</v>
      </c>
    </row>
    <row r="115" spans="2:8" x14ac:dyDescent="0.25">
      <c r="B115" t="str">
        <f>Master[[#This Row],[Accession Prefix (NPGS)]]&amp;" "&amp;Master[[#This Row],[Accession Number -Assigned]]&amp;" COLLECTED "&amp;TEXT(Master[[#This Row],[Date Collected or Developed]], "MM/DD/YYYY")</f>
        <v>W6 59701 COLLECTED 08/05/2020</v>
      </c>
      <c r="C115" t="str">
        <f t="shared" si="3"/>
        <v>SLOPE</v>
      </c>
      <c r="D115" s="9"/>
      <c r="F115" s="17">
        <f>IF(Master[[#This Row],[SLOPE]]="","",Master[[#This Row],[SLOPE]])</f>
        <v>2</v>
      </c>
      <c r="G115" s="76">
        <f>IF(Master[[#This Row],[SLOPE]]="","",Master[[#This Row],[SLOPE]])</f>
        <v>2</v>
      </c>
      <c r="H115" s="76" t="str">
        <f>IF(Master[[#This Row],[SLOPE Original Value]]="","",Master[[#This Row],[SLOPE Original Value]])</f>
        <v>0-4</v>
      </c>
    </row>
    <row r="116" spans="2:8" x14ac:dyDescent="0.25">
      <c r="B116" t="str">
        <f>Master[[#This Row],[Accession Prefix (NPGS)]]&amp;" "&amp;Master[[#This Row],[Accession Number -Assigned]]&amp;" COLLECTED "&amp;TEXT(Master[[#This Row],[Date Collected or Developed]], "MM/DD/YYYY")</f>
        <v>W6 59702 COLLECTED 08/05/2020</v>
      </c>
      <c r="C116" t="str">
        <f t="shared" si="3"/>
        <v>SLOPE</v>
      </c>
      <c r="D116" s="9"/>
      <c r="F116" s="17">
        <f>IF(Master[[#This Row],[SLOPE]]="","",Master[[#This Row],[SLOPE]])</f>
        <v>2</v>
      </c>
      <c r="G116" s="76">
        <f>IF(Master[[#This Row],[SLOPE]]="","",Master[[#This Row],[SLOPE]])</f>
        <v>2</v>
      </c>
      <c r="H116" s="76" t="str">
        <f>IF(Master[[#This Row],[SLOPE Original Value]]="","",Master[[#This Row],[SLOPE Original Value]])</f>
        <v>0-4</v>
      </c>
    </row>
    <row r="117" spans="2:8" x14ac:dyDescent="0.25">
      <c r="B117" t="str">
        <f>Master[[#This Row],[Accession Prefix (NPGS)]]&amp;" "&amp;Master[[#This Row],[Accession Number -Assigned]]&amp;" COLLECTED "&amp;TEXT(Master[[#This Row],[Date Collected or Developed]], "MM/DD/YYYY")</f>
        <v>W6 59703 COLLECTED 08/06/2020</v>
      </c>
      <c r="C117" t="str">
        <f t="shared" si="3"/>
        <v>SLOPE</v>
      </c>
      <c r="D117" s="9"/>
      <c r="F117" s="17">
        <f>IF(Master[[#This Row],[SLOPE]]="","",Master[[#This Row],[SLOPE]])</f>
        <v>7.5</v>
      </c>
      <c r="G117" s="76">
        <f>IF(Master[[#This Row],[SLOPE]]="","",Master[[#This Row],[SLOPE]])</f>
        <v>7.5</v>
      </c>
      <c r="H117" s="76" t="str">
        <f>IF(Master[[#This Row],[SLOPE Original Value]]="","",Master[[#This Row],[SLOPE Original Value]])</f>
        <v>0-13</v>
      </c>
    </row>
    <row r="118" spans="2:8" x14ac:dyDescent="0.25">
      <c r="B118" t="str">
        <f>Master[[#This Row],[Accession Prefix (NPGS)]]&amp;" "&amp;Master[[#This Row],[Accession Number -Assigned]]&amp;" COLLECTED "&amp;TEXT(Master[[#This Row],[Date Collected or Developed]], "MM/DD/YYYY")</f>
        <v>W6 59704 COLLECTED 08/10/2020</v>
      </c>
      <c r="C118" t="str">
        <f t="shared" ref="C118:C149" si="4">"SLOPE"</f>
        <v>SLOPE</v>
      </c>
      <c r="D118" s="9"/>
      <c r="F118" s="17">
        <f>IF(Master[[#This Row],[SLOPE]]="","",Master[[#This Row],[SLOPE]])</f>
        <v>13.5</v>
      </c>
      <c r="G118" s="76">
        <f>IF(Master[[#This Row],[SLOPE]]="","",Master[[#This Row],[SLOPE]])</f>
        <v>13.5</v>
      </c>
      <c r="H118" s="76" t="str">
        <f>IF(Master[[#This Row],[SLOPE Original Value]]="","",Master[[#This Row],[SLOPE Original Value]])</f>
        <v>0-27</v>
      </c>
    </row>
    <row r="119" spans="2:8" x14ac:dyDescent="0.25">
      <c r="B119" t="str">
        <f>Master[[#This Row],[Accession Prefix (NPGS)]]&amp;" "&amp;Master[[#This Row],[Accession Number -Assigned]]&amp;" COLLECTED "&amp;TEXT(Master[[#This Row],[Date Collected or Developed]], "MM/DD/YYYY")</f>
        <v>W6 59705 COLLECTED 08/13/2020</v>
      </c>
      <c r="C119" t="str">
        <f t="shared" si="4"/>
        <v>SLOPE</v>
      </c>
      <c r="D119" s="9"/>
      <c r="F119" s="17">
        <f>IF(Master[[#This Row],[SLOPE]]="","",Master[[#This Row],[SLOPE]])</f>
        <v>11.5</v>
      </c>
      <c r="G119" s="76">
        <f>IF(Master[[#This Row],[SLOPE]]="","",Master[[#This Row],[SLOPE]])</f>
        <v>11.5</v>
      </c>
      <c r="H119" s="76" t="str">
        <f>IF(Master[[#This Row],[SLOPE Original Value]]="","",Master[[#This Row],[SLOPE Original Value]])</f>
        <v>8-15</v>
      </c>
    </row>
    <row r="120" spans="2:8" x14ac:dyDescent="0.25">
      <c r="B120" t="str">
        <f>Master[[#This Row],[Accession Prefix (NPGS)]]&amp;" "&amp;Master[[#This Row],[Accession Number -Assigned]]&amp;" COLLECTED "&amp;TEXT(Master[[#This Row],[Date Collected or Developed]], "MM/DD/YYYY")</f>
        <v>W6 59706 COLLECTED 08/17/2020</v>
      </c>
      <c r="C120" t="str">
        <f t="shared" si="4"/>
        <v>SLOPE</v>
      </c>
      <c r="D120" s="9"/>
      <c r="F120" s="17">
        <f>IF(Master[[#This Row],[SLOPE]]="","",Master[[#This Row],[SLOPE]])</f>
        <v>10.5</v>
      </c>
      <c r="G120" s="76">
        <f>IF(Master[[#This Row],[SLOPE]]="","",Master[[#This Row],[SLOPE]])</f>
        <v>10.5</v>
      </c>
      <c r="H120" s="76" t="str">
        <f>IF(Master[[#This Row],[SLOPE Original Value]]="","",Master[[#This Row],[SLOPE Original Value]])</f>
        <v>5-16</v>
      </c>
    </row>
    <row r="121" spans="2:8" x14ac:dyDescent="0.25">
      <c r="B121" t="str">
        <f>Master[[#This Row],[Accession Prefix (NPGS)]]&amp;" "&amp;Master[[#This Row],[Accession Number -Assigned]]&amp;" COLLECTED "&amp;TEXT(Master[[#This Row],[Date Collected or Developed]], "MM/DD/YYYY")</f>
        <v>W6 59707 COLLECTED 08/17/2020</v>
      </c>
      <c r="C121" t="str">
        <f t="shared" si="4"/>
        <v>SLOPE</v>
      </c>
      <c r="D121" s="9"/>
      <c r="F121" s="17">
        <f>IF(Master[[#This Row],[SLOPE]]="","",Master[[#This Row],[SLOPE]])</f>
        <v>11.5</v>
      </c>
      <c r="G121" s="76">
        <f>IF(Master[[#This Row],[SLOPE]]="","",Master[[#This Row],[SLOPE]])</f>
        <v>11.5</v>
      </c>
      <c r="H121" s="76" t="str">
        <f>IF(Master[[#This Row],[SLOPE Original Value]]="","",Master[[#This Row],[SLOPE Original Value]])</f>
        <v>3-20</v>
      </c>
    </row>
    <row r="122" spans="2:8" x14ac:dyDescent="0.25">
      <c r="B122" t="str">
        <f>Master[[#This Row],[Accession Prefix (NPGS)]]&amp;" "&amp;Master[[#This Row],[Accession Number -Assigned]]&amp;" COLLECTED "&amp;TEXT(Master[[#This Row],[Date Collected or Developed]], "MM/DD/YYYY")</f>
        <v>W6 59708 COLLECTED 08/18/2020</v>
      </c>
      <c r="C122" t="str">
        <f t="shared" si="4"/>
        <v>SLOPE</v>
      </c>
      <c r="D122" s="9"/>
      <c r="F122" s="17">
        <f>IF(Master[[#This Row],[SLOPE]]="","",Master[[#This Row],[SLOPE]])</f>
        <v>2</v>
      </c>
      <c r="G122" s="76">
        <f>IF(Master[[#This Row],[SLOPE]]="","",Master[[#This Row],[SLOPE]])</f>
        <v>2</v>
      </c>
      <c r="H122" s="76" t="str">
        <f>IF(Master[[#This Row],[SLOPE Original Value]]="","",Master[[#This Row],[SLOPE Original Value]])</f>
        <v>0-4</v>
      </c>
    </row>
    <row r="123" spans="2:8" x14ac:dyDescent="0.25">
      <c r="B123" t="str">
        <f>Master[[#This Row],[Accession Prefix (NPGS)]]&amp;" "&amp;Master[[#This Row],[Accession Number -Assigned]]&amp;" COLLECTED "&amp;TEXT(Master[[#This Row],[Date Collected or Developed]], "MM/DD/YYYY")</f>
        <v>W6 59709 COLLECTED 08/19/2020</v>
      </c>
      <c r="C123" t="str">
        <f t="shared" si="4"/>
        <v>SLOPE</v>
      </c>
      <c r="D123" s="9"/>
      <c r="F123" s="17">
        <f>IF(Master[[#This Row],[SLOPE]]="","",Master[[#This Row],[SLOPE]])</f>
        <v>13.5</v>
      </c>
      <c r="G123" s="76">
        <f>IF(Master[[#This Row],[SLOPE]]="","",Master[[#This Row],[SLOPE]])</f>
        <v>13.5</v>
      </c>
      <c r="H123" s="76" t="str">
        <f>IF(Master[[#This Row],[SLOPE Original Value]]="","",Master[[#This Row],[SLOPE Original Value]])</f>
        <v>0-27</v>
      </c>
    </row>
    <row r="124" spans="2:8" x14ac:dyDescent="0.25">
      <c r="B124" t="str">
        <f>Master[[#This Row],[Accession Prefix (NPGS)]]&amp;" "&amp;Master[[#This Row],[Accession Number -Assigned]]&amp;" COLLECTED "&amp;TEXT(Master[[#This Row],[Date Collected or Developed]], "MM/DD/YYYY")</f>
        <v>W6 59710 COLLECTED 08/24/2020</v>
      </c>
      <c r="C124" t="str">
        <f t="shared" si="4"/>
        <v>SLOPE</v>
      </c>
      <c r="D124" s="9"/>
      <c r="F124" s="17">
        <f>IF(Master[[#This Row],[SLOPE]]="","",Master[[#This Row],[SLOPE]])</f>
        <v>19</v>
      </c>
      <c r="G124" s="76">
        <f>IF(Master[[#This Row],[SLOPE]]="","",Master[[#This Row],[SLOPE]])</f>
        <v>19</v>
      </c>
      <c r="H124" s="76">
        <f>IF(Master[[#This Row],[SLOPE Original Value]]="","",Master[[#This Row],[SLOPE Original Value]])</f>
        <v>19</v>
      </c>
    </row>
    <row r="125" spans="2:8" x14ac:dyDescent="0.25">
      <c r="B125" t="str">
        <f>Master[[#This Row],[Accession Prefix (NPGS)]]&amp;" "&amp;Master[[#This Row],[Accession Number -Assigned]]&amp;" COLLECTED "&amp;TEXT(Master[[#This Row],[Date Collected or Developed]], "MM/DD/YYYY")</f>
        <v>W6 59711 COLLECTED 08/27/2020</v>
      </c>
      <c r="C125" t="str">
        <f t="shared" si="4"/>
        <v>SLOPE</v>
      </c>
      <c r="D125" s="9"/>
      <c r="F125" s="17">
        <f>IF(Master[[#This Row],[SLOPE]]="","",Master[[#This Row],[SLOPE]])</f>
        <v>21</v>
      </c>
      <c r="G125" s="76">
        <f>IF(Master[[#This Row],[SLOPE]]="","",Master[[#This Row],[SLOPE]])</f>
        <v>21</v>
      </c>
      <c r="H125" s="76">
        <f>IF(Master[[#This Row],[SLOPE Original Value]]="","",Master[[#This Row],[SLOPE Original Value]])</f>
        <v>21</v>
      </c>
    </row>
    <row r="126" spans="2:8" x14ac:dyDescent="0.25">
      <c r="B126" t="str">
        <f>Master[[#This Row],[Accession Prefix (NPGS)]]&amp;" "&amp;Master[[#This Row],[Accession Number -Assigned]]&amp;" COLLECTED "&amp;TEXT(Master[[#This Row],[Date Collected or Developed]], "MM/DD/YYYY")</f>
        <v>W6 59712 COLLECTED 09/01/2020</v>
      </c>
      <c r="C126" t="str">
        <f t="shared" si="4"/>
        <v>SLOPE</v>
      </c>
      <c r="D126" s="9"/>
      <c r="F126" s="17">
        <f>IF(Master[[#This Row],[SLOPE]]="","",Master[[#This Row],[SLOPE]])</f>
        <v>19</v>
      </c>
      <c r="G126" s="76">
        <f>IF(Master[[#This Row],[SLOPE]]="","",Master[[#This Row],[SLOPE]])</f>
        <v>19</v>
      </c>
      <c r="H126" s="76">
        <f>IF(Master[[#This Row],[SLOPE Original Value]]="","",Master[[#This Row],[SLOPE Original Value]])</f>
        <v>19</v>
      </c>
    </row>
    <row r="127" spans="2:8" x14ac:dyDescent="0.25">
      <c r="B127" t="str">
        <f>Master[[#This Row],[Accession Prefix (NPGS)]]&amp;" "&amp;Master[[#This Row],[Accession Number -Assigned]]&amp;" COLLECTED "&amp;TEXT(Master[[#This Row],[Date Collected or Developed]], "MM/DD/YYYY")</f>
        <v>W6 59713 COLLECTED 08/03/2020</v>
      </c>
      <c r="C127" t="str">
        <f t="shared" si="4"/>
        <v>SLOPE</v>
      </c>
      <c r="D127" s="9"/>
      <c r="F127" s="17">
        <f>IF(Master[[#This Row],[SLOPE]]="","",Master[[#This Row],[SLOPE]])</f>
        <v>0</v>
      </c>
      <c r="G127" s="76">
        <f>IF(Master[[#This Row],[SLOPE]]="","",Master[[#This Row],[SLOPE]])</f>
        <v>0</v>
      </c>
      <c r="H127" s="76">
        <f>IF(Master[[#This Row],[SLOPE Original Value]]="","",Master[[#This Row],[SLOPE Original Value]])</f>
        <v>0</v>
      </c>
    </row>
    <row r="128" spans="2:8" x14ac:dyDescent="0.25">
      <c r="B128" t="str">
        <f>Master[[#This Row],[Accession Prefix (NPGS)]]&amp;" "&amp;Master[[#This Row],[Accession Number -Assigned]]&amp;" COLLECTED "&amp;TEXT(Master[[#This Row],[Date Collected or Developed]], "MM/DD/YYYY")</f>
        <v>W6 59714 COLLECTED 08/05/2020</v>
      </c>
      <c r="C128" t="str">
        <f t="shared" si="4"/>
        <v>SLOPE</v>
      </c>
      <c r="D128" s="9"/>
      <c r="F128" s="17">
        <f>IF(Master[[#This Row],[SLOPE]]="","",Master[[#This Row],[SLOPE]])</f>
        <v>30</v>
      </c>
      <c r="G128" s="76">
        <f>IF(Master[[#This Row],[SLOPE]]="","",Master[[#This Row],[SLOPE]])</f>
        <v>30</v>
      </c>
      <c r="H128" s="76">
        <f>IF(Master[[#This Row],[SLOPE Original Value]]="","",Master[[#This Row],[SLOPE Original Value]])</f>
        <v>30</v>
      </c>
    </row>
    <row r="129" spans="2:8" x14ac:dyDescent="0.25">
      <c r="B129" t="str">
        <f>Master[[#This Row],[Accession Prefix (NPGS)]]&amp;" "&amp;Master[[#This Row],[Accession Number -Assigned]]&amp;" COLLECTED "&amp;TEXT(Master[[#This Row],[Date Collected or Developed]], "MM/DD/YYYY")</f>
        <v>W6 59715 COLLECTED 08/12/2020</v>
      </c>
      <c r="C129" t="str">
        <f t="shared" si="4"/>
        <v>SLOPE</v>
      </c>
      <c r="D129" s="9"/>
      <c r="F129" s="17">
        <f>IF(Master[[#This Row],[SLOPE]]="","",Master[[#This Row],[SLOPE]])</f>
        <v>2</v>
      </c>
      <c r="G129" s="76">
        <f>IF(Master[[#This Row],[SLOPE]]="","",Master[[#This Row],[SLOPE]])</f>
        <v>2</v>
      </c>
      <c r="H129" s="76">
        <f>IF(Master[[#This Row],[SLOPE Original Value]]="","",Master[[#This Row],[SLOPE Original Value]])</f>
        <v>2</v>
      </c>
    </row>
    <row r="130" spans="2:8" x14ac:dyDescent="0.25">
      <c r="B130" t="str">
        <f>Master[[#This Row],[Accession Prefix (NPGS)]]&amp;" "&amp;Master[[#This Row],[Accession Number -Assigned]]&amp;" COLLECTED "&amp;TEXT(Master[[#This Row],[Date Collected or Developed]], "MM/DD/YYYY")</f>
        <v>W6 59716 COLLECTED 08/17/2020</v>
      </c>
      <c r="C130" t="str">
        <f t="shared" si="4"/>
        <v>SLOPE</v>
      </c>
      <c r="D130" s="9"/>
      <c r="F130" s="17">
        <f>IF(Master[[#This Row],[SLOPE]]="","",Master[[#This Row],[SLOPE]])</f>
        <v>0</v>
      </c>
      <c r="G130" s="76">
        <f>IF(Master[[#This Row],[SLOPE]]="","",Master[[#This Row],[SLOPE]])</f>
        <v>0</v>
      </c>
      <c r="H130" s="76">
        <f>IF(Master[[#This Row],[SLOPE Original Value]]="","",Master[[#This Row],[SLOPE Original Value]])</f>
        <v>0</v>
      </c>
    </row>
    <row r="131" spans="2:8" x14ac:dyDescent="0.25">
      <c r="B131" t="str">
        <f>Master[[#This Row],[Accession Prefix (NPGS)]]&amp;" "&amp;Master[[#This Row],[Accession Number -Assigned]]&amp;" COLLECTED "&amp;TEXT(Master[[#This Row],[Date Collected or Developed]], "MM/DD/YYYY")</f>
        <v>W6 59717 COLLECTED 08/19/2020</v>
      </c>
      <c r="C131" t="str">
        <f t="shared" si="4"/>
        <v>SLOPE</v>
      </c>
      <c r="D131" s="9"/>
      <c r="F131" s="17">
        <f>IF(Master[[#This Row],[SLOPE]]="","",Master[[#This Row],[SLOPE]])</f>
        <v>0</v>
      </c>
      <c r="G131" s="76">
        <f>IF(Master[[#This Row],[SLOPE]]="","",Master[[#This Row],[SLOPE]])</f>
        <v>0</v>
      </c>
      <c r="H131" s="76">
        <f>IF(Master[[#This Row],[SLOPE Original Value]]="","",Master[[#This Row],[SLOPE Original Value]])</f>
        <v>0</v>
      </c>
    </row>
    <row r="132" spans="2:8" x14ac:dyDescent="0.25">
      <c r="B132" t="str">
        <f>Master[[#This Row],[Accession Prefix (NPGS)]]&amp;" "&amp;Master[[#This Row],[Accession Number -Assigned]]&amp;" COLLECTED "&amp;TEXT(Master[[#This Row],[Date Collected or Developed]], "MM/DD/YYYY")</f>
        <v>W6 59718 COLLECTED 08/19/2020</v>
      </c>
      <c r="C132" t="str">
        <f t="shared" si="4"/>
        <v>SLOPE</v>
      </c>
      <c r="D132" s="9"/>
      <c r="F132" s="17">
        <f>IF(Master[[#This Row],[SLOPE]]="","",Master[[#This Row],[SLOPE]])</f>
        <v>0</v>
      </c>
      <c r="G132" s="76">
        <f>IF(Master[[#This Row],[SLOPE]]="","",Master[[#This Row],[SLOPE]])</f>
        <v>0</v>
      </c>
      <c r="H132" s="76">
        <f>IF(Master[[#This Row],[SLOPE Original Value]]="","",Master[[#This Row],[SLOPE Original Value]])</f>
        <v>0</v>
      </c>
    </row>
    <row r="133" spans="2:8" x14ac:dyDescent="0.25">
      <c r="B133" t="str">
        <f>Master[[#This Row],[Accession Prefix (NPGS)]]&amp;" "&amp;Master[[#This Row],[Accession Number -Assigned]]&amp;" COLLECTED "&amp;TEXT(Master[[#This Row],[Date Collected or Developed]], "MM/DD/YYYY")</f>
        <v>W6 59719 COLLECTED 08/26/2020</v>
      </c>
      <c r="C133" t="str">
        <f t="shared" si="4"/>
        <v>SLOPE</v>
      </c>
      <c r="D133" s="9"/>
      <c r="F133" s="17">
        <f>IF(Master[[#This Row],[SLOPE]]="","",Master[[#This Row],[SLOPE]])</f>
        <v>0</v>
      </c>
      <c r="G133" s="76">
        <f>IF(Master[[#This Row],[SLOPE]]="","",Master[[#This Row],[SLOPE]])</f>
        <v>0</v>
      </c>
      <c r="H133" s="76">
        <f>IF(Master[[#This Row],[SLOPE Original Value]]="","",Master[[#This Row],[SLOPE Original Value]])</f>
        <v>0</v>
      </c>
    </row>
    <row r="134" spans="2:8" x14ac:dyDescent="0.25">
      <c r="B134" t="str">
        <f>Master[[#This Row],[Accession Prefix (NPGS)]]&amp;" "&amp;Master[[#This Row],[Accession Number -Assigned]]&amp;" COLLECTED "&amp;TEXT(Master[[#This Row],[Date Collected or Developed]], "MM/DD/YYYY")</f>
        <v>W6 59720 COLLECTED 08/26/2020</v>
      </c>
      <c r="C134" t="str">
        <f t="shared" si="4"/>
        <v>SLOPE</v>
      </c>
      <c r="D134" s="9"/>
      <c r="F134" s="17">
        <f>IF(Master[[#This Row],[SLOPE]]="","",Master[[#This Row],[SLOPE]])</f>
        <v>8</v>
      </c>
      <c r="G134" s="76">
        <f>IF(Master[[#This Row],[SLOPE]]="","",Master[[#This Row],[SLOPE]])</f>
        <v>8</v>
      </c>
      <c r="H134" s="76">
        <f>IF(Master[[#This Row],[SLOPE Original Value]]="","",Master[[#This Row],[SLOPE Original Value]])</f>
        <v>8</v>
      </c>
    </row>
    <row r="135" spans="2:8" x14ac:dyDescent="0.25">
      <c r="B135" t="str">
        <f>Master[[#This Row],[Accession Prefix (NPGS)]]&amp;" "&amp;Master[[#This Row],[Accession Number -Assigned]]&amp;" COLLECTED "&amp;TEXT(Master[[#This Row],[Date Collected or Developed]], "MM/DD/YYYY")</f>
        <v>W6 59721 COLLECTED 08/27/2020</v>
      </c>
      <c r="C135" t="str">
        <f t="shared" si="4"/>
        <v>SLOPE</v>
      </c>
      <c r="D135" s="9"/>
      <c r="F135" s="17">
        <f>IF(Master[[#This Row],[SLOPE]]="","",Master[[#This Row],[SLOPE]])</f>
        <v>0</v>
      </c>
      <c r="G135" s="76">
        <f>IF(Master[[#This Row],[SLOPE]]="","",Master[[#This Row],[SLOPE]])</f>
        <v>0</v>
      </c>
      <c r="H135" s="76">
        <f>IF(Master[[#This Row],[SLOPE Original Value]]="","",Master[[#This Row],[SLOPE Original Value]])</f>
        <v>0</v>
      </c>
    </row>
    <row r="136" spans="2:8" x14ac:dyDescent="0.25">
      <c r="B136" t="str">
        <f>Master[[#This Row],[Accession Prefix (NPGS)]]&amp;" "&amp;Master[[#This Row],[Accession Number -Assigned]]&amp;" COLLECTED "&amp;TEXT(Master[[#This Row],[Date Collected or Developed]], "MM/DD/YYYY")</f>
        <v>W6 59722 COLLECTED 09/09/2020</v>
      </c>
      <c r="C136" t="str">
        <f t="shared" si="4"/>
        <v>SLOPE</v>
      </c>
      <c r="D136" s="9"/>
      <c r="F136" s="17">
        <f>IF(Master[[#This Row],[SLOPE]]="","",Master[[#This Row],[SLOPE]])</f>
        <v>0</v>
      </c>
      <c r="G136" s="76">
        <f>IF(Master[[#This Row],[SLOPE]]="","",Master[[#This Row],[SLOPE]])</f>
        <v>0</v>
      </c>
      <c r="H136" s="76">
        <f>IF(Master[[#This Row],[SLOPE Original Value]]="","",Master[[#This Row],[SLOPE Original Value]])</f>
        <v>0</v>
      </c>
    </row>
    <row r="137" spans="2:8" x14ac:dyDescent="0.25">
      <c r="B137" t="str">
        <f>Master[[#This Row],[Accession Prefix (NPGS)]]&amp;" "&amp;Master[[#This Row],[Accession Number -Assigned]]&amp;" COLLECTED "&amp;TEXT(Master[[#This Row],[Date Collected or Developed]], "MM/DD/YYYY")</f>
        <v>W6 59723 COLLECTED 09/10/2020</v>
      </c>
      <c r="C137" t="str">
        <f t="shared" si="4"/>
        <v>SLOPE</v>
      </c>
      <c r="D137" s="9"/>
      <c r="F137" s="17">
        <f>IF(Master[[#This Row],[SLOPE]]="","",Master[[#This Row],[SLOPE]])</f>
        <v>31</v>
      </c>
      <c r="G137" s="76">
        <f>IF(Master[[#This Row],[SLOPE]]="","",Master[[#This Row],[SLOPE]])</f>
        <v>31</v>
      </c>
      <c r="H137" s="76">
        <f>IF(Master[[#This Row],[SLOPE Original Value]]="","",Master[[#This Row],[SLOPE Original Value]])</f>
        <v>31</v>
      </c>
    </row>
    <row r="138" spans="2:8" x14ac:dyDescent="0.25">
      <c r="B138" t="str">
        <f>Master[[#This Row],[Accession Prefix (NPGS)]]&amp;" "&amp;Master[[#This Row],[Accession Number -Assigned]]&amp;" COLLECTED "&amp;TEXT(Master[[#This Row],[Date Collected or Developed]], "MM/DD/YYYY")</f>
        <v>W6 59724 COLLECTED 09/10/2020</v>
      </c>
      <c r="C138" t="str">
        <f t="shared" si="4"/>
        <v>SLOPE</v>
      </c>
      <c r="D138" s="9"/>
      <c r="F138" s="17">
        <f>IF(Master[[#This Row],[SLOPE]]="","",Master[[#This Row],[SLOPE]])</f>
        <v>20</v>
      </c>
      <c r="G138" s="76">
        <f>IF(Master[[#This Row],[SLOPE]]="","",Master[[#This Row],[SLOPE]])</f>
        <v>20</v>
      </c>
      <c r="H138" s="76">
        <f>IF(Master[[#This Row],[SLOPE Original Value]]="","",Master[[#This Row],[SLOPE Original Value]])</f>
        <v>20</v>
      </c>
    </row>
    <row r="139" spans="2:8" x14ac:dyDescent="0.25">
      <c r="B139" t="str">
        <f>Master[[#This Row],[Accession Prefix (NPGS)]]&amp;" "&amp;Master[[#This Row],[Accession Number -Assigned]]&amp;" COLLECTED "&amp;TEXT(Master[[#This Row],[Date Collected or Developed]], "MM/DD/YYYY")</f>
        <v>W6 59725 COLLECTED 09/15/2020</v>
      </c>
      <c r="C139" t="str">
        <f t="shared" si="4"/>
        <v>SLOPE</v>
      </c>
      <c r="D139" s="9"/>
      <c r="F139" s="17">
        <f>IF(Master[[#This Row],[SLOPE]]="","",Master[[#This Row],[SLOPE]])</f>
        <v>15</v>
      </c>
      <c r="G139" s="76">
        <f>IF(Master[[#This Row],[SLOPE]]="","",Master[[#This Row],[SLOPE]])</f>
        <v>15</v>
      </c>
      <c r="H139" s="76">
        <f>IF(Master[[#This Row],[SLOPE Original Value]]="","",Master[[#This Row],[SLOPE Original Value]])</f>
        <v>15</v>
      </c>
    </row>
    <row r="140" spans="2:8" x14ac:dyDescent="0.25">
      <c r="B140" t="str">
        <f>Master[[#This Row],[Accession Prefix (NPGS)]]&amp;" "&amp;Master[[#This Row],[Accession Number -Assigned]]&amp;" COLLECTED "&amp;TEXT(Master[[#This Row],[Date Collected or Developed]], "MM/DD/YYYY")</f>
        <v>W6 59726 COLLECTED 09/17/2020</v>
      </c>
      <c r="C140" t="str">
        <f t="shared" si="4"/>
        <v>SLOPE</v>
      </c>
      <c r="D140" s="9"/>
      <c r="F140" s="17">
        <f>IF(Master[[#This Row],[SLOPE]]="","",Master[[#This Row],[SLOPE]])</f>
        <v>15</v>
      </c>
      <c r="G140" s="76">
        <f>IF(Master[[#This Row],[SLOPE]]="","",Master[[#This Row],[SLOPE]])</f>
        <v>15</v>
      </c>
      <c r="H140" s="76">
        <f>IF(Master[[#This Row],[SLOPE Original Value]]="","",Master[[#This Row],[SLOPE Original Value]])</f>
        <v>15</v>
      </c>
    </row>
    <row r="141" spans="2:8" x14ac:dyDescent="0.25">
      <c r="B141" t="str">
        <f>Master[[#This Row],[Accession Prefix (NPGS)]]&amp;" "&amp;Master[[#This Row],[Accession Number -Assigned]]&amp;" COLLECTED "&amp;TEXT(Master[[#This Row],[Date Collected or Developed]], "MM/DD/YYYY")</f>
        <v>W6 59727 COLLECTED 09/17/2020</v>
      </c>
      <c r="C141" t="str">
        <f t="shared" si="4"/>
        <v>SLOPE</v>
      </c>
      <c r="D141" s="9"/>
      <c r="F141" s="17" t="str">
        <f>IF(Master[[#This Row],[SLOPE]]="","",Master[[#This Row],[SLOPE]])</f>
        <v/>
      </c>
      <c r="G141" s="76" t="str">
        <f>IF(Master[[#This Row],[SLOPE]]="","",Master[[#This Row],[SLOPE]])</f>
        <v/>
      </c>
      <c r="H141" s="76" t="str">
        <f>IF(Master[[#This Row],[SLOPE Original Value]]="","",Master[[#This Row],[SLOPE Original Value]])</f>
        <v/>
      </c>
    </row>
    <row r="142" spans="2:8" x14ac:dyDescent="0.25">
      <c r="B142" t="str">
        <f>Master[[#This Row],[Accession Prefix (NPGS)]]&amp;" "&amp;Master[[#This Row],[Accession Number -Assigned]]&amp;" COLLECTED "&amp;TEXT(Master[[#This Row],[Date Collected or Developed]], "MM/DD/YYYY")</f>
        <v>W6 59728 COLLECTED 09/21/2020</v>
      </c>
      <c r="C142" t="str">
        <f t="shared" si="4"/>
        <v>SLOPE</v>
      </c>
      <c r="D142" s="9"/>
      <c r="F142" s="17">
        <f>IF(Master[[#This Row],[SLOPE]]="","",Master[[#This Row],[SLOPE]])</f>
        <v>0</v>
      </c>
      <c r="G142" s="76">
        <f>IF(Master[[#This Row],[SLOPE]]="","",Master[[#This Row],[SLOPE]])</f>
        <v>0</v>
      </c>
      <c r="H142" s="76">
        <f>IF(Master[[#This Row],[SLOPE Original Value]]="","",Master[[#This Row],[SLOPE Original Value]])</f>
        <v>0</v>
      </c>
    </row>
    <row r="143" spans="2:8" x14ac:dyDescent="0.25">
      <c r="B143" t="str">
        <f>Master[[#This Row],[Accession Prefix (NPGS)]]&amp;" "&amp;Master[[#This Row],[Accession Number -Assigned]]&amp;" COLLECTED "&amp;TEXT(Master[[#This Row],[Date Collected or Developed]], "MM/DD/YYYY")</f>
        <v>W6 59729 COLLECTED 09/23/2020</v>
      </c>
      <c r="C143" t="str">
        <f t="shared" si="4"/>
        <v>SLOPE</v>
      </c>
      <c r="D143" s="9"/>
      <c r="F143" s="17">
        <f>IF(Master[[#This Row],[SLOPE]]="","",Master[[#This Row],[SLOPE]])</f>
        <v>3.5</v>
      </c>
      <c r="G143" s="76">
        <f>IF(Master[[#This Row],[SLOPE]]="","",Master[[#This Row],[SLOPE]])</f>
        <v>3.5</v>
      </c>
      <c r="H143" s="76" t="str">
        <f>IF(Master[[#This Row],[SLOPE Original Value]]="","",Master[[#This Row],[SLOPE Original Value]])</f>
        <v>2-5</v>
      </c>
    </row>
    <row r="144" spans="2:8" x14ac:dyDescent="0.25">
      <c r="B144" t="str">
        <f>Master[[#This Row],[Accession Prefix (NPGS)]]&amp;" "&amp;Master[[#This Row],[Accession Number -Assigned]]&amp;" COLLECTED "&amp;TEXT(Master[[#This Row],[Date Collected or Developed]], "MM/DD/YYYY")</f>
        <v>W6 59730 COLLECTED 09/24/2020</v>
      </c>
      <c r="C144" t="str">
        <f t="shared" si="4"/>
        <v>SLOPE</v>
      </c>
      <c r="D144" s="9"/>
      <c r="F144" s="17">
        <f>IF(Master[[#This Row],[SLOPE]]="","",Master[[#This Row],[SLOPE]])</f>
        <v>9</v>
      </c>
      <c r="G144" s="76">
        <f>IF(Master[[#This Row],[SLOPE]]="","",Master[[#This Row],[SLOPE]])</f>
        <v>9</v>
      </c>
      <c r="H144" s="76">
        <f>IF(Master[[#This Row],[SLOPE Original Value]]="","",Master[[#This Row],[SLOPE Original Value]])</f>
        <v>9</v>
      </c>
    </row>
    <row r="145" spans="2:8" x14ac:dyDescent="0.25">
      <c r="B145" t="str">
        <f>Master[[#This Row],[Accession Prefix (NPGS)]]&amp;" "&amp;Master[[#This Row],[Accession Number -Assigned]]&amp;" COLLECTED "&amp;TEXT(Master[[#This Row],[Date Collected or Developed]], "MM/DD/YYYY")</f>
        <v>W6 59731 COLLECTED 10/01/2020</v>
      </c>
      <c r="C145" t="str">
        <f t="shared" si="4"/>
        <v>SLOPE</v>
      </c>
      <c r="D145" s="9"/>
      <c r="F145" s="17">
        <f>IF(Master[[#This Row],[SLOPE]]="","",Master[[#This Row],[SLOPE]])</f>
        <v>4</v>
      </c>
      <c r="G145" s="76">
        <f>IF(Master[[#This Row],[SLOPE]]="","",Master[[#This Row],[SLOPE]])</f>
        <v>4</v>
      </c>
      <c r="H145" s="76">
        <f>IF(Master[[#This Row],[SLOPE Original Value]]="","",Master[[#This Row],[SLOPE Original Value]])</f>
        <v>4</v>
      </c>
    </row>
    <row r="146" spans="2:8" x14ac:dyDescent="0.25">
      <c r="B146" t="str">
        <f>Master[[#This Row],[Accession Prefix (NPGS)]]&amp;" "&amp;Master[[#This Row],[Accession Number -Assigned]]&amp;" COLLECTED "&amp;TEXT(Master[[#This Row],[Date Collected or Developed]], "MM/DD/YYYY")</f>
        <v>W6 59732 COLLECTED 10/02/2020</v>
      </c>
      <c r="C146" t="str">
        <f t="shared" si="4"/>
        <v>SLOPE</v>
      </c>
      <c r="D146" s="9"/>
      <c r="F146" s="17">
        <f>IF(Master[[#This Row],[SLOPE]]="","",Master[[#This Row],[SLOPE]])</f>
        <v>0</v>
      </c>
      <c r="G146" s="76">
        <f>IF(Master[[#This Row],[SLOPE]]="","",Master[[#This Row],[SLOPE]])</f>
        <v>0</v>
      </c>
      <c r="H146" s="76">
        <f>IF(Master[[#This Row],[SLOPE Original Value]]="","",Master[[#This Row],[SLOPE Original Value]])</f>
        <v>0</v>
      </c>
    </row>
    <row r="147" spans="2:8" x14ac:dyDescent="0.25">
      <c r="B147" t="str">
        <f>Master[[#This Row],[Accession Prefix (NPGS)]]&amp;" "&amp;Master[[#This Row],[Accession Number -Assigned]]&amp;" COLLECTED "&amp;TEXT(Master[[#This Row],[Date Collected or Developed]], "MM/DD/YYYY")</f>
        <v>W6 59733 COLLECTED 10/05/2020</v>
      </c>
      <c r="C147" t="str">
        <f t="shared" si="4"/>
        <v>SLOPE</v>
      </c>
      <c r="D147" s="9"/>
      <c r="F147" s="17">
        <f>IF(Master[[#This Row],[SLOPE]]="","",Master[[#This Row],[SLOPE]])</f>
        <v>9</v>
      </c>
      <c r="G147" s="76">
        <f>IF(Master[[#This Row],[SLOPE]]="","",Master[[#This Row],[SLOPE]])</f>
        <v>9</v>
      </c>
      <c r="H147" s="76">
        <f>IF(Master[[#This Row],[SLOPE Original Value]]="","",Master[[#This Row],[SLOPE Original Value]])</f>
        <v>9</v>
      </c>
    </row>
    <row r="148" spans="2:8" x14ac:dyDescent="0.25">
      <c r="B148" t="str">
        <f>Master[[#This Row],[Accession Prefix (NPGS)]]&amp;" "&amp;Master[[#This Row],[Accession Number -Assigned]]&amp;" COLLECTED "&amp;TEXT(Master[[#This Row],[Date Collected or Developed]], "MM/DD/YYYY")</f>
        <v>W6 59734 COLLECTED 10/05/2020</v>
      </c>
      <c r="C148" t="str">
        <f t="shared" si="4"/>
        <v>SLOPE</v>
      </c>
      <c r="D148" s="9"/>
      <c r="F148" s="17">
        <f>IF(Master[[#This Row],[SLOPE]]="","",Master[[#This Row],[SLOPE]])</f>
        <v>15</v>
      </c>
      <c r="G148" s="76">
        <f>IF(Master[[#This Row],[SLOPE]]="","",Master[[#This Row],[SLOPE]])</f>
        <v>15</v>
      </c>
      <c r="H148" s="76" t="str">
        <f>IF(Master[[#This Row],[SLOPE Original Value]]="","",Master[[#This Row],[SLOPE Original Value]])</f>
        <v>5-25</v>
      </c>
    </row>
    <row r="149" spans="2:8" x14ac:dyDescent="0.25">
      <c r="B149" t="str">
        <f>Master[[#This Row],[Accession Prefix (NPGS)]]&amp;" "&amp;Master[[#This Row],[Accession Number -Assigned]]&amp;" COLLECTED "&amp;TEXT(Master[[#This Row],[Date Collected or Developed]], "MM/DD/YYYY")</f>
        <v>W6 59735 COLLECTED 07/29/2020</v>
      </c>
      <c r="C149" t="str">
        <f t="shared" si="4"/>
        <v>SLOPE</v>
      </c>
      <c r="D149" s="9"/>
      <c r="F149" s="17">
        <f>IF(Master[[#This Row],[SLOPE]]="","",Master[[#This Row],[SLOPE]])</f>
        <v>0</v>
      </c>
      <c r="G149" s="76">
        <f>IF(Master[[#This Row],[SLOPE]]="","",Master[[#This Row],[SLOPE]])</f>
        <v>0</v>
      </c>
      <c r="H149" s="76">
        <f>IF(Master[[#This Row],[SLOPE Original Value]]="","",Master[[#This Row],[SLOPE Original Value]])</f>
        <v>0</v>
      </c>
    </row>
    <row r="150" spans="2:8" x14ac:dyDescent="0.25">
      <c r="B150" t="str">
        <f>Master[[#This Row],[Accession Prefix (NPGS)]]&amp;" "&amp;Master[[#This Row],[Accession Number -Assigned]]&amp;" COLLECTED "&amp;TEXT(Master[[#This Row],[Date Collected or Developed]], "MM/DD/YYYY")</f>
        <v>W6 59736 COLLECTED 10/07/2020</v>
      </c>
      <c r="C150" t="str">
        <f t="shared" ref="C150:C181" si="5">"SLOPE"</f>
        <v>SLOPE</v>
      </c>
      <c r="D150" s="9"/>
      <c r="F150" s="17">
        <f>IF(Master[[#This Row],[SLOPE]]="","",Master[[#This Row],[SLOPE]])</f>
        <v>1</v>
      </c>
      <c r="G150" s="76">
        <f>IF(Master[[#This Row],[SLOPE]]="","",Master[[#This Row],[SLOPE]])</f>
        <v>1</v>
      </c>
      <c r="H150" s="76" t="str">
        <f>IF(Master[[#This Row],[SLOPE Original Value]]="","",Master[[#This Row],[SLOPE Original Value]])</f>
        <v>0-2</v>
      </c>
    </row>
    <row r="151" spans="2:8" x14ac:dyDescent="0.25">
      <c r="B151" t="str">
        <f>Master[[#This Row],[Accession Prefix (NPGS)]]&amp;" "&amp;Master[[#This Row],[Accession Number -Assigned]]&amp;" COLLECTED "&amp;TEXT(Master[[#This Row],[Date Collected or Developed]], "MM/DD/YYYY")</f>
        <v>W6 59737 COLLECTED 08/18/2020</v>
      </c>
      <c r="C151" t="str">
        <f t="shared" si="5"/>
        <v>SLOPE</v>
      </c>
      <c r="D151" s="9"/>
      <c r="F151" s="17">
        <f>IF(Master[[#This Row],[SLOPE]]="","",Master[[#This Row],[SLOPE]])</f>
        <v>9</v>
      </c>
      <c r="G151" s="76">
        <f>IF(Master[[#This Row],[SLOPE]]="","",Master[[#This Row],[SLOPE]])</f>
        <v>9</v>
      </c>
      <c r="H151" s="76">
        <f>IF(Master[[#This Row],[SLOPE Original Value]]="","",Master[[#This Row],[SLOPE Original Value]])</f>
        <v>9</v>
      </c>
    </row>
    <row r="152" spans="2:8" x14ac:dyDescent="0.25">
      <c r="B152" t="str">
        <f>Master[[#This Row],[Accession Prefix (NPGS)]]&amp;" "&amp;Master[[#This Row],[Accession Number -Assigned]]&amp;" COLLECTED "&amp;TEXT(Master[[#This Row],[Date Collected or Developed]], "MM/DD/YYYY")</f>
        <v xml:space="preserve">  COLLECTED 01/00/1900</v>
      </c>
      <c r="C152" t="str">
        <f t="shared" si="5"/>
        <v>SLOPE</v>
      </c>
      <c r="D152" s="9"/>
      <c r="F152" s="17" t="str">
        <f>IF(Master[[#This Row],[SLOPE]]="","",Master[[#This Row],[SLOPE]])</f>
        <v/>
      </c>
      <c r="G152" s="76" t="str">
        <f>IF(Master[[#This Row],[SLOPE]]="","",Master[[#This Row],[SLOPE]])</f>
        <v/>
      </c>
      <c r="H152" s="76" t="str">
        <f>IF(Master[[#This Row],[SLOPE Original Value]]="","",Master[[#This Row],[SLOPE Original Value]])</f>
        <v/>
      </c>
    </row>
    <row r="153" spans="2:8" x14ac:dyDescent="0.25">
      <c r="B153" t="str">
        <f>Master[[#This Row],[Accession Prefix (NPGS)]]&amp;" "&amp;Master[[#This Row],[Accession Number -Assigned]]&amp;" COLLECTED "&amp;TEXT(Master[[#This Row],[Date Collected or Developed]], "MM/DD/YYYY")</f>
        <v xml:space="preserve">  COLLECTED 01/00/1900</v>
      </c>
      <c r="C153" t="str">
        <f t="shared" si="5"/>
        <v>SLOPE</v>
      </c>
      <c r="D153" s="9"/>
      <c r="F153" s="17" t="str">
        <f>IF(Master[[#This Row],[SLOPE]]="","",Master[[#This Row],[SLOPE]])</f>
        <v/>
      </c>
      <c r="G153" s="76" t="str">
        <f>IF(Master[[#This Row],[SLOPE]]="","",Master[[#This Row],[SLOPE]])</f>
        <v/>
      </c>
      <c r="H153" s="76" t="str">
        <f>IF(Master[[#This Row],[SLOPE Original Value]]="","",Master[[#This Row],[SLOPE Original Value]])</f>
        <v/>
      </c>
    </row>
    <row r="154" spans="2:8" x14ac:dyDescent="0.25">
      <c r="B154" t="str">
        <f>Master[[#This Row],[Accession Prefix (NPGS)]]&amp;" "&amp;Master[[#This Row],[Accession Number -Assigned]]&amp;" COLLECTED "&amp;TEXT(Master[[#This Row],[Date Collected or Developed]], "MM/DD/YYYY")</f>
        <v xml:space="preserve">  COLLECTED 01/00/1900</v>
      </c>
      <c r="C154" t="str">
        <f t="shared" si="5"/>
        <v>SLOPE</v>
      </c>
      <c r="D154" s="9"/>
      <c r="F154" s="17" t="str">
        <f>IF(Master[[#This Row],[SLOPE]]="","",Master[[#This Row],[SLOPE]])</f>
        <v/>
      </c>
      <c r="G154" s="76" t="str">
        <f>IF(Master[[#This Row],[SLOPE]]="","",Master[[#This Row],[SLOPE]])</f>
        <v/>
      </c>
      <c r="H154" s="76" t="str">
        <f>IF(Master[[#This Row],[SLOPE Original Value]]="","",Master[[#This Row],[SLOPE Original Value]])</f>
        <v/>
      </c>
    </row>
    <row r="155" spans="2:8" x14ac:dyDescent="0.25">
      <c r="B155" t="str">
        <f>Master[[#This Row],[Accession Prefix (NPGS)]]&amp;" "&amp;Master[[#This Row],[Accession Number -Assigned]]&amp;" COLLECTED "&amp;TEXT(Master[[#This Row],[Date Collected or Developed]], "MM/DD/YYYY")</f>
        <v xml:space="preserve">  COLLECTED 01/00/1900</v>
      </c>
      <c r="C155" t="str">
        <f t="shared" si="5"/>
        <v>SLOPE</v>
      </c>
      <c r="D155" s="9"/>
      <c r="F155" s="17" t="str">
        <f>IF(Master[[#This Row],[SLOPE]]="","",Master[[#This Row],[SLOPE]])</f>
        <v/>
      </c>
      <c r="G155" s="76" t="str">
        <f>IF(Master[[#This Row],[SLOPE]]="","",Master[[#This Row],[SLOPE]])</f>
        <v/>
      </c>
      <c r="H155" s="76" t="str">
        <f>IF(Master[[#This Row],[SLOPE Original Value]]="","",Master[[#This Row],[SLOPE Original Value]])</f>
        <v/>
      </c>
    </row>
    <row r="156" spans="2:8" x14ac:dyDescent="0.25">
      <c r="B156" t="str">
        <f>Master[[#This Row],[Accession Prefix (NPGS)]]&amp;" "&amp;Master[[#This Row],[Accession Number -Assigned]]&amp;" COLLECTED "&amp;TEXT(Master[[#This Row],[Date Collected or Developed]], "MM/DD/YYYY")</f>
        <v xml:space="preserve">  COLLECTED 01/00/1900</v>
      </c>
      <c r="C156" t="str">
        <f t="shared" si="5"/>
        <v>SLOPE</v>
      </c>
      <c r="D156" s="9"/>
      <c r="F156" s="17" t="str">
        <f>IF(Master[[#This Row],[SLOPE]]="","",Master[[#This Row],[SLOPE]])</f>
        <v/>
      </c>
      <c r="G156" s="76" t="str">
        <f>IF(Master[[#This Row],[SLOPE]]="","",Master[[#This Row],[SLOPE]])</f>
        <v/>
      </c>
      <c r="H156" s="76" t="str">
        <f>IF(Master[[#This Row],[SLOPE Original Value]]="","",Master[[#This Row],[SLOPE Original Value]])</f>
        <v/>
      </c>
    </row>
    <row r="157" spans="2:8" x14ac:dyDescent="0.25">
      <c r="B157" t="str">
        <f>Master[[#This Row],[Accession Prefix (NPGS)]]&amp;" "&amp;Master[[#This Row],[Accession Number -Assigned]]&amp;" COLLECTED "&amp;TEXT(Master[[#This Row],[Date Collected or Developed]], "MM/DD/YYYY")</f>
        <v xml:space="preserve">  COLLECTED 01/00/1900</v>
      </c>
      <c r="C157" t="str">
        <f t="shared" si="5"/>
        <v>SLOPE</v>
      </c>
      <c r="D157" s="9"/>
      <c r="F157" s="17" t="str">
        <f>IF(Master[[#This Row],[SLOPE]]="","",Master[[#This Row],[SLOPE]])</f>
        <v/>
      </c>
      <c r="G157" s="76" t="str">
        <f>IF(Master[[#This Row],[SLOPE]]="","",Master[[#This Row],[SLOPE]])</f>
        <v/>
      </c>
      <c r="H157" s="76" t="str">
        <f>IF(Master[[#This Row],[SLOPE Original Value]]="","",Master[[#This Row],[SLOPE Original Value]])</f>
        <v/>
      </c>
    </row>
    <row r="158" spans="2:8" x14ac:dyDescent="0.25">
      <c r="B158" t="str">
        <f>Master[[#This Row],[Accession Prefix (NPGS)]]&amp;" "&amp;Master[[#This Row],[Accession Number -Assigned]]&amp;" COLLECTED "&amp;TEXT(Master[[#This Row],[Date Collected or Developed]], "MM/DD/YYYY")</f>
        <v xml:space="preserve">  COLLECTED 01/00/1900</v>
      </c>
      <c r="C158" t="str">
        <f t="shared" si="5"/>
        <v>SLOPE</v>
      </c>
      <c r="D158" s="9"/>
      <c r="F158" s="17" t="str">
        <f>IF(Master[[#This Row],[SLOPE]]="","",Master[[#This Row],[SLOPE]])</f>
        <v/>
      </c>
      <c r="G158" s="76" t="str">
        <f>IF(Master[[#This Row],[SLOPE]]="","",Master[[#This Row],[SLOPE]])</f>
        <v/>
      </c>
      <c r="H158" s="76" t="str">
        <f>IF(Master[[#This Row],[SLOPE Original Value]]="","",Master[[#This Row],[SLOPE Original Value]])</f>
        <v/>
      </c>
    </row>
    <row r="159" spans="2:8" x14ac:dyDescent="0.25">
      <c r="B159" t="str">
        <f>Master[[#This Row],[Accession Prefix (NPGS)]]&amp;" "&amp;Master[[#This Row],[Accession Number -Assigned]]&amp;" COLLECTED "&amp;TEXT(Master[[#This Row],[Date Collected or Developed]], "MM/DD/YYYY")</f>
        <v xml:space="preserve">  COLLECTED 01/00/1900</v>
      </c>
      <c r="C159" t="str">
        <f t="shared" si="5"/>
        <v>SLOPE</v>
      </c>
      <c r="D159" s="9"/>
      <c r="F159" s="17" t="str">
        <f>IF(Master[[#This Row],[SLOPE]]="","",Master[[#This Row],[SLOPE]])</f>
        <v/>
      </c>
      <c r="G159" s="76" t="str">
        <f>IF(Master[[#This Row],[SLOPE]]="","",Master[[#This Row],[SLOPE]])</f>
        <v/>
      </c>
      <c r="H159" s="76" t="str">
        <f>IF(Master[[#This Row],[SLOPE Original Value]]="","",Master[[#This Row],[SLOPE Original Value]])</f>
        <v/>
      </c>
    </row>
    <row r="160" spans="2:8" x14ac:dyDescent="0.25">
      <c r="B160" t="str">
        <f>Master[[#This Row],[Accession Prefix (NPGS)]]&amp;" "&amp;Master[[#This Row],[Accession Number -Assigned]]&amp;" COLLECTED "&amp;TEXT(Master[[#This Row],[Date Collected or Developed]], "MM/DD/YYYY")</f>
        <v xml:space="preserve">  COLLECTED 01/00/1900</v>
      </c>
      <c r="C160" t="str">
        <f t="shared" si="5"/>
        <v>SLOPE</v>
      </c>
      <c r="D160" s="9"/>
      <c r="F160" s="17" t="str">
        <f>IF(Master[[#This Row],[SLOPE]]="","",Master[[#This Row],[SLOPE]])</f>
        <v/>
      </c>
      <c r="G160" s="76" t="str">
        <f>IF(Master[[#This Row],[SLOPE]]="","",Master[[#This Row],[SLOPE]])</f>
        <v/>
      </c>
      <c r="H160" s="76" t="str">
        <f>IF(Master[[#This Row],[SLOPE Original Value]]="","",Master[[#This Row],[SLOPE Original Value]])</f>
        <v/>
      </c>
    </row>
    <row r="161" spans="2:8" x14ac:dyDescent="0.25">
      <c r="B161" t="str">
        <f>Master[[#This Row],[Accession Prefix (NPGS)]]&amp;" "&amp;Master[[#This Row],[Accession Number -Assigned]]&amp;" COLLECTED "&amp;TEXT(Master[[#This Row],[Date Collected or Developed]], "MM/DD/YYYY")</f>
        <v xml:space="preserve">  COLLECTED 01/00/1900</v>
      </c>
      <c r="C161" t="str">
        <f t="shared" si="5"/>
        <v>SLOPE</v>
      </c>
      <c r="D161" s="9"/>
      <c r="F161" s="17" t="str">
        <f>IF(Master[[#This Row],[SLOPE]]="","",Master[[#This Row],[SLOPE]])</f>
        <v/>
      </c>
      <c r="G161" s="76" t="str">
        <f>IF(Master[[#This Row],[SLOPE]]="","",Master[[#This Row],[SLOPE]])</f>
        <v/>
      </c>
      <c r="H161" s="76" t="str">
        <f>IF(Master[[#This Row],[SLOPE Original Value]]="","",Master[[#This Row],[SLOPE Original Value]])</f>
        <v/>
      </c>
    </row>
    <row r="162" spans="2:8" x14ac:dyDescent="0.25">
      <c r="B162" t="str">
        <f>Master[[#This Row],[Accession Prefix (NPGS)]]&amp;" "&amp;Master[[#This Row],[Accession Number -Assigned]]&amp;" COLLECTED "&amp;TEXT(Master[[#This Row],[Date Collected or Developed]], "MM/DD/YYYY")</f>
        <v xml:space="preserve">  COLLECTED 01/00/1900</v>
      </c>
      <c r="C162" t="str">
        <f t="shared" si="5"/>
        <v>SLOPE</v>
      </c>
      <c r="D162" s="9"/>
      <c r="F162" s="17" t="str">
        <f>IF(Master[[#This Row],[SLOPE]]="","",Master[[#This Row],[SLOPE]])</f>
        <v/>
      </c>
      <c r="G162" s="76" t="str">
        <f>IF(Master[[#This Row],[SLOPE]]="","",Master[[#This Row],[SLOPE]])</f>
        <v/>
      </c>
      <c r="H162" s="76" t="str">
        <f>IF(Master[[#This Row],[SLOPE Original Value]]="","",Master[[#This Row],[SLOPE Original Value]])</f>
        <v/>
      </c>
    </row>
    <row r="163" spans="2:8" x14ac:dyDescent="0.25">
      <c r="B163" t="str">
        <f>Master[[#This Row],[Accession Prefix (NPGS)]]&amp;" "&amp;Master[[#This Row],[Accession Number -Assigned]]&amp;" COLLECTED "&amp;TEXT(Master[[#This Row],[Date Collected or Developed]], "MM/DD/YYYY")</f>
        <v xml:space="preserve">  COLLECTED 01/00/1900</v>
      </c>
      <c r="C163" t="str">
        <f t="shared" si="5"/>
        <v>SLOPE</v>
      </c>
      <c r="D163" s="9"/>
      <c r="F163" s="17" t="str">
        <f>IF(Master[[#This Row],[SLOPE]]="","",Master[[#This Row],[SLOPE]])</f>
        <v/>
      </c>
      <c r="G163" s="76" t="str">
        <f>IF(Master[[#This Row],[SLOPE]]="","",Master[[#This Row],[SLOPE]])</f>
        <v/>
      </c>
      <c r="H163" s="76" t="str">
        <f>IF(Master[[#This Row],[SLOPE Original Value]]="","",Master[[#This Row],[SLOPE Original Value]])</f>
        <v/>
      </c>
    </row>
    <row r="164" spans="2:8" x14ac:dyDescent="0.25">
      <c r="B164" t="str">
        <f>Master[[#This Row],[Accession Prefix (NPGS)]]&amp;" "&amp;Master[[#This Row],[Accession Number -Assigned]]&amp;" COLLECTED "&amp;TEXT(Master[[#This Row],[Date Collected or Developed]], "MM/DD/YYYY")</f>
        <v xml:space="preserve">  COLLECTED 01/00/1900</v>
      </c>
      <c r="C164" t="str">
        <f t="shared" si="5"/>
        <v>SLOPE</v>
      </c>
      <c r="D164" s="9"/>
      <c r="F164" s="17" t="str">
        <f>IF(Master[[#This Row],[SLOPE]]="","",Master[[#This Row],[SLOPE]])</f>
        <v/>
      </c>
      <c r="G164" s="76" t="str">
        <f>IF(Master[[#This Row],[SLOPE]]="","",Master[[#This Row],[SLOPE]])</f>
        <v/>
      </c>
      <c r="H164" s="76" t="str">
        <f>IF(Master[[#This Row],[SLOPE Original Value]]="","",Master[[#This Row],[SLOPE Original Value]])</f>
        <v/>
      </c>
    </row>
    <row r="165" spans="2:8" x14ac:dyDescent="0.25">
      <c r="B165" t="str">
        <f>Master[[#This Row],[Accession Prefix (NPGS)]]&amp;" "&amp;Master[[#This Row],[Accession Number -Assigned]]&amp;" COLLECTED "&amp;TEXT(Master[[#This Row],[Date Collected or Developed]], "MM/DD/YYYY")</f>
        <v xml:space="preserve">  COLLECTED 01/00/1900</v>
      </c>
      <c r="C165" t="str">
        <f t="shared" si="5"/>
        <v>SLOPE</v>
      </c>
      <c r="D165" s="9"/>
      <c r="F165" s="17" t="str">
        <f>IF(Master[[#This Row],[SLOPE]]="","",Master[[#This Row],[SLOPE]])</f>
        <v/>
      </c>
      <c r="G165" s="76" t="str">
        <f>IF(Master[[#This Row],[SLOPE]]="","",Master[[#This Row],[SLOPE]])</f>
        <v/>
      </c>
      <c r="H165" s="76" t="str">
        <f>IF(Master[[#This Row],[SLOPE Original Value]]="","",Master[[#This Row],[SLOPE Original Value]])</f>
        <v/>
      </c>
    </row>
    <row r="166" spans="2:8" x14ac:dyDescent="0.25">
      <c r="B166" t="str">
        <f>Master[[#This Row],[Accession Prefix (NPGS)]]&amp;" "&amp;Master[[#This Row],[Accession Number -Assigned]]&amp;" COLLECTED "&amp;TEXT(Master[[#This Row],[Date Collected or Developed]], "MM/DD/YYYY")</f>
        <v xml:space="preserve">  COLLECTED 01/00/1900</v>
      </c>
      <c r="C166" t="str">
        <f t="shared" si="5"/>
        <v>SLOPE</v>
      </c>
      <c r="D166" s="9"/>
      <c r="F166" s="17" t="str">
        <f>IF(Master[[#This Row],[SLOPE]]="","",Master[[#This Row],[SLOPE]])</f>
        <v/>
      </c>
      <c r="G166" s="76" t="str">
        <f>IF(Master[[#This Row],[SLOPE]]="","",Master[[#This Row],[SLOPE]])</f>
        <v/>
      </c>
      <c r="H166" s="76" t="str">
        <f>IF(Master[[#This Row],[SLOPE Original Value]]="","",Master[[#This Row],[SLOPE Original Value]])</f>
        <v/>
      </c>
    </row>
    <row r="167" spans="2:8" x14ac:dyDescent="0.25">
      <c r="B167" t="str">
        <f>Master[[#This Row],[Accession Prefix (NPGS)]]&amp;" "&amp;Master[[#This Row],[Accession Number -Assigned]]&amp;" COLLECTED "&amp;TEXT(Master[[#This Row],[Date Collected or Developed]], "MM/DD/YYYY")</f>
        <v xml:space="preserve">  COLLECTED 01/00/1900</v>
      </c>
      <c r="C167" t="str">
        <f t="shared" si="5"/>
        <v>SLOPE</v>
      </c>
      <c r="D167" s="9"/>
      <c r="F167" s="17" t="str">
        <f>IF(Master[[#This Row],[SLOPE]]="","",Master[[#This Row],[SLOPE]])</f>
        <v/>
      </c>
      <c r="G167" s="76" t="str">
        <f>IF(Master[[#This Row],[SLOPE]]="","",Master[[#This Row],[SLOPE]])</f>
        <v/>
      </c>
      <c r="H167" s="76" t="str">
        <f>IF(Master[[#This Row],[SLOPE Original Value]]="","",Master[[#This Row],[SLOPE Original Value]])</f>
        <v/>
      </c>
    </row>
    <row r="168" spans="2:8" x14ac:dyDescent="0.25">
      <c r="B168" t="str">
        <f>Master[[#This Row],[Accession Prefix (NPGS)]]&amp;" "&amp;Master[[#This Row],[Accession Number -Assigned]]&amp;" COLLECTED "&amp;TEXT(Master[[#This Row],[Date Collected or Developed]], "MM/DD/YYYY")</f>
        <v xml:space="preserve">  COLLECTED 01/00/1900</v>
      </c>
      <c r="C168" t="str">
        <f t="shared" si="5"/>
        <v>SLOPE</v>
      </c>
      <c r="D168" s="9"/>
      <c r="F168" s="17" t="str">
        <f>IF(Master[[#This Row],[SLOPE]]="","",Master[[#This Row],[SLOPE]])</f>
        <v/>
      </c>
      <c r="G168" s="76" t="str">
        <f>IF(Master[[#This Row],[SLOPE]]="","",Master[[#This Row],[SLOPE]])</f>
        <v/>
      </c>
      <c r="H168" s="76" t="str">
        <f>IF(Master[[#This Row],[SLOPE Original Value]]="","",Master[[#This Row],[SLOPE Original Value]])</f>
        <v/>
      </c>
    </row>
    <row r="169" spans="2:8" x14ac:dyDescent="0.25">
      <c r="B169" t="str">
        <f>Master[[#This Row],[Accession Prefix (NPGS)]]&amp;" "&amp;Master[[#This Row],[Accession Number -Assigned]]&amp;" COLLECTED "&amp;TEXT(Master[[#This Row],[Date Collected or Developed]], "MM/DD/YYYY")</f>
        <v xml:space="preserve">  COLLECTED 01/00/1900</v>
      </c>
      <c r="C169" t="str">
        <f t="shared" si="5"/>
        <v>SLOPE</v>
      </c>
      <c r="D169" s="9"/>
      <c r="F169" s="17" t="str">
        <f>IF(Master[[#This Row],[SLOPE]]="","",Master[[#This Row],[SLOPE]])</f>
        <v/>
      </c>
      <c r="G169" s="76" t="str">
        <f>IF(Master[[#This Row],[SLOPE]]="","",Master[[#This Row],[SLOPE]])</f>
        <v/>
      </c>
      <c r="H169" s="76" t="str">
        <f>IF(Master[[#This Row],[SLOPE Original Value]]="","",Master[[#This Row],[SLOPE Original Value]])</f>
        <v/>
      </c>
    </row>
    <row r="170" spans="2:8" x14ac:dyDescent="0.25">
      <c r="B170" t="str">
        <f>Master[[#This Row],[Accession Prefix (NPGS)]]&amp;" "&amp;Master[[#This Row],[Accession Number -Assigned]]&amp;" COLLECTED "&amp;TEXT(Master[[#This Row],[Date Collected or Developed]], "MM/DD/YYYY")</f>
        <v xml:space="preserve">  COLLECTED 01/00/1900</v>
      </c>
      <c r="C170" t="str">
        <f t="shared" si="5"/>
        <v>SLOPE</v>
      </c>
      <c r="D170" s="9"/>
      <c r="F170" s="17" t="str">
        <f>IF(Master[[#This Row],[SLOPE]]="","",Master[[#This Row],[SLOPE]])</f>
        <v/>
      </c>
      <c r="G170" s="76" t="str">
        <f>IF(Master[[#This Row],[SLOPE]]="","",Master[[#This Row],[SLOPE]])</f>
        <v/>
      </c>
      <c r="H170" s="76" t="str">
        <f>IF(Master[[#This Row],[SLOPE Original Value]]="","",Master[[#This Row],[SLOPE Original Value]])</f>
        <v/>
      </c>
    </row>
    <row r="171" spans="2:8" x14ac:dyDescent="0.25">
      <c r="B171" t="str">
        <f>Master[[#This Row],[Accession Prefix (NPGS)]]&amp;" "&amp;Master[[#This Row],[Accession Number -Assigned]]&amp;" COLLECTED "&amp;TEXT(Master[[#This Row],[Date Collected or Developed]], "MM/DD/YYYY")</f>
        <v xml:space="preserve">  COLLECTED 01/00/1900</v>
      </c>
      <c r="C171" t="str">
        <f t="shared" si="5"/>
        <v>SLOPE</v>
      </c>
      <c r="D171" s="9"/>
      <c r="F171" s="17" t="str">
        <f>IF(Master[[#This Row],[SLOPE]]="","",Master[[#This Row],[SLOPE]])</f>
        <v/>
      </c>
      <c r="G171" s="76" t="str">
        <f>IF(Master[[#This Row],[SLOPE]]="","",Master[[#This Row],[SLOPE]])</f>
        <v/>
      </c>
      <c r="H171" s="76" t="str">
        <f>IF(Master[[#This Row],[SLOPE Original Value]]="","",Master[[#This Row],[SLOPE Original Value]])</f>
        <v/>
      </c>
    </row>
    <row r="172" spans="2:8" x14ac:dyDescent="0.25">
      <c r="B172" t="str">
        <f>Master[[#This Row],[Accession Prefix (NPGS)]]&amp;" "&amp;Master[[#This Row],[Accession Number -Assigned]]&amp;" COLLECTED "&amp;TEXT(Master[[#This Row],[Date Collected or Developed]], "MM/DD/YYYY")</f>
        <v xml:space="preserve">  COLLECTED 01/00/1900</v>
      </c>
      <c r="C172" t="str">
        <f t="shared" si="5"/>
        <v>SLOPE</v>
      </c>
      <c r="D172" s="9"/>
      <c r="F172" s="17" t="str">
        <f>IF(Master[[#This Row],[SLOPE]]="","",Master[[#This Row],[SLOPE]])</f>
        <v/>
      </c>
      <c r="G172" s="76" t="str">
        <f>IF(Master[[#This Row],[SLOPE]]="","",Master[[#This Row],[SLOPE]])</f>
        <v/>
      </c>
      <c r="H172" s="76" t="str">
        <f>IF(Master[[#This Row],[SLOPE Original Value]]="","",Master[[#This Row],[SLOPE Original Value]])</f>
        <v/>
      </c>
    </row>
    <row r="173" spans="2:8" x14ac:dyDescent="0.25">
      <c r="B173" t="str">
        <f>Master[[#This Row],[Accession Prefix (NPGS)]]&amp;" "&amp;Master[[#This Row],[Accession Number -Assigned]]&amp;" COLLECTED "&amp;TEXT(Master[[#This Row],[Date Collected or Developed]], "MM/DD/YYYY")</f>
        <v xml:space="preserve">  COLLECTED 01/00/1900</v>
      </c>
      <c r="C173" t="str">
        <f t="shared" si="5"/>
        <v>SLOPE</v>
      </c>
      <c r="D173" s="9"/>
      <c r="F173" s="17" t="str">
        <f>IF(Master[[#This Row],[SLOPE]]="","",Master[[#This Row],[SLOPE]])</f>
        <v/>
      </c>
      <c r="G173" s="76" t="str">
        <f>IF(Master[[#This Row],[SLOPE]]="","",Master[[#This Row],[SLOPE]])</f>
        <v/>
      </c>
      <c r="H173" s="76" t="str">
        <f>IF(Master[[#This Row],[SLOPE Original Value]]="","",Master[[#This Row],[SLOPE Original Value]])</f>
        <v/>
      </c>
    </row>
    <row r="174" spans="2:8" x14ac:dyDescent="0.25">
      <c r="B174" t="str">
        <f>Master[[#This Row],[Accession Prefix (NPGS)]]&amp;" "&amp;Master[[#This Row],[Accession Number -Assigned]]&amp;" COLLECTED "&amp;TEXT(Master[[#This Row],[Date Collected or Developed]], "MM/DD/YYYY")</f>
        <v xml:space="preserve">  COLLECTED 01/00/1900</v>
      </c>
      <c r="C174" t="str">
        <f t="shared" si="5"/>
        <v>SLOPE</v>
      </c>
      <c r="D174" s="9"/>
      <c r="F174" s="17" t="str">
        <f>IF(Master[[#This Row],[SLOPE]]="","",Master[[#This Row],[SLOPE]])</f>
        <v/>
      </c>
      <c r="G174" s="76" t="str">
        <f>IF(Master[[#This Row],[SLOPE]]="","",Master[[#This Row],[SLOPE]])</f>
        <v/>
      </c>
      <c r="H174" s="76" t="str">
        <f>IF(Master[[#This Row],[SLOPE Original Value]]="","",Master[[#This Row],[SLOPE Original Value]])</f>
        <v/>
      </c>
    </row>
    <row r="175" spans="2:8" x14ac:dyDescent="0.25">
      <c r="B175" t="str">
        <f>Master[[#This Row],[Accession Prefix (NPGS)]]&amp;" "&amp;Master[[#This Row],[Accession Number -Assigned]]&amp;" COLLECTED "&amp;TEXT(Master[[#This Row],[Date Collected or Developed]], "MM/DD/YYYY")</f>
        <v xml:space="preserve">  COLLECTED 01/00/1900</v>
      </c>
      <c r="C175" t="str">
        <f t="shared" si="5"/>
        <v>SLOPE</v>
      </c>
      <c r="D175" s="9"/>
      <c r="F175" s="17" t="str">
        <f>IF(Master[[#This Row],[SLOPE]]="","",Master[[#This Row],[SLOPE]])</f>
        <v/>
      </c>
      <c r="G175" s="76" t="str">
        <f>IF(Master[[#This Row],[SLOPE]]="","",Master[[#This Row],[SLOPE]])</f>
        <v/>
      </c>
      <c r="H175" s="76" t="str">
        <f>IF(Master[[#This Row],[SLOPE Original Value]]="","",Master[[#This Row],[SLOPE Original Value]])</f>
        <v/>
      </c>
    </row>
    <row r="176" spans="2:8" x14ac:dyDescent="0.25">
      <c r="B176" t="str">
        <f>Master[[#This Row],[Accession Prefix (NPGS)]]&amp;" "&amp;Master[[#This Row],[Accession Number -Assigned]]&amp;" COLLECTED "&amp;TEXT(Master[[#This Row],[Date Collected or Developed]], "MM/DD/YYYY")</f>
        <v xml:space="preserve">  COLLECTED 01/00/1900</v>
      </c>
      <c r="C176" t="str">
        <f t="shared" si="5"/>
        <v>SLOPE</v>
      </c>
      <c r="D176" s="9"/>
      <c r="F176" s="17" t="str">
        <f>IF(Master[[#This Row],[SLOPE]]="","",Master[[#This Row],[SLOPE]])</f>
        <v/>
      </c>
      <c r="G176" s="76" t="str">
        <f>IF(Master[[#This Row],[SLOPE]]="","",Master[[#This Row],[SLOPE]])</f>
        <v/>
      </c>
      <c r="H176" s="76" t="str">
        <f>IF(Master[[#This Row],[SLOPE Original Value]]="","",Master[[#This Row],[SLOPE Original Value]])</f>
        <v/>
      </c>
    </row>
    <row r="177" spans="2:8" x14ac:dyDescent="0.25">
      <c r="B177" t="str">
        <f>Master[[#This Row],[Accession Prefix (NPGS)]]&amp;" "&amp;Master[[#This Row],[Accession Number -Assigned]]&amp;" COLLECTED "&amp;TEXT(Master[[#This Row],[Date Collected or Developed]], "MM/DD/YYYY")</f>
        <v xml:space="preserve">  COLLECTED 01/00/1900</v>
      </c>
      <c r="C177" t="str">
        <f t="shared" si="5"/>
        <v>SLOPE</v>
      </c>
      <c r="D177" s="9"/>
      <c r="F177" s="17" t="str">
        <f>IF(Master[[#This Row],[SLOPE]]="","",Master[[#This Row],[SLOPE]])</f>
        <v/>
      </c>
      <c r="G177" s="76" t="str">
        <f>IF(Master[[#This Row],[SLOPE]]="","",Master[[#This Row],[SLOPE]])</f>
        <v/>
      </c>
      <c r="H177" s="76" t="str">
        <f>IF(Master[[#This Row],[SLOPE Original Value]]="","",Master[[#This Row],[SLOPE Original Value]])</f>
        <v/>
      </c>
    </row>
    <row r="178" spans="2:8" x14ac:dyDescent="0.25">
      <c r="B178" t="str">
        <f>Master[[#This Row],[Accession Prefix (NPGS)]]&amp;" "&amp;Master[[#This Row],[Accession Number -Assigned]]&amp;" COLLECTED "&amp;TEXT(Master[[#This Row],[Date Collected or Developed]], "MM/DD/YYYY")</f>
        <v xml:space="preserve">  COLLECTED 01/00/1900</v>
      </c>
      <c r="C178" t="str">
        <f t="shared" si="5"/>
        <v>SLOPE</v>
      </c>
      <c r="D178" s="9"/>
      <c r="F178" s="17" t="str">
        <f>IF(Master[[#This Row],[SLOPE]]="","",Master[[#This Row],[SLOPE]])</f>
        <v/>
      </c>
      <c r="G178" s="76" t="str">
        <f>IF(Master[[#This Row],[SLOPE]]="","",Master[[#This Row],[SLOPE]])</f>
        <v/>
      </c>
      <c r="H178" s="76" t="str">
        <f>IF(Master[[#This Row],[SLOPE Original Value]]="","",Master[[#This Row],[SLOPE Original Value]])</f>
        <v/>
      </c>
    </row>
    <row r="179" spans="2:8" x14ac:dyDescent="0.25">
      <c r="B179" t="str">
        <f>Master[[#This Row],[Accession Prefix (NPGS)]]&amp;" "&amp;Master[[#This Row],[Accession Number -Assigned]]&amp;" COLLECTED "&amp;TEXT(Master[[#This Row],[Date Collected or Developed]], "MM/DD/YYYY")</f>
        <v xml:space="preserve">  COLLECTED 01/00/1900</v>
      </c>
      <c r="C179" t="str">
        <f t="shared" si="5"/>
        <v>SLOPE</v>
      </c>
      <c r="D179" s="9"/>
      <c r="F179" s="17" t="str">
        <f>IF(Master[[#This Row],[SLOPE]]="","",Master[[#This Row],[SLOPE]])</f>
        <v/>
      </c>
      <c r="G179" s="76" t="str">
        <f>IF(Master[[#This Row],[SLOPE]]="","",Master[[#This Row],[SLOPE]])</f>
        <v/>
      </c>
      <c r="H179" s="76" t="str">
        <f>IF(Master[[#This Row],[SLOPE Original Value]]="","",Master[[#This Row],[SLOPE Original Value]])</f>
        <v/>
      </c>
    </row>
    <row r="180" spans="2:8" x14ac:dyDescent="0.25">
      <c r="B180" t="str">
        <f>Master[[#This Row],[Accession Prefix (NPGS)]]&amp;" "&amp;Master[[#This Row],[Accession Number -Assigned]]&amp;" COLLECTED "&amp;TEXT(Master[[#This Row],[Date Collected or Developed]], "MM/DD/YYYY")</f>
        <v xml:space="preserve">  COLLECTED 01/00/1900</v>
      </c>
      <c r="C180" t="str">
        <f t="shared" si="5"/>
        <v>SLOPE</v>
      </c>
      <c r="D180" s="9"/>
      <c r="F180" s="17" t="str">
        <f>IF(Master[[#This Row],[SLOPE]]="","",Master[[#This Row],[SLOPE]])</f>
        <v/>
      </c>
      <c r="G180" s="76" t="str">
        <f>IF(Master[[#This Row],[SLOPE]]="","",Master[[#This Row],[SLOPE]])</f>
        <v/>
      </c>
      <c r="H180" s="76" t="str">
        <f>IF(Master[[#This Row],[SLOPE Original Value]]="","",Master[[#This Row],[SLOPE Original Value]])</f>
        <v/>
      </c>
    </row>
    <row r="181" spans="2:8" x14ac:dyDescent="0.25">
      <c r="B181" t="str">
        <f>Master[[#This Row],[Accession Prefix (NPGS)]]&amp;" "&amp;Master[[#This Row],[Accession Number -Assigned]]&amp;" COLLECTED "&amp;TEXT(Master[[#This Row],[Date Collected or Developed]], "MM/DD/YYYY")</f>
        <v xml:space="preserve">  COLLECTED 01/00/1900</v>
      </c>
      <c r="C181" t="str">
        <f t="shared" si="5"/>
        <v>SLOPE</v>
      </c>
      <c r="D181" s="9"/>
      <c r="F181" s="17" t="str">
        <f>IF(Master[[#This Row],[SLOPE]]="","",Master[[#This Row],[SLOPE]])</f>
        <v/>
      </c>
      <c r="G181" s="76" t="str">
        <f>IF(Master[[#This Row],[SLOPE]]="","",Master[[#This Row],[SLOPE]])</f>
        <v/>
      </c>
      <c r="H181" s="76" t="str">
        <f>IF(Master[[#This Row],[SLOPE Original Value]]="","",Master[[#This Row],[SLOPE Original Value]])</f>
        <v/>
      </c>
    </row>
    <row r="182" spans="2:8" x14ac:dyDescent="0.25">
      <c r="B182" t="str">
        <f>Master[[#This Row],[Accession Prefix (NPGS)]]&amp;" "&amp;Master[[#This Row],[Accession Number -Assigned]]&amp;" COLLECTED "&amp;TEXT(Master[[#This Row],[Date Collected or Developed]], "MM/DD/YYYY")</f>
        <v xml:space="preserve">  COLLECTED 01/00/1900</v>
      </c>
      <c r="C182" t="str">
        <f t="shared" ref="C182:C201" si="6">"SLOPE"</f>
        <v>SLOPE</v>
      </c>
      <c r="D182" s="9"/>
      <c r="F182" s="17" t="str">
        <f>IF(Master[[#This Row],[SLOPE]]="","",Master[[#This Row],[SLOPE]])</f>
        <v/>
      </c>
      <c r="G182" s="76" t="str">
        <f>IF(Master[[#This Row],[SLOPE]]="","",Master[[#This Row],[SLOPE]])</f>
        <v/>
      </c>
      <c r="H182" s="76" t="str">
        <f>IF(Master[[#This Row],[SLOPE Original Value]]="","",Master[[#This Row],[SLOPE Original Value]])</f>
        <v/>
      </c>
    </row>
    <row r="183" spans="2:8" x14ac:dyDescent="0.25">
      <c r="B183" t="str">
        <f>Master[[#This Row],[Accession Prefix (NPGS)]]&amp;" "&amp;Master[[#This Row],[Accession Number -Assigned]]&amp;" COLLECTED "&amp;TEXT(Master[[#This Row],[Date Collected or Developed]], "MM/DD/YYYY")</f>
        <v xml:space="preserve">  COLLECTED 01/00/1900</v>
      </c>
      <c r="C183" t="str">
        <f t="shared" si="6"/>
        <v>SLOPE</v>
      </c>
      <c r="D183" s="9"/>
      <c r="F183" s="17" t="str">
        <f>IF(Master[[#This Row],[SLOPE]]="","",Master[[#This Row],[SLOPE]])</f>
        <v/>
      </c>
      <c r="G183" s="76" t="str">
        <f>IF(Master[[#This Row],[SLOPE]]="","",Master[[#This Row],[SLOPE]])</f>
        <v/>
      </c>
      <c r="H183" s="76" t="str">
        <f>IF(Master[[#This Row],[SLOPE Original Value]]="","",Master[[#This Row],[SLOPE Original Value]])</f>
        <v/>
      </c>
    </row>
    <row r="184" spans="2:8" x14ac:dyDescent="0.25">
      <c r="B184" t="str">
        <f>Master[[#This Row],[Accession Prefix (NPGS)]]&amp;" "&amp;Master[[#This Row],[Accession Number -Assigned]]&amp;" COLLECTED "&amp;TEXT(Master[[#This Row],[Date Collected or Developed]], "MM/DD/YYYY")</f>
        <v xml:space="preserve">  COLLECTED 01/00/1900</v>
      </c>
      <c r="C184" t="str">
        <f t="shared" si="6"/>
        <v>SLOPE</v>
      </c>
      <c r="D184" s="9"/>
      <c r="F184" s="17" t="str">
        <f>IF(Master[[#This Row],[SLOPE]]="","",Master[[#This Row],[SLOPE]])</f>
        <v/>
      </c>
      <c r="G184" s="76" t="str">
        <f>IF(Master[[#This Row],[SLOPE]]="","",Master[[#This Row],[SLOPE]])</f>
        <v/>
      </c>
      <c r="H184" s="76" t="str">
        <f>IF(Master[[#This Row],[SLOPE Original Value]]="","",Master[[#This Row],[SLOPE Original Value]])</f>
        <v/>
      </c>
    </row>
    <row r="185" spans="2:8" x14ac:dyDescent="0.25">
      <c r="B185" t="str">
        <f>Master[[#This Row],[Accession Prefix (NPGS)]]&amp;" "&amp;Master[[#This Row],[Accession Number -Assigned]]&amp;" COLLECTED "&amp;TEXT(Master[[#This Row],[Date Collected or Developed]], "MM/DD/YYYY")</f>
        <v xml:space="preserve">  COLLECTED 01/00/1900</v>
      </c>
      <c r="C185" t="str">
        <f t="shared" si="6"/>
        <v>SLOPE</v>
      </c>
      <c r="D185" s="9"/>
      <c r="F185" s="17" t="str">
        <f>IF(Master[[#This Row],[SLOPE]]="","",Master[[#This Row],[SLOPE]])</f>
        <v/>
      </c>
      <c r="G185" s="76" t="str">
        <f>IF(Master[[#This Row],[SLOPE]]="","",Master[[#This Row],[SLOPE]])</f>
        <v/>
      </c>
      <c r="H185" s="76" t="str">
        <f>IF(Master[[#This Row],[SLOPE Original Value]]="","",Master[[#This Row],[SLOPE Original Value]])</f>
        <v/>
      </c>
    </row>
    <row r="186" spans="2:8" x14ac:dyDescent="0.25">
      <c r="B186" t="str">
        <f>Master[[#This Row],[Accession Prefix (NPGS)]]&amp;" "&amp;Master[[#This Row],[Accession Number -Assigned]]&amp;" COLLECTED "&amp;TEXT(Master[[#This Row],[Date Collected or Developed]], "MM/DD/YYYY")</f>
        <v xml:space="preserve">  COLLECTED 01/00/1900</v>
      </c>
      <c r="C186" t="str">
        <f t="shared" si="6"/>
        <v>SLOPE</v>
      </c>
      <c r="D186" s="9"/>
      <c r="F186" s="17" t="str">
        <f>IF(Master[[#This Row],[SLOPE]]="","",Master[[#This Row],[SLOPE]])</f>
        <v/>
      </c>
      <c r="G186" s="76" t="str">
        <f>IF(Master[[#This Row],[SLOPE]]="","",Master[[#This Row],[SLOPE]])</f>
        <v/>
      </c>
      <c r="H186" s="76" t="str">
        <f>IF(Master[[#This Row],[SLOPE Original Value]]="","",Master[[#This Row],[SLOPE Original Value]])</f>
        <v/>
      </c>
    </row>
    <row r="187" spans="2:8" x14ac:dyDescent="0.25">
      <c r="B187" t="str">
        <f>Master[[#This Row],[Accession Prefix (NPGS)]]&amp;" "&amp;Master[[#This Row],[Accession Number -Assigned]]&amp;" COLLECTED "&amp;TEXT(Master[[#This Row],[Date Collected or Developed]], "MM/DD/YYYY")</f>
        <v xml:space="preserve">  COLLECTED 01/00/1900</v>
      </c>
      <c r="C187" t="str">
        <f t="shared" si="6"/>
        <v>SLOPE</v>
      </c>
      <c r="D187" s="9"/>
      <c r="F187" s="17" t="str">
        <f>IF(Master[[#This Row],[SLOPE]]="","",Master[[#This Row],[SLOPE]])</f>
        <v/>
      </c>
      <c r="G187" s="76" t="str">
        <f>IF(Master[[#This Row],[SLOPE]]="","",Master[[#This Row],[SLOPE]])</f>
        <v/>
      </c>
      <c r="H187" s="76" t="str">
        <f>IF(Master[[#This Row],[SLOPE Original Value]]="","",Master[[#This Row],[SLOPE Original Value]])</f>
        <v/>
      </c>
    </row>
    <row r="188" spans="2:8" x14ac:dyDescent="0.25">
      <c r="B188" t="str">
        <f>Master[[#This Row],[Accession Prefix (NPGS)]]&amp;" "&amp;Master[[#This Row],[Accession Number -Assigned]]&amp;" COLLECTED "&amp;TEXT(Master[[#This Row],[Date Collected or Developed]], "MM/DD/YYYY")</f>
        <v xml:space="preserve">  COLLECTED 01/00/1900</v>
      </c>
      <c r="C188" t="str">
        <f t="shared" si="6"/>
        <v>SLOPE</v>
      </c>
      <c r="D188" s="9"/>
      <c r="F188" s="17" t="str">
        <f>IF(Master[[#This Row],[SLOPE]]="","",Master[[#This Row],[SLOPE]])</f>
        <v/>
      </c>
      <c r="G188" s="76" t="str">
        <f>IF(Master[[#This Row],[SLOPE]]="","",Master[[#This Row],[SLOPE]])</f>
        <v/>
      </c>
      <c r="H188" s="76" t="str">
        <f>IF(Master[[#This Row],[SLOPE Original Value]]="","",Master[[#This Row],[SLOPE Original Value]])</f>
        <v/>
      </c>
    </row>
    <row r="189" spans="2:8" x14ac:dyDescent="0.25">
      <c r="B189" t="str">
        <f>Master[[#This Row],[Accession Prefix (NPGS)]]&amp;" "&amp;Master[[#This Row],[Accession Number -Assigned]]&amp;" COLLECTED "&amp;TEXT(Master[[#This Row],[Date Collected or Developed]], "MM/DD/YYYY")</f>
        <v xml:space="preserve">  COLLECTED 01/00/1900</v>
      </c>
      <c r="C189" t="str">
        <f t="shared" si="6"/>
        <v>SLOPE</v>
      </c>
      <c r="D189" s="9"/>
      <c r="F189" s="17" t="str">
        <f>IF(Master[[#This Row],[SLOPE]]="","",Master[[#This Row],[SLOPE]])</f>
        <v/>
      </c>
      <c r="G189" s="76" t="str">
        <f>IF(Master[[#This Row],[SLOPE]]="","",Master[[#This Row],[SLOPE]])</f>
        <v/>
      </c>
      <c r="H189" s="76" t="str">
        <f>IF(Master[[#This Row],[SLOPE Original Value]]="","",Master[[#This Row],[SLOPE Original Value]])</f>
        <v/>
      </c>
    </row>
    <row r="190" spans="2:8" x14ac:dyDescent="0.25">
      <c r="B190" t="str">
        <f>Master[[#This Row],[Accession Prefix (NPGS)]]&amp;" "&amp;Master[[#This Row],[Accession Number -Assigned]]&amp;" COLLECTED "&amp;TEXT(Master[[#This Row],[Date Collected or Developed]], "MM/DD/YYYY")</f>
        <v xml:space="preserve">  COLLECTED 01/00/1900</v>
      </c>
      <c r="C190" t="str">
        <f t="shared" si="6"/>
        <v>SLOPE</v>
      </c>
      <c r="D190" s="9"/>
      <c r="F190" s="17" t="str">
        <f>IF(Master[[#This Row],[SLOPE]]="","",Master[[#This Row],[SLOPE]])</f>
        <v/>
      </c>
      <c r="G190" s="76" t="str">
        <f>IF(Master[[#This Row],[SLOPE]]="","",Master[[#This Row],[SLOPE]])</f>
        <v/>
      </c>
      <c r="H190" s="76" t="str">
        <f>IF(Master[[#This Row],[SLOPE Original Value]]="","",Master[[#This Row],[SLOPE Original Value]])</f>
        <v/>
      </c>
    </row>
    <row r="191" spans="2:8" x14ac:dyDescent="0.25">
      <c r="B191" t="str">
        <f>Master[[#This Row],[Accession Prefix (NPGS)]]&amp;" "&amp;Master[[#This Row],[Accession Number -Assigned]]&amp;" COLLECTED "&amp;TEXT(Master[[#This Row],[Date Collected or Developed]], "MM/DD/YYYY")</f>
        <v xml:space="preserve">  COLLECTED 01/00/1900</v>
      </c>
      <c r="C191" t="str">
        <f t="shared" si="6"/>
        <v>SLOPE</v>
      </c>
      <c r="D191" s="9"/>
      <c r="F191" s="17" t="str">
        <f>IF(Master[[#This Row],[SLOPE]]="","",Master[[#This Row],[SLOPE]])</f>
        <v/>
      </c>
      <c r="G191" s="76" t="str">
        <f>IF(Master[[#This Row],[SLOPE]]="","",Master[[#This Row],[SLOPE]])</f>
        <v/>
      </c>
      <c r="H191" s="76" t="str">
        <f>IF(Master[[#This Row],[SLOPE Original Value]]="","",Master[[#This Row],[SLOPE Original Value]])</f>
        <v/>
      </c>
    </row>
    <row r="192" spans="2:8" x14ac:dyDescent="0.25">
      <c r="B192" t="str">
        <f>Master[[#This Row],[Accession Prefix (NPGS)]]&amp;" "&amp;Master[[#This Row],[Accession Number -Assigned]]&amp;" COLLECTED "&amp;TEXT(Master[[#This Row],[Date Collected or Developed]], "MM/DD/YYYY")</f>
        <v xml:space="preserve">  COLLECTED 01/00/1900</v>
      </c>
      <c r="C192" t="str">
        <f t="shared" si="6"/>
        <v>SLOPE</v>
      </c>
      <c r="D192" s="9"/>
      <c r="F192" s="17" t="str">
        <f>IF(Master[[#This Row],[SLOPE]]="","",Master[[#This Row],[SLOPE]])</f>
        <v/>
      </c>
      <c r="G192" s="76" t="str">
        <f>IF(Master[[#This Row],[SLOPE]]="","",Master[[#This Row],[SLOPE]])</f>
        <v/>
      </c>
      <c r="H192" s="76" t="str">
        <f>IF(Master[[#This Row],[SLOPE Original Value]]="","",Master[[#This Row],[SLOPE Original Value]])</f>
        <v/>
      </c>
    </row>
    <row r="193" spans="2:8" x14ac:dyDescent="0.25">
      <c r="B193" t="str">
        <f>Master[[#This Row],[Accession Prefix (NPGS)]]&amp;" "&amp;Master[[#This Row],[Accession Number -Assigned]]&amp;" COLLECTED "&amp;TEXT(Master[[#This Row],[Date Collected or Developed]], "MM/DD/YYYY")</f>
        <v xml:space="preserve">  COLLECTED 01/00/1900</v>
      </c>
      <c r="C193" t="str">
        <f t="shared" si="6"/>
        <v>SLOPE</v>
      </c>
      <c r="D193" s="9"/>
      <c r="F193" s="17" t="str">
        <f>IF(Master[[#This Row],[SLOPE]]="","",Master[[#This Row],[SLOPE]])</f>
        <v/>
      </c>
      <c r="G193" s="76" t="str">
        <f>IF(Master[[#This Row],[SLOPE]]="","",Master[[#This Row],[SLOPE]])</f>
        <v/>
      </c>
      <c r="H193" s="76" t="str">
        <f>IF(Master[[#This Row],[SLOPE Original Value]]="","",Master[[#This Row],[SLOPE Original Value]])</f>
        <v/>
      </c>
    </row>
    <row r="194" spans="2:8" x14ac:dyDescent="0.25">
      <c r="B194" t="str">
        <f>Master[[#This Row],[Accession Prefix (NPGS)]]&amp;" "&amp;Master[[#This Row],[Accession Number -Assigned]]&amp;" COLLECTED "&amp;TEXT(Master[[#This Row],[Date Collected or Developed]], "MM/DD/YYYY")</f>
        <v xml:space="preserve">  COLLECTED 01/00/1900</v>
      </c>
      <c r="C194" t="str">
        <f t="shared" si="6"/>
        <v>SLOPE</v>
      </c>
      <c r="D194" s="9"/>
      <c r="F194" s="17" t="str">
        <f>IF(Master[[#This Row],[SLOPE]]="","",Master[[#This Row],[SLOPE]])</f>
        <v/>
      </c>
      <c r="G194" s="76" t="str">
        <f>IF(Master[[#This Row],[SLOPE]]="","",Master[[#This Row],[SLOPE]])</f>
        <v/>
      </c>
      <c r="H194" s="76" t="str">
        <f>IF(Master[[#This Row],[SLOPE Original Value]]="","",Master[[#This Row],[SLOPE Original Value]])</f>
        <v/>
      </c>
    </row>
    <row r="195" spans="2:8" x14ac:dyDescent="0.25">
      <c r="B195" t="str">
        <f>Master[[#This Row],[Accession Prefix (NPGS)]]&amp;" "&amp;Master[[#This Row],[Accession Number -Assigned]]&amp;" COLLECTED "&amp;TEXT(Master[[#This Row],[Date Collected or Developed]], "MM/DD/YYYY")</f>
        <v xml:space="preserve">  COLLECTED 01/00/1900</v>
      </c>
      <c r="C195" t="str">
        <f t="shared" si="6"/>
        <v>SLOPE</v>
      </c>
      <c r="D195" s="9"/>
      <c r="F195" s="17" t="str">
        <f>IF(Master[[#This Row],[SLOPE]]="","",Master[[#This Row],[SLOPE]])</f>
        <v/>
      </c>
      <c r="G195" s="76" t="str">
        <f>IF(Master[[#This Row],[SLOPE]]="","",Master[[#This Row],[SLOPE]])</f>
        <v/>
      </c>
      <c r="H195" s="76" t="str">
        <f>IF(Master[[#This Row],[SLOPE Original Value]]="","",Master[[#This Row],[SLOPE Original Value]])</f>
        <v/>
      </c>
    </row>
    <row r="196" spans="2:8" x14ac:dyDescent="0.25">
      <c r="B196" t="str">
        <f>Master[[#This Row],[Accession Prefix (NPGS)]]&amp;" "&amp;Master[[#This Row],[Accession Number -Assigned]]&amp;" COLLECTED "&amp;TEXT(Master[[#This Row],[Date Collected or Developed]], "MM/DD/YYYY")</f>
        <v xml:space="preserve">  COLLECTED 01/00/1900</v>
      </c>
      <c r="C196" t="str">
        <f t="shared" si="6"/>
        <v>SLOPE</v>
      </c>
      <c r="D196" s="9"/>
      <c r="F196" s="17" t="str">
        <f>IF(Master[[#This Row],[SLOPE]]="","",Master[[#This Row],[SLOPE]])</f>
        <v/>
      </c>
      <c r="G196" s="76" t="str">
        <f>IF(Master[[#This Row],[SLOPE]]="","",Master[[#This Row],[SLOPE]])</f>
        <v/>
      </c>
      <c r="H196" s="76" t="str">
        <f>IF(Master[[#This Row],[SLOPE Original Value]]="","",Master[[#This Row],[SLOPE Original Value]])</f>
        <v/>
      </c>
    </row>
    <row r="197" spans="2:8" x14ac:dyDescent="0.25">
      <c r="B197" t="str">
        <f>Master[[#This Row],[Accession Prefix (NPGS)]]&amp;" "&amp;Master[[#This Row],[Accession Number -Assigned]]&amp;" COLLECTED "&amp;TEXT(Master[[#This Row],[Date Collected or Developed]], "MM/DD/YYYY")</f>
        <v xml:space="preserve">  COLLECTED 01/00/1900</v>
      </c>
      <c r="C197" t="str">
        <f t="shared" si="6"/>
        <v>SLOPE</v>
      </c>
      <c r="D197" s="9"/>
      <c r="F197" s="17" t="str">
        <f>IF(Master[[#This Row],[SLOPE]]="","",Master[[#This Row],[SLOPE]])</f>
        <v/>
      </c>
      <c r="G197" s="76" t="str">
        <f>IF(Master[[#This Row],[SLOPE]]="","",Master[[#This Row],[SLOPE]])</f>
        <v/>
      </c>
      <c r="H197" s="76" t="str">
        <f>IF(Master[[#This Row],[SLOPE Original Value]]="","",Master[[#This Row],[SLOPE Original Value]])</f>
        <v/>
      </c>
    </row>
    <row r="198" spans="2:8" x14ac:dyDescent="0.25">
      <c r="B198" t="str">
        <f>Master[[#This Row],[Accession Prefix (NPGS)]]&amp;" "&amp;Master[[#This Row],[Accession Number -Assigned]]&amp;" COLLECTED "&amp;TEXT(Master[[#This Row],[Date Collected or Developed]], "MM/DD/YYYY")</f>
        <v xml:space="preserve">  COLLECTED 01/00/1900</v>
      </c>
      <c r="C198" t="str">
        <f t="shared" si="6"/>
        <v>SLOPE</v>
      </c>
      <c r="D198" s="9"/>
      <c r="F198" s="17" t="str">
        <f>IF(Master[[#This Row],[SLOPE]]="","",Master[[#This Row],[SLOPE]])</f>
        <v/>
      </c>
      <c r="G198" s="76" t="str">
        <f>IF(Master[[#This Row],[SLOPE]]="","",Master[[#This Row],[SLOPE]])</f>
        <v/>
      </c>
      <c r="H198" s="76" t="str">
        <f>IF(Master[[#This Row],[SLOPE Original Value]]="","",Master[[#This Row],[SLOPE Original Value]])</f>
        <v/>
      </c>
    </row>
    <row r="199" spans="2:8" x14ac:dyDescent="0.25">
      <c r="B199" t="str">
        <f>Master[[#This Row],[Accession Prefix (NPGS)]]&amp;" "&amp;Master[[#This Row],[Accession Number -Assigned]]&amp;" COLLECTED "&amp;TEXT(Master[[#This Row],[Date Collected or Developed]], "MM/DD/YYYY")</f>
        <v xml:space="preserve">  COLLECTED 01/00/1900</v>
      </c>
      <c r="C199" t="str">
        <f t="shared" si="6"/>
        <v>SLOPE</v>
      </c>
      <c r="D199" s="9"/>
      <c r="F199" s="17" t="str">
        <f>IF(Master[[#This Row],[SLOPE]]="","",Master[[#This Row],[SLOPE]])</f>
        <v/>
      </c>
      <c r="G199" s="76" t="str">
        <f>IF(Master[[#This Row],[SLOPE]]="","",Master[[#This Row],[SLOPE]])</f>
        <v/>
      </c>
      <c r="H199" s="76" t="str">
        <f>IF(Master[[#This Row],[SLOPE Original Value]]="","",Master[[#This Row],[SLOPE Original Value]])</f>
        <v/>
      </c>
    </row>
    <row r="200" spans="2:8" x14ac:dyDescent="0.25">
      <c r="B200" t="str">
        <f>Master[[#This Row],[Accession Prefix (NPGS)]]&amp;" "&amp;Master[[#This Row],[Accession Number -Assigned]]&amp;" COLLECTED "&amp;TEXT(Master[[#This Row],[Date Collected or Developed]], "MM/DD/YYYY")</f>
        <v xml:space="preserve">  COLLECTED 01/00/1900</v>
      </c>
      <c r="C200" t="str">
        <f t="shared" si="6"/>
        <v>SLOPE</v>
      </c>
      <c r="D200" s="9"/>
      <c r="F200" s="17" t="str">
        <f>IF(Master[[#This Row],[SLOPE]]="","",Master[[#This Row],[SLOPE]])</f>
        <v/>
      </c>
      <c r="G200" s="76" t="str">
        <f>IF(Master[[#This Row],[SLOPE]]="","",Master[[#This Row],[SLOPE]])</f>
        <v/>
      </c>
      <c r="H200" s="76" t="str">
        <f>IF(Master[[#This Row],[SLOPE Original Value]]="","",Master[[#This Row],[SLOPE Original Value]])</f>
        <v/>
      </c>
    </row>
    <row r="201" spans="2:8" x14ac:dyDescent="0.25">
      <c r="B201" t="str">
        <f>Master[[#This Row],[Accession Prefix (NPGS)]]&amp;" "&amp;Master[[#This Row],[Accession Number -Assigned]]&amp;" COLLECTED "&amp;TEXT(Master[[#This Row],[Date Collected or Developed]], "MM/DD/YYYY")</f>
        <v xml:space="preserve">  COLLECTED 01/00/1900</v>
      </c>
      <c r="C201" t="str">
        <f t="shared" si="6"/>
        <v>SLOPE</v>
      </c>
      <c r="D201" s="9"/>
      <c r="F201" s="17" t="str">
        <f>IF(Master[[#This Row],[SLOPE]]="","",Master[[#This Row],[SLOPE]])</f>
        <v/>
      </c>
      <c r="G201" s="76" t="str">
        <f>IF(Master[[#This Row],[SLOPE]]="","",Master[[#This Row],[SLOPE]])</f>
        <v/>
      </c>
      <c r="H201" s="76" t="str">
        <f>IF(Master[[#This Row],[SLOPE Original Value]]="","",Master[[#This Row],[SLOPE Original Value]])</f>
        <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5">
    <tabColor theme="4" tint="0.59999389629810485"/>
  </sheetPr>
  <dimension ref="A1:O201"/>
  <sheetViews>
    <sheetView workbookViewId="0">
      <selection activeCell="J16" sqref="J16"/>
    </sheetView>
  </sheetViews>
  <sheetFormatPr defaultRowHeight="15" x14ac:dyDescent="0.25"/>
  <cols>
    <col min="1" max="1" width="16.140625" customWidth="1"/>
    <col min="2" max="2" width="32.42578125" bestFit="1" customWidth="1"/>
    <col min="3" max="3" width="18.7109375" customWidth="1"/>
    <col min="4" max="4" width="14.42578125" customWidth="1"/>
    <col min="6" max="6" width="16.28515625" customWidth="1"/>
    <col min="7" max="7" width="20.5703125" customWidth="1"/>
    <col min="8" max="8" width="15.7109375" customWidth="1"/>
  </cols>
  <sheetData>
    <row r="1" spans="1:15" s="82" customFormat="1" ht="45.75" customHeight="1" x14ac:dyDescent="0.25">
      <c r="A1" s="82" t="s">
        <v>80</v>
      </c>
      <c r="B1" s="120" t="s">
        <v>74</v>
      </c>
      <c r="C1" s="120" t="s">
        <v>81</v>
      </c>
      <c r="D1" s="82" t="s">
        <v>82</v>
      </c>
      <c r="E1" s="123" t="s">
        <v>83</v>
      </c>
      <c r="F1" s="82" t="s">
        <v>84</v>
      </c>
      <c r="G1" s="82" t="s">
        <v>85</v>
      </c>
      <c r="H1" s="82" t="s">
        <v>86</v>
      </c>
      <c r="I1" s="82" t="s">
        <v>9</v>
      </c>
    </row>
    <row r="2" spans="1:15" s="7" customFormat="1" ht="15.75" x14ac:dyDescent="0.25">
      <c r="A2" s="1"/>
      <c r="B2" s="7" t="str">
        <f>Master[[#This Row],[Accession Prefix (NPGS)]]&amp;" "&amp;Master[[#This Row],[Accession Number -Assigned]]&amp;" COLLECTED "&amp;TEXT(Master[[#This Row],[Date Collected or Developed]], "MM/DD/YYYY")</f>
        <v>W6 57036 COLLECTED 07/09/2018</v>
      </c>
      <c r="C2" s="7" t="str">
        <f>"SOIL TEXTURE"</f>
        <v>SOIL TEXTURE</v>
      </c>
      <c r="D2" s="17" t="str">
        <f>IF(Master[[#This Row],[SOIL TEXTURE - lookup picker]]="","",Master[[#This Row],[SOIL TEXTURE - lookup picker]])</f>
        <v/>
      </c>
      <c r="E2" s="109"/>
      <c r="G2" s="17" t="str">
        <f>IF(Master[[#This Row],[SOIL TEXTURE - lookup picker]]="","",Master[[#This Row],[SOIL TEXTURE - lookup picker]])</f>
        <v/>
      </c>
      <c r="H2" s="7" t="str">
        <f>IF(Master[[#This Row],[Soil TEXTURE Original Value]]="","",Master[[#This Row],[Soil TEXTURE Original Value]])</f>
        <v/>
      </c>
      <c r="K2" s="8"/>
      <c r="O2" s="8"/>
    </row>
    <row r="3" spans="1:15" s="7" customFormat="1" x14ac:dyDescent="0.25">
      <c r="B3" s="7" t="str">
        <f>Master[[#This Row],[Accession Prefix (NPGS)]]&amp;" "&amp;Master[[#This Row],[Accession Number -Assigned]]&amp;" COLLECTED "&amp;TEXT(Master[[#This Row],[Date Collected or Developed]], "MM/DD/YYYY")</f>
        <v>W6  COLLECTED COLL_DT</v>
      </c>
      <c r="C3" s="7" t="str">
        <f t="shared" ref="C3:C21" si="0">"SOIL TEXTURE"</f>
        <v>SOIL TEXTURE</v>
      </c>
      <c r="D3" s="17" t="str">
        <f>IF(Master[[#This Row],[SOIL TEXTURE - lookup picker]]="","",Master[[#This Row],[SOIL TEXTURE - lookup picker]])</f>
        <v/>
      </c>
      <c r="E3" s="109"/>
      <c r="G3" s="17" t="str">
        <f>IF(Master[[#This Row],[SOIL TEXTURE - lookup picker]]="","",Master[[#This Row],[SOIL TEXTURE - lookup picker]])</f>
        <v/>
      </c>
      <c r="H3" s="7" t="str">
        <f>IF(Master[[#This Row],[Soil TEXTURE Original Value]]="","",Master[[#This Row],[Soil TEXTURE Original Value]])</f>
        <v>SOIL_TYPE</v>
      </c>
      <c r="K3" s="8"/>
      <c r="O3" s="8"/>
    </row>
    <row r="4" spans="1:15" s="7" customFormat="1" x14ac:dyDescent="0.25">
      <c r="B4" s="7" t="str">
        <f>Master[[#This Row],[Accession Prefix (NPGS)]]&amp;" "&amp;Master[[#This Row],[Accession Number -Assigned]]&amp;" COLLECTED "&amp;TEXT(Master[[#This Row],[Date Collected or Developed]], "MM/DD/YYYY")</f>
        <v>W6 59590 COLLECTED 07/01/2020</v>
      </c>
      <c r="C4" s="7" t="str">
        <f t="shared" si="0"/>
        <v>SOIL TEXTURE</v>
      </c>
      <c r="D4" s="17" t="str">
        <f>IF(Master[[#This Row],[SOIL TEXTURE - lookup picker]]="","",Master[[#This Row],[SOIL TEXTURE - lookup picker]])</f>
        <v/>
      </c>
      <c r="E4" s="109"/>
      <c r="G4" s="17" t="str">
        <f>IF(Master[[#This Row],[SOIL TEXTURE - lookup picker]]="","",Master[[#This Row],[SOIL TEXTURE - lookup picker]])</f>
        <v/>
      </c>
      <c r="H4" s="7" t="str">
        <f>IF(Master[[#This Row],[Soil TEXTURE Original Value]]="","",Master[[#This Row],[Soil TEXTURE Original Value]])</f>
        <v>Clay</v>
      </c>
      <c r="K4" s="8"/>
      <c r="O4" s="8"/>
    </row>
    <row r="5" spans="1:15" s="7" customFormat="1" x14ac:dyDescent="0.25">
      <c r="B5" s="7" t="str">
        <f>Master[[#This Row],[Accession Prefix (NPGS)]]&amp;" "&amp;Master[[#This Row],[Accession Number -Assigned]]&amp;" COLLECTED "&amp;TEXT(Master[[#This Row],[Date Collected or Developed]], "MM/DD/YYYY")</f>
        <v>W6 59591 COLLECTED 07/14/2020</v>
      </c>
      <c r="C5" s="7" t="str">
        <f t="shared" si="0"/>
        <v>SOIL TEXTURE</v>
      </c>
      <c r="D5" s="17" t="str">
        <f>IF(Master[[#This Row],[SOIL TEXTURE - lookup picker]]="","",Master[[#This Row],[SOIL TEXTURE - lookup picker]])</f>
        <v/>
      </c>
      <c r="E5" s="109"/>
      <c r="G5" s="17" t="str">
        <f>IF(Master[[#This Row],[SOIL TEXTURE - lookup picker]]="","",Master[[#This Row],[SOIL TEXTURE - lookup picker]])</f>
        <v/>
      </c>
      <c r="H5" s="7" t="str">
        <f>IF(Master[[#This Row],[Soil TEXTURE Original Value]]="","",Master[[#This Row],[Soil TEXTURE Original Value]])</f>
        <v>Clay</v>
      </c>
      <c r="K5" s="8"/>
      <c r="O5" s="8"/>
    </row>
    <row r="6" spans="1:15" s="7" customFormat="1" x14ac:dyDescent="0.25">
      <c r="B6" s="7" t="str">
        <f>Master[[#This Row],[Accession Prefix (NPGS)]]&amp;" "&amp;Master[[#This Row],[Accession Number -Assigned]]&amp;" COLLECTED "&amp;TEXT(Master[[#This Row],[Date Collected or Developed]], "MM/DD/YYYY")</f>
        <v>W6 59592 COLLECTED 07/29/2020</v>
      </c>
      <c r="C6" s="7" t="str">
        <f t="shared" si="0"/>
        <v>SOIL TEXTURE</v>
      </c>
      <c r="D6" s="17" t="str">
        <f>IF(Master[[#This Row],[SOIL TEXTURE - lookup picker]]="","",Master[[#This Row],[SOIL TEXTURE - lookup picker]])</f>
        <v/>
      </c>
      <c r="E6" s="109"/>
      <c r="G6" s="17" t="str">
        <f>IF(Master[[#This Row],[SOIL TEXTURE - lookup picker]]="","",Master[[#This Row],[SOIL TEXTURE - lookup picker]])</f>
        <v/>
      </c>
      <c r="H6" s="7" t="str">
        <f>IF(Master[[#This Row],[Soil TEXTURE Original Value]]="","",Master[[#This Row],[Soil TEXTURE Original Value]])</f>
        <v>Silt, Other : loam</v>
      </c>
      <c r="K6" s="8"/>
      <c r="O6" s="8"/>
    </row>
    <row r="7" spans="1:15" s="7" customFormat="1" x14ac:dyDescent="0.25">
      <c r="B7" s="7" t="str">
        <f>Master[[#This Row],[Accession Prefix (NPGS)]]&amp;" "&amp;Master[[#This Row],[Accession Number -Assigned]]&amp;" COLLECTED "&amp;TEXT(Master[[#This Row],[Date Collected or Developed]], "MM/DD/YYYY")</f>
        <v>W6 59593 COLLECTED 08/04/2020</v>
      </c>
      <c r="C7" s="7" t="str">
        <f t="shared" si="0"/>
        <v>SOIL TEXTURE</v>
      </c>
      <c r="D7" s="17" t="str">
        <f>IF(Master[[#This Row],[SOIL TEXTURE - lookup picker]]="","",Master[[#This Row],[SOIL TEXTURE - lookup picker]])</f>
        <v/>
      </c>
      <c r="E7" s="109"/>
      <c r="G7" s="17" t="str">
        <f>IF(Master[[#This Row],[SOIL TEXTURE - lookup picker]]="","",Master[[#This Row],[SOIL TEXTURE - lookup picker]])</f>
        <v/>
      </c>
      <c r="H7" s="7" t="str">
        <f>IF(Master[[#This Row],[Soil TEXTURE Original Value]]="","",Master[[#This Row],[Soil TEXTURE Original Value]])</f>
        <v>Clay, Other : loam</v>
      </c>
      <c r="K7" s="8"/>
      <c r="O7" s="8"/>
    </row>
    <row r="8" spans="1:15" x14ac:dyDescent="0.25">
      <c r="A8" s="7"/>
      <c r="B8" t="str">
        <f>Master[[#This Row],[Accession Prefix (NPGS)]]&amp;" "&amp;Master[[#This Row],[Accession Number -Assigned]]&amp;" COLLECTED "&amp;TEXT(Master[[#This Row],[Date Collected or Developed]], "MM/DD/YYYY")</f>
        <v>W6 59594 COLLECTED 08/10/2020</v>
      </c>
      <c r="C8" t="str">
        <f t="shared" si="0"/>
        <v>SOIL TEXTURE</v>
      </c>
      <c r="D8" s="17" t="str">
        <f>IF(Master[[#This Row],[SOIL TEXTURE - lookup picker]]="","",Master[[#This Row],[SOIL TEXTURE - lookup picker]])</f>
        <v/>
      </c>
      <c r="E8" s="109"/>
      <c r="G8" s="17" t="str">
        <f>IF(Master[[#This Row],[SOIL TEXTURE - lookup picker]]="","",Master[[#This Row],[SOIL TEXTURE - lookup picker]])</f>
        <v/>
      </c>
      <c r="H8" t="str">
        <f>IF(Master[[#This Row],[Soil TEXTURE Original Value]]="","",Master[[#This Row],[Soil TEXTURE Original Value]])</f>
        <v>Silt</v>
      </c>
    </row>
    <row r="9" spans="1:15" x14ac:dyDescent="0.25">
      <c r="A9" s="7"/>
      <c r="B9" t="str">
        <f>Master[[#This Row],[Accession Prefix (NPGS)]]&amp;" "&amp;Master[[#This Row],[Accession Number -Assigned]]&amp;" COLLECTED "&amp;TEXT(Master[[#This Row],[Date Collected or Developed]], "MM/DD/YYYY")</f>
        <v>W6 59595 COLLECTED 08/12/2020</v>
      </c>
      <c r="C9" t="str">
        <f t="shared" si="0"/>
        <v>SOIL TEXTURE</v>
      </c>
      <c r="D9" s="17" t="str">
        <f>IF(Master[[#This Row],[SOIL TEXTURE - lookup picker]]="","",Master[[#This Row],[SOIL TEXTURE - lookup picker]])</f>
        <v/>
      </c>
      <c r="E9" s="109"/>
      <c r="G9" s="17" t="str">
        <f>IF(Master[[#This Row],[SOIL TEXTURE - lookup picker]]="","",Master[[#This Row],[SOIL TEXTURE - lookup picker]])</f>
        <v/>
      </c>
      <c r="H9" t="str">
        <f>IF(Master[[#This Row],[Soil TEXTURE Original Value]]="","",Master[[#This Row],[Soil TEXTURE Original Value]])</f>
        <v>Clay</v>
      </c>
    </row>
    <row r="10" spans="1:15" x14ac:dyDescent="0.25">
      <c r="A10" s="7"/>
      <c r="B10" t="str">
        <f>Master[[#This Row],[Accession Prefix (NPGS)]]&amp;" "&amp;Master[[#This Row],[Accession Number -Assigned]]&amp;" COLLECTED "&amp;TEXT(Master[[#This Row],[Date Collected or Developed]], "MM/DD/YYYY")</f>
        <v>W6 59596 COLLECTED 08/13/2020</v>
      </c>
      <c r="C10" t="str">
        <f t="shared" si="0"/>
        <v>SOIL TEXTURE</v>
      </c>
      <c r="D10" s="17" t="str">
        <f>IF(Master[[#This Row],[SOIL TEXTURE - lookup picker]]="","",Master[[#This Row],[SOIL TEXTURE - lookup picker]])</f>
        <v/>
      </c>
      <c r="E10" s="109"/>
      <c r="G10" s="17" t="str">
        <f>IF(Master[[#This Row],[SOIL TEXTURE - lookup picker]]="","",Master[[#This Row],[SOIL TEXTURE - lookup picker]])</f>
        <v/>
      </c>
      <c r="H10" t="str">
        <f>IF(Master[[#This Row],[Soil TEXTURE Original Value]]="","",Master[[#This Row],[Soil TEXTURE Original Value]])</f>
        <v>Sand</v>
      </c>
    </row>
    <row r="11" spans="1:15" x14ac:dyDescent="0.25">
      <c r="A11" s="7"/>
      <c r="B11" t="str">
        <f>Master[[#This Row],[Accession Prefix (NPGS)]]&amp;" "&amp;Master[[#This Row],[Accession Number -Assigned]]&amp;" COLLECTED "&amp;TEXT(Master[[#This Row],[Date Collected or Developed]], "MM/DD/YYYY")</f>
        <v>W6 59597 COLLECTED 08/18/2020</v>
      </c>
      <c r="C11" t="str">
        <f t="shared" si="0"/>
        <v>SOIL TEXTURE</v>
      </c>
      <c r="D11" s="17" t="str">
        <f>IF(Master[[#This Row],[SOIL TEXTURE - lookup picker]]="","",Master[[#This Row],[SOIL TEXTURE - lookup picker]])</f>
        <v/>
      </c>
      <c r="E11" s="109"/>
      <c r="G11" s="17" t="str">
        <f>IF(Master[[#This Row],[SOIL TEXTURE - lookup picker]]="","",Master[[#This Row],[SOIL TEXTURE - lookup picker]])</f>
        <v/>
      </c>
      <c r="H11" t="str">
        <f>IF(Master[[#This Row],[Soil TEXTURE Original Value]]="","",Master[[#This Row],[Soil TEXTURE Original Value]])</f>
        <v>Clay</v>
      </c>
    </row>
    <row r="12" spans="1:15" x14ac:dyDescent="0.25">
      <c r="A12" s="7"/>
      <c r="B12" t="str">
        <f>Master[[#This Row],[Accession Prefix (NPGS)]]&amp;" "&amp;Master[[#This Row],[Accession Number -Assigned]]&amp;" COLLECTED "&amp;TEXT(Master[[#This Row],[Date Collected or Developed]], "MM/DD/YYYY")</f>
        <v>W6 59598 COLLECTED 08/18/2020</v>
      </c>
      <c r="C12" t="str">
        <f t="shared" si="0"/>
        <v>SOIL TEXTURE</v>
      </c>
      <c r="D12" s="17" t="str">
        <f>IF(Master[[#This Row],[SOIL TEXTURE - lookup picker]]="","",Master[[#This Row],[SOIL TEXTURE - lookup picker]])</f>
        <v/>
      </c>
      <c r="E12" s="109"/>
      <c r="G12" s="17" t="str">
        <f>IF(Master[[#This Row],[SOIL TEXTURE - lookup picker]]="","",Master[[#This Row],[SOIL TEXTURE - lookup picker]])</f>
        <v/>
      </c>
      <c r="H12" t="str">
        <f>IF(Master[[#This Row],[Soil TEXTURE Original Value]]="","",Master[[#This Row],[Soil TEXTURE Original Value]])</f>
        <v>Clay, Silt, Other : loam</v>
      </c>
    </row>
    <row r="13" spans="1:15" x14ac:dyDescent="0.25">
      <c r="A13" s="7"/>
      <c r="B13" t="str">
        <f>Master[[#This Row],[Accession Prefix (NPGS)]]&amp;" "&amp;Master[[#This Row],[Accession Number -Assigned]]&amp;" COLLECTED "&amp;TEXT(Master[[#This Row],[Date Collected or Developed]], "MM/DD/YYYY")</f>
        <v>W6 59599 COLLECTED 08/19/2020</v>
      </c>
      <c r="C13" t="str">
        <f t="shared" si="0"/>
        <v>SOIL TEXTURE</v>
      </c>
      <c r="D13" s="17" t="str">
        <f>IF(Master[[#This Row],[SOIL TEXTURE - lookup picker]]="","",Master[[#This Row],[SOIL TEXTURE - lookup picker]])</f>
        <v/>
      </c>
      <c r="E13" s="109"/>
      <c r="G13" s="17" t="str">
        <f>IF(Master[[#This Row],[SOIL TEXTURE - lookup picker]]="","",Master[[#This Row],[SOIL TEXTURE - lookup picker]])</f>
        <v/>
      </c>
      <c r="H13" t="str">
        <f>IF(Master[[#This Row],[Soil TEXTURE Original Value]]="","",Master[[#This Row],[Soil TEXTURE Original Value]])</f>
        <v>Clay, Other : loam</v>
      </c>
    </row>
    <row r="14" spans="1:15" x14ac:dyDescent="0.25">
      <c r="A14" s="7"/>
      <c r="B14" t="str">
        <f>Master[[#This Row],[Accession Prefix (NPGS)]]&amp;" "&amp;Master[[#This Row],[Accession Number -Assigned]]&amp;" COLLECTED "&amp;TEXT(Master[[#This Row],[Date Collected or Developed]], "MM/DD/YYYY")</f>
        <v>W6 59600 COLLECTED 08/20/2020</v>
      </c>
      <c r="C14" t="str">
        <f t="shared" si="0"/>
        <v>SOIL TEXTURE</v>
      </c>
      <c r="D14" s="17" t="str">
        <f>IF(Master[[#This Row],[SOIL TEXTURE - lookup picker]]="","",Master[[#This Row],[SOIL TEXTURE - lookup picker]])</f>
        <v/>
      </c>
      <c r="E14" s="109"/>
      <c r="G14" s="17" t="str">
        <f>IF(Master[[#This Row],[SOIL TEXTURE - lookup picker]]="","",Master[[#This Row],[SOIL TEXTURE - lookup picker]])</f>
        <v/>
      </c>
      <c r="H14" t="str">
        <f>IF(Master[[#This Row],[Soil TEXTURE Original Value]]="","",Master[[#This Row],[Soil TEXTURE Original Value]])</f>
        <v>Clay</v>
      </c>
    </row>
    <row r="15" spans="1:15" x14ac:dyDescent="0.25">
      <c r="A15" s="7"/>
      <c r="B15" t="str">
        <f>Master[[#This Row],[Accession Prefix (NPGS)]]&amp;" "&amp;Master[[#This Row],[Accession Number -Assigned]]&amp;" COLLECTED "&amp;TEXT(Master[[#This Row],[Date Collected or Developed]], "MM/DD/YYYY")</f>
        <v>W6 59601 COLLECTED 08/26/2020</v>
      </c>
      <c r="C15" t="str">
        <f t="shared" si="0"/>
        <v>SOIL TEXTURE</v>
      </c>
      <c r="D15" s="17" t="str">
        <f>IF(Master[[#This Row],[SOIL TEXTURE - lookup picker]]="","",Master[[#This Row],[SOIL TEXTURE - lookup picker]])</f>
        <v/>
      </c>
      <c r="E15" s="109"/>
      <c r="G15" s="17" t="str">
        <f>IF(Master[[#This Row],[SOIL TEXTURE - lookup picker]]="","",Master[[#This Row],[SOIL TEXTURE - lookup picker]])</f>
        <v/>
      </c>
      <c r="H15" t="str">
        <f>IF(Master[[#This Row],[Soil TEXTURE Original Value]]="","",Master[[#This Row],[Soil TEXTURE Original Value]])</f>
        <v>Silt</v>
      </c>
    </row>
    <row r="16" spans="1:15" x14ac:dyDescent="0.25">
      <c r="A16" s="7"/>
      <c r="B16" t="str">
        <f>Master[[#This Row],[Accession Prefix (NPGS)]]&amp;" "&amp;Master[[#This Row],[Accession Number -Assigned]]&amp;" COLLECTED "&amp;TEXT(Master[[#This Row],[Date Collected or Developed]], "MM/DD/YYYY")</f>
        <v>W6 59602 COLLECTED 08/27/2020</v>
      </c>
      <c r="C16" t="str">
        <f t="shared" si="0"/>
        <v>SOIL TEXTURE</v>
      </c>
      <c r="D16" s="17" t="str">
        <f>IF(Master[[#This Row],[SOIL TEXTURE - lookup picker]]="","",Master[[#This Row],[SOIL TEXTURE - lookup picker]])</f>
        <v/>
      </c>
      <c r="E16" s="109"/>
      <c r="G16" s="17" t="str">
        <f>IF(Master[[#This Row],[SOIL TEXTURE - lookup picker]]="","",Master[[#This Row],[SOIL TEXTURE - lookup picker]])</f>
        <v/>
      </c>
      <c r="H16" t="str">
        <f>IF(Master[[#This Row],[Soil TEXTURE Original Value]]="","",Master[[#This Row],[Soil TEXTURE Original Value]])</f>
        <v>Silt, Sand</v>
      </c>
    </row>
    <row r="17" spans="1:8" x14ac:dyDescent="0.25">
      <c r="A17" s="7"/>
      <c r="B17" t="str">
        <f>Master[[#This Row],[Accession Prefix (NPGS)]]&amp;" "&amp;Master[[#This Row],[Accession Number -Assigned]]&amp;" COLLECTED "&amp;TEXT(Master[[#This Row],[Date Collected or Developed]], "MM/DD/YYYY")</f>
        <v>W6 59603 COLLECTED 09/02/2020</v>
      </c>
      <c r="C17" t="str">
        <f t="shared" si="0"/>
        <v>SOIL TEXTURE</v>
      </c>
      <c r="D17" s="17" t="str">
        <f>IF(Master[[#This Row],[SOIL TEXTURE - lookup picker]]="","",Master[[#This Row],[SOIL TEXTURE - lookup picker]])</f>
        <v/>
      </c>
      <c r="E17" s="109"/>
      <c r="G17" s="17" t="str">
        <f>IF(Master[[#This Row],[SOIL TEXTURE - lookup picker]]="","",Master[[#This Row],[SOIL TEXTURE - lookup picker]])</f>
        <v/>
      </c>
      <c r="H17" t="str">
        <f>IF(Master[[#This Row],[Soil TEXTURE Original Value]]="","",Master[[#This Row],[Soil TEXTURE Original Value]])</f>
        <v>Clay</v>
      </c>
    </row>
    <row r="18" spans="1:8" x14ac:dyDescent="0.25">
      <c r="A18" s="7"/>
      <c r="B18" t="str">
        <f>Master[[#This Row],[Accession Prefix (NPGS)]]&amp;" "&amp;Master[[#This Row],[Accession Number -Assigned]]&amp;" COLLECTED "&amp;TEXT(Master[[#This Row],[Date Collected or Developed]], "MM/DD/YYYY")</f>
        <v>W6 59604 COLLECTED 09/03/2020</v>
      </c>
      <c r="C18" t="str">
        <f t="shared" si="0"/>
        <v>SOIL TEXTURE</v>
      </c>
      <c r="D18" s="17" t="str">
        <f>IF(Master[[#This Row],[SOIL TEXTURE - lookup picker]]="","",Master[[#This Row],[SOIL TEXTURE - lookup picker]])</f>
        <v/>
      </c>
      <c r="E18" s="109"/>
      <c r="G18" s="17" t="str">
        <f>IF(Master[[#This Row],[SOIL TEXTURE - lookup picker]]="","",Master[[#This Row],[SOIL TEXTURE - lookup picker]])</f>
        <v/>
      </c>
      <c r="H18" t="str">
        <f>IF(Master[[#This Row],[Soil TEXTURE Original Value]]="","",Master[[#This Row],[Soil TEXTURE Original Value]])</f>
        <v>Clay, Other : loam</v>
      </c>
    </row>
    <row r="19" spans="1:8" x14ac:dyDescent="0.25">
      <c r="A19" s="7"/>
      <c r="B19" t="str">
        <f>Master[[#This Row],[Accession Prefix (NPGS)]]&amp;" "&amp;Master[[#This Row],[Accession Number -Assigned]]&amp;" COLLECTED "&amp;TEXT(Master[[#This Row],[Date Collected or Developed]], "MM/DD/YYYY")</f>
        <v>W6 59605 COLLECTED 09/10/2020</v>
      </c>
      <c r="C19" t="str">
        <f t="shared" si="0"/>
        <v>SOIL TEXTURE</v>
      </c>
      <c r="D19" s="17" t="str">
        <f>IF(Master[[#This Row],[SOIL TEXTURE - lookup picker]]="","",Master[[#This Row],[SOIL TEXTURE - lookup picker]])</f>
        <v/>
      </c>
      <c r="E19" s="109"/>
      <c r="G19" s="17" t="str">
        <f>IF(Master[[#This Row],[SOIL TEXTURE - lookup picker]]="","",Master[[#This Row],[SOIL TEXTURE - lookup picker]])</f>
        <v/>
      </c>
      <c r="H19" t="str">
        <f>IF(Master[[#This Row],[Soil TEXTURE Original Value]]="","",Master[[#This Row],[Soil TEXTURE Original Value]])</f>
        <v>Clay, Other : loam</v>
      </c>
    </row>
    <row r="20" spans="1:8" x14ac:dyDescent="0.25">
      <c r="A20" s="7"/>
      <c r="B20" t="str">
        <f>Master[[#This Row],[Accession Prefix (NPGS)]]&amp;" "&amp;Master[[#This Row],[Accession Number -Assigned]]&amp;" COLLECTED "&amp;TEXT(Master[[#This Row],[Date Collected or Developed]], "MM/DD/YYYY")</f>
        <v>W6 59606 COLLECTED 09/15/2020</v>
      </c>
      <c r="C20" t="str">
        <f t="shared" si="0"/>
        <v>SOIL TEXTURE</v>
      </c>
      <c r="D20" s="17" t="str">
        <f>IF(Master[[#This Row],[SOIL TEXTURE - lookup picker]]="","",Master[[#This Row],[SOIL TEXTURE - lookup picker]])</f>
        <v/>
      </c>
      <c r="E20" s="109"/>
      <c r="G20" s="17" t="str">
        <f>IF(Master[[#This Row],[SOIL TEXTURE - lookup picker]]="","",Master[[#This Row],[SOIL TEXTURE - lookup picker]])</f>
        <v/>
      </c>
      <c r="H20" t="str">
        <f>IF(Master[[#This Row],[Soil TEXTURE Original Value]]="","",Master[[#This Row],[Soil TEXTURE Original Value]])</f>
        <v>Sand</v>
      </c>
    </row>
    <row r="21" spans="1:8" x14ac:dyDescent="0.25">
      <c r="A21" s="7"/>
      <c r="B21" t="str">
        <f>Master[[#This Row],[Accession Prefix (NPGS)]]&amp;" "&amp;Master[[#This Row],[Accession Number -Assigned]]&amp;" COLLECTED "&amp;TEXT(Master[[#This Row],[Date Collected or Developed]], "MM/DD/YYYY")</f>
        <v>W6 59607 COLLECTED 09/15/2020</v>
      </c>
      <c r="C21" t="str">
        <f t="shared" si="0"/>
        <v>SOIL TEXTURE</v>
      </c>
      <c r="D21" s="17" t="str">
        <f>IF(Master[[#This Row],[SOIL TEXTURE - lookup picker]]="","",Master[[#This Row],[SOIL TEXTURE - lookup picker]])</f>
        <v/>
      </c>
      <c r="E21" s="109"/>
      <c r="G21" s="17" t="str">
        <f>IF(Master[[#This Row],[SOIL TEXTURE - lookup picker]]="","",Master[[#This Row],[SOIL TEXTURE - lookup picker]])</f>
        <v/>
      </c>
      <c r="H21" t="str">
        <f>IF(Master[[#This Row],[Soil TEXTURE Original Value]]="","",Master[[#This Row],[Soil TEXTURE Original Value]])</f>
        <v>Sand</v>
      </c>
    </row>
    <row r="22" spans="1:8" x14ac:dyDescent="0.25">
      <c r="B22" t="str">
        <f>Master[[#This Row],[Accession Prefix (NPGS)]]&amp;" "&amp;Master[[#This Row],[Accession Number -Assigned]]&amp;" COLLECTED "&amp;TEXT(Master[[#This Row],[Date Collected or Developed]], "MM/DD/YYYY")</f>
        <v>W6 59608 COLLECTED 09/16/2020</v>
      </c>
      <c r="C22" t="str">
        <f t="shared" ref="C22:C53" si="1">"SOIL TEXTURE"</f>
        <v>SOIL TEXTURE</v>
      </c>
      <c r="D22" s="17" t="str">
        <f>IF(Master[[#This Row],[SOIL TEXTURE - lookup picker]]="","",Master[[#This Row],[SOIL TEXTURE - lookup picker]])</f>
        <v/>
      </c>
      <c r="E22" s="109"/>
      <c r="G22" s="76" t="str">
        <f>IF(Master[[#This Row],[SOIL TEXTURE - lookup picker]]="","",Master[[#This Row],[SOIL TEXTURE - lookup picker]])</f>
        <v/>
      </c>
      <c r="H22" t="str">
        <f>IF(Master[[#This Row],[Soil TEXTURE Original Value]]="","",Master[[#This Row],[Soil TEXTURE Original Value]])</f>
        <v>Clay</v>
      </c>
    </row>
    <row r="23" spans="1:8" x14ac:dyDescent="0.25">
      <c r="B23" t="str">
        <f>Master[[#This Row],[Accession Prefix (NPGS)]]&amp;" "&amp;Master[[#This Row],[Accession Number -Assigned]]&amp;" COLLECTED "&amp;TEXT(Master[[#This Row],[Date Collected or Developed]], "MM/DD/YYYY")</f>
        <v>W6 59609 COLLECTED 09/16/2020</v>
      </c>
      <c r="C23" t="str">
        <f t="shared" si="1"/>
        <v>SOIL TEXTURE</v>
      </c>
      <c r="D23" s="17" t="str">
        <f>IF(Master[[#This Row],[SOIL TEXTURE - lookup picker]]="","",Master[[#This Row],[SOIL TEXTURE - lookup picker]])</f>
        <v/>
      </c>
      <c r="E23" s="109"/>
      <c r="G23" s="76" t="str">
        <f>IF(Master[[#This Row],[SOIL TEXTURE - lookup picker]]="","",Master[[#This Row],[SOIL TEXTURE - lookup picker]])</f>
        <v/>
      </c>
      <c r="H23" t="str">
        <f>IF(Master[[#This Row],[Soil TEXTURE Original Value]]="","",Master[[#This Row],[Soil TEXTURE Original Value]])</f>
        <v>Silt</v>
      </c>
    </row>
    <row r="24" spans="1:8" x14ac:dyDescent="0.25">
      <c r="B24" t="str">
        <f>Master[[#This Row],[Accession Prefix (NPGS)]]&amp;" "&amp;Master[[#This Row],[Accession Number -Assigned]]&amp;" COLLECTED "&amp;TEXT(Master[[#This Row],[Date Collected or Developed]], "MM/DD/YYYY")</f>
        <v>W6 59610 COLLECTED 09/17/2020</v>
      </c>
      <c r="C24" t="str">
        <f t="shared" si="1"/>
        <v>SOIL TEXTURE</v>
      </c>
      <c r="D24" s="17" t="str">
        <f>IF(Master[[#This Row],[SOIL TEXTURE - lookup picker]]="","",Master[[#This Row],[SOIL TEXTURE - lookup picker]])</f>
        <v/>
      </c>
      <c r="E24" s="109"/>
      <c r="G24" s="76" t="str">
        <f>IF(Master[[#This Row],[SOIL TEXTURE - lookup picker]]="","",Master[[#This Row],[SOIL TEXTURE - lookup picker]])</f>
        <v/>
      </c>
      <c r="H24" t="str">
        <f>IF(Master[[#This Row],[Soil TEXTURE Original Value]]="","",Master[[#This Row],[Soil TEXTURE Original Value]])</f>
        <v>Clay</v>
      </c>
    </row>
    <row r="25" spans="1:8" x14ac:dyDescent="0.25">
      <c r="B25" t="str">
        <f>Master[[#This Row],[Accession Prefix (NPGS)]]&amp;" "&amp;Master[[#This Row],[Accession Number -Assigned]]&amp;" COLLECTED "&amp;TEXT(Master[[#This Row],[Date Collected or Developed]], "MM/DD/YYYY")</f>
        <v>W6 59611 COLLECTED 09/24/2020</v>
      </c>
      <c r="C25" t="str">
        <f t="shared" si="1"/>
        <v>SOIL TEXTURE</v>
      </c>
      <c r="D25" s="17" t="str">
        <f>IF(Master[[#This Row],[SOIL TEXTURE - lookup picker]]="","",Master[[#This Row],[SOIL TEXTURE - lookup picker]])</f>
        <v/>
      </c>
      <c r="E25" s="109"/>
      <c r="G25" s="76" t="str">
        <f>IF(Master[[#This Row],[SOIL TEXTURE - lookup picker]]="","",Master[[#This Row],[SOIL TEXTURE - lookup picker]])</f>
        <v/>
      </c>
      <c r="H25" t="str">
        <f>IF(Master[[#This Row],[Soil TEXTURE Original Value]]="","",Master[[#This Row],[Soil TEXTURE Original Value]])</f>
        <v>Silt</v>
      </c>
    </row>
    <row r="26" spans="1:8" x14ac:dyDescent="0.25">
      <c r="B26" t="str">
        <f>Master[[#This Row],[Accession Prefix (NPGS)]]&amp;" "&amp;Master[[#This Row],[Accession Number -Assigned]]&amp;" COLLECTED "&amp;TEXT(Master[[#This Row],[Date Collected or Developed]], "MM/DD/YYYY")</f>
        <v>W6 59612 COLLECTED 09/24/2020</v>
      </c>
      <c r="C26" t="str">
        <f t="shared" si="1"/>
        <v>SOIL TEXTURE</v>
      </c>
      <c r="D26" s="17" t="str">
        <f>IF(Master[[#This Row],[SOIL TEXTURE - lookup picker]]="","",Master[[#This Row],[SOIL TEXTURE - lookup picker]])</f>
        <v/>
      </c>
      <c r="E26" s="109"/>
      <c r="G26" s="76" t="str">
        <f>IF(Master[[#This Row],[SOIL TEXTURE - lookup picker]]="","",Master[[#This Row],[SOIL TEXTURE - lookup picker]])</f>
        <v/>
      </c>
      <c r="H26" t="str">
        <f>IF(Master[[#This Row],[Soil TEXTURE Original Value]]="","",Master[[#This Row],[Soil TEXTURE Original Value]])</f>
        <v>Clay</v>
      </c>
    </row>
    <row r="27" spans="1:8" x14ac:dyDescent="0.25">
      <c r="B27" t="str">
        <f>Master[[#This Row],[Accession Prefix (NPGS)]]&amp;" "&amp;Master[[#This Row],[Accession Number -Assigned]]&amp;" COLLECTED "&amp;TEXT(Master[[#This Row],[Date Collected or Developed]], "MM/DD/YYYY")</f>
        <v>W6 59613 COLLECTED 09/30/2020</v>
      </c>
      <c r="C27" t="str">
        <f t="shared" si="1"/>
        <v>SOIL TEXTURE</v>
      </c>
      <c r="D27" s="17" t="str">
        <f>IF(Master[[#This Row],[SOIL TEXTURE - lookup picker]]="","",Master[[#This Row],[SOIL TEXTURE - lookup picker]])</f>
        <v/>
      </c>
      <c r="E27" s="109"/>
      <c r="G27" s="76" t="str">
        <f>IF(Master[[#This Row],[SOIL TEXTURE - lookup picker]]="","",Master[[#This Row],[SOIL TEXTURE - lookup picker]])</f>
        <v/>
      </c>
      <c r="H27" t="str">
        <f>IF(Master[[#This Row],[Soil TEXTURE Original Value]]="","",Master[[#This Row],[Soil TEXTURE Original Value]])</f>
        <v>Clay</v>
      </c>
    </row>
    <row r="28" spans="1:8" x14ac:dyDescent="0.25">
      <c r="B28" t="str">
        <f>Master[[#This Row],[Accession Prefix (NPGS)]]&amp;" "&amp;Master[[#This Row],[Accession Number -Assigned]]&amp;" COLLECTED "&amp;TEXT(Master[[#This Row],[Date Collected or Developed]], "MM/DD/YYYY")</f>
        <v>W6 59614 COLLECTED 09/30/2020</v>
      </c>
      <c r="C28" t="str">
        <f t="shared" si="1"/>
        <v>SOIL TEXTURE</v>
      </c>
      <c r="D28" s="17" t="str">
        <f>IF(Master[[#This Row],[SOIL TEXTURE - lookup picker]]="","",Master[[#This Row],[SOIL TEXTURE - lookup picker]])</f>
        <v/>
      </c>
      <c r="E28" s="109"/>
      <c r="G28" s="76" t="str">
        <f>IF(Master[[#This Row],[SOIL TEXTURE - lookup picker]]="","",Master[[#This Row],[SOIL TEXTURE - lookup picker]])</f>
        <v/>
      </c>
      <c r="H28" t="str">
        <f>IF(Master[[#This Row],[Soil TEXTURE Original Value]]="","",Master[[#This Row],[Soil TEXTURE Original Value]])</f>
        <v>Clay</v>
      </c>
    </row>
    <row r="29" spans="1:8" x14ac:dyDescent="0.25">
      <c r="B29" t="str">
        <f>Master[[#This Row],[Accession Prefix (NPGS)]]&amp;" "&amp;Master[[#This Row],[Accession Number -Assigned]]&amp;" COLLECTED "&amp;TEXT(Master[[#This Row],[Date Collected or Developed]], "MM/DD/YYYY")</f>
        <v>W6 59615 COLLECTED 10/08/2020</v>
      </c>
      <c r="C29" t="str">
        <f t="shared" si="1"/>
        <v>SOIL TEXTURE</v>
      </c>
      <c r="D29" s="17" t="str">
        <f>IF(Master[[#This Row],[SOIL TEXTURE - lookup picker]]="","",Master[[#This Row],[SOIL TEXTURE - lookup picker]])</f>
        <v/>
      </c>
      <c r="E29" s="109"/>
      <c r="G29" s="76" t="str">
        <f>IF(Master[[#This Row],[SOIL TEXTURE - lookup picker]]="","",Master[[#This Row],[SOIL TEXTURE - lookup picker]])</f>
        <v/>
      </c>
      <c r="H29" t="str">
        <f>IF(Master[[#This Row],[Soil TEXTURE Original Value]]="","",Master[[#This Row],[Soil TEXTURE Original Value]])</f>
        <v>Clay</v>
      </c>
    </row>
    <row r="30" spans="1:8" x14ac:dyDescent="0.25">
      <c r="B30" t="str">
        <f>Master[[#This Row],[Accession Prefix (NPGS)]]&amp;" "&amp;Master[[#This Row],[Accession Number -Assigned]]&amp;" COLLECTED "&amp;TEXT(Master[[#This Row],[Date Collected or Developed]], "MM/DD/YYYY")</f>
        <v>W6 59616 COLLECTED 10/22/2020</v>
      </c>
      <c r="C30" t="str">
        <f t="shared" si="1"/>
        <v>SOIL TEXTURE</v>
      </c>
      <c r="D30" s="17" t="str">
        <f>IF(Master[[#This Row],[SOIL TEXTURE - lookup picker]]="","",Master[[#This Row],[SOIL TEXTURE - lookup picker]])</f>
        <v/>
      </c>
      <c r="E30" s="109"/>
      <c r="G30" s="76" t="str">
        <f>IF(Master[[#This Row],[SOIL TEXTURE - lookup picker]]="","",Master[[#This Row],[SOIL TEXTURE - lookup picker]])</f>
        <v/>
      </c>
      <c r="H30" t="str">
        <f>IF(Master[[#This Row],[Soil TEXTURE Original Value]]="","",Master[[#This Row],[Soil TEXTURE Original Value]])</f>
        <v>Silt</v>
      </c>
    </row>
    <row r="31" spans="1:8" x14ac:dyDescent="0.25">
      <c r="B31" t="str">
        <f>Master[[#This Row],[Accession Prefix (NPGS)]]&amp;" "&amp;Master[[#This Row],[Accession Number -Assigned]]&amp;" COLLECTED "&amp;TEXT(Master[[#This Row],[Date Collected or Developed]], "MM/DD/YYYY")</f>
        <v>W6 59617 COLLECTED 08/25/2020</v>
      </c>
      <c r="C31" t="str">
        <f t="shared" si="1"/>
        <v>SOIL TEXTURE</v>
      </c>
      <c r="D31" s="17" t="str">
        <f>IF(Master[[#This Row],[SOIL TEXTURE - lookup picker]]="","",Master[[#This Row],[SOIL TEXTURE - lookup picker]])</f>
        <v/>
      </c>
      <c r="E31" s="109"/>
      <c r="G31" s="76" t="str">
        <f>IF(Master[[#This Row],[SOIL TEXTURE - lookup picker]]="","",Master[[#This Row],[SOIL TEXTURE - lookup picker]])</f>
        <v/>
      </c>
      <c r="H31" t="str">
        <f>IF(Master[[#This Row],[Soil TEXTURE Original Value]]="","",Master[[#This Row],[Soil TEXTURE Original Value]])</f>
        <v>Sand</v>
      </c>
    </row>
    <row r="32" spans="1:8" x14ac:dyDescent="0.25">
      <c r="B32" t="str">
        <f>Master[[#This Row],[Accession Prefix (NPGS)]]&amp;" "&amp;Master[[#This Row],[Accession Number -Assigned]]&amp;" COLLECTED "&amp;TEXT(Master[[#This Row],[Date Collected or Developed]], "MM/DD/YYYY")</f>
        <v>W6 59618 COLLECTED 09/02/2020</v>
      </c>
      <c r="C32" t="str">
        <f t="shared" si="1"/>
        <v>SOIL TEXTURE</v>
      </c>
      <c r="D32" s="17" t="str">
        <f>IF(Master[[#This Row],[SOIL TEXTURE - lookup picker]]="","",Master[[#This Row],[SOIL TEXTURE - lookup picker]])</f>
        <v/>
      </c>
      <c r="E32" s="109"/>
      <c r="G32" s="76" t="str">
        <f>IF(Master[[#This Row],[SOIL TEXTURE - lookup picker]]="","",Master[[#This Row],[SOIL TEXTURE - lookup picker]])</f>
        <v/>
      </c>
      <c r="H32" t="str">
        <f>IF(Master[[#This Row],[Soil TEXTURE Original Value]]="","",Master[[#This Row],[Soil TEXTURE Original Value]])</f>
        <v>Sand</v>
      </c>
    </row>
    <row r="33" spans="2:8" x14ac:dyDescent="0.25">
      <c r="B33" t="str">
        <f>Master[[#This Row],[Accession Prefix (NPGS)]]&amp;" "&amp;Master[[#This Row],[Accession Number -Assigned]]&amp;" COLLECTED "&amp;TEXT(Master[[#This Row],[Date Collected or Developed]], "MM/DD/YYYY")</f>
        <v>W6 59619 COLLECTED 09/03/2020</v>
      </c>
      <c r="C33" t="str">
        <f t="shared" si="1"/>
        <v>SOIL TEXTURE</v>
      </c>
      <c r="D33" s="17" t="str">
        <f>IF(Master[[#This Row],[SOIL TEXTURE - lookup picker]]="","",Master[[#This Row],[SOIL TEXTURE - lookup picker]])</f>
        <v/>
      </c>
      <c r="E33" s="109"/>
      <c r="G33" s="76" t="str">
        <f>IF(Master[[#This Row],[SOIL TEXTURE - lookup picker]]="","",Master[[#This Row],[SOIL TEXTURE - lookup picker]])</f>
        <v/>
      </c>
      <c r="H33" t="str">
        <f>IF(Master[[#This Row],[Soil TEXTURE Original Value]]="","",Master[[#This Row],[Soil TEXTURE Original Value]])</f>
        <v>Sand</v>
      </c>
    </row>
    <row r="34" spans="2:8" x14ac:dyDescent="0.25">
      <c r="B34" t="str">
        <f>Master[[#This Row],[Accession Prefix (NPGS)]]&amp;" "&amp;Master[[#This Row],[Accession Number -Assigned]]&amp;" COLLECTED "&amp;TEXT(Master[[#This Row],[Date Collected or Developed]], "MM/DD/YYYY")</f>
        <v>W6 59620 COLLECTED 09/10/2020</v>
      </c>
      <c r="C34" t="str">
        <f t="shared" si="1"/>
        <v>SOIL TEXTURE</v>
      </c>
      <c r="D34" s="17" t="str">
        <f>IF(Master[[#This Row],[SOIL TEXTURE - lookup picker]]="","",Master[[#This Row],[SOIL TEXTURE - lookup picker]])</f>
        <v/>
      </c>
      <c r="E34" s="109"/>
      <c r="G34" s="76" t="str">
        <f>IF(Master[[#This Row],[SOIL TEXTURE - lookup picker]]="","",Master[[#This Row],[SOIL TEXTURE - lookup picker]])</f>
        <v/>
      </c>
      <c r="H34" t="str">
        <f>IF(Master[[#This Row],[Soil TEXTURE Original Value]]="","",Master[[#This Row],[Soil TEXTURE Original Value]])</f>
        <v>Sand</v>
      </c>
    </row>
    <row r="35" spans="2:8" x14ac:dyDescent="0.25">
      <c r="B35" t="str">
        <f>Master[[#This Row],[Accession Prefix (NPGS)]]&amp;" "&amp;Master[[#This Row],[Accession Number -Assigned]]&amp;" COLLECTED "&amp;TEXT(Master[[#This Row],[Date Collected or Developed]], "MM/DD/YYYY")</f>
        <v>W6 59621 COLLECTED 09/22/2020</v>
      </c>
      <c r="C35" t="str">
        <f t="shared" si="1"/>
        <v>SOIL TEXTURE</v>
      </c>
      <c r="D35" s="17" t="str">
        <f>IF(Master[[#This Row],[SOIL TEXTURE - lookup picker]]="","",Master[[#This Row],[SOIL TEXTURE - lookup picker]])</f>
        <v/>
      </c>
      <c r="E35" s="109"/>
      <c r="G35" s="76" t="str">
        <f>IF(Master[[#This Row],[SOIL TEXTURE - lookup picker]]="","",Master[[#This Row],[SOIL TEXTURE - lookup picker]])</f>
        <v/>
      </c>
      <c r="H35" t="str">
        <f>IF(Master[[#This Row],[Soil TEXTURE Original Value]]="","",Master[[#This Row],[Soil TEXTURE Original Value]])</f>
        <v>Sand</v>
      </c>
    </row>
    <row r="36" spans="2:8" x14ac:dyDescent="0.25">
      <c r="B36" t="str">
        <f>Master[[#This Row],[Accession Prefix (NPGS)]]&amp;" "&amp;Master[[#This Row],[Accession Number -Assigned]]&amp;" COLLECTED "&amp;TEXT(Master[[#This Row],[Date Collected or Developed]], "MM/DD/YYYY")</f>
        <v>W6 59622 COLLECTED 09/22/2020</v>
      </c>
      <c r="C36" t="str">
        <f t="shared" si="1"/>
        <v>SOIL TEXTURE</v>
      </c>
      <c r="D36" s="17" t="str">
        <f>IF(Master[[#This Row],[SOIL TEXTURE - lookup picker]]="","",Master[[#This Row],[SOIL TEXTURE - lookup picker]])</f>
        <v/>
      </c>
      <c r="E36" s="109"/>
      <c r="G36" s="76" t="str">
        <f>IF(Master[[#This Row],[SOIL TEXTURE - lookup picker]]="","",Master[[#This Row],[SOIL TEXTURE - lookup picker]])</f>
        <v/>
      </c>
      <c r="H36" t="str">
        <f>IF(Master[[#This Row],[Soil TEXTURE Original Value]]="","",Master[[#This Row],[Soil TEXTURE Original Value]])</f>
        <v/>
      </c>
    </row>
    <row r="37" spans="2:8" x14ac:dyDescent="0.25">
      <c r="B37" t="str">
        <f>Master[[#This Row],[Accession Prefix (NPGS)]]&amp;" "&amp;Master[[#This Row],[Accession Number -Assigned]]&amp;" COLLECTED "&amp;TEXT(Master[[#This Row],[Date Collected or Developed]], "MM/DD/YYYY")</f>
        <v>W6 59623 COLLECTED 10/10/2020</v>
      </c>
      <c r="C37" t="str">
        <f t="shared" si="1"/>
        <v>SOIL TEXTURE</v>
      </c>
      <c r="D37" s="17" t="str">
        <f>IF(Master[[#This Row],[SOIL TEXTURE - lookup picker]]="","",Master[[#This Row],[SOIL TEXTURE - lookup picker]])</f>
        <v/>
      </c>
      <c r="E37" s="109"/>
      <c r="G37" s="76" t="str">
        <f>IF(Master[[#This Row],[SOIL TEXTURE - lookup picker]]="","",Master[[#This Row],[SOIL TEXTURE - lookup picker]])</f>
        <v/>
      </c>
      <c r="H37" t="str">
        <f>IF(Master[[#This Row],[Soil TEXTURE Original Value]]="","",Master[[#This Row],[Soil TEXTURE Original Value]])</f>
        <v>Sand</v>
      </c>
    </row>
    <row r="38" spans="2:8" x14ac:dyDescent="0.25">
      <c r="B38" t="str">
        <f>Master[[#This Row],[Accession Prefix (NPGS)]]&amp;" "&amp;Master[[#This Row],[Accession Number -Assigned]]&amp;" COLLECTED "&amp;TEXT(Master[[#This Row],[Date Collected or Developed]], "MM/DD/YYYY")</f>
        <v>W6 59624 COLLECTED 10/10/2020</v>
      </c>
      <c r="C38" t="str">
        <f t="shared" si="1"/>
        <v>SOIL TEXTURE</v>
      </c>
      <c r="D38" s="17" t="str">
        <f>IF(Master[[#This Row],[SOIL TEXTURE - lookup picker]]="","",Master[[#This Row],[SOIL TEXTURE - lookup picker]])</f>
        <v/>
      </c>
      <c r="E38" s="109"/>
      <c r="G38" s="76" t="str">
        <f>IF(Master[[#This Row],[SOIL TEXTURE - lookup picker]]="","",Master[[#This Row],[SOIL TEXTURE - lookup picker]])</f>
        <v/>
      </c>
      <c r="H38" t="str">
        <f>IF(Master[[#This Row],[Soil TEXTURE Original Value]]="","",Master[[#This Row],[Soil TEXTURE Original Value]])</f>
        <v>Sand</v>
      </c>
    </row>
    <row r="39" spans="2:8" x14ac:dyDescent="0.25">
      <c r="B39" t="str">
        <f>Master[[#This Row],[Accession Prefix (NPGS)]]&amp;" "&amp;Master[[#This Row],[Accession Number -Assigned]]&amp;" COLLECTED "&amp;TEXT(Master[[#This Row],[Date Collected or Developed]], "MM/DD/YYYY")</f>
        <v>W6 59625 COLLECTED 10/10/2020</v>
      </c>
      <c r="C39" t="str">
        <f t="shared" si="1"/>
        <v>SOIL TEXTURE</v>
      </c>
      <c r="D39" s="17" t="str">
        <f>IF(Master[[#This Row],[SOIL TEXTURE - lookup picker]]="","",Master[[#This Row],[SOIL TEXTURE - lookup picker]])</f>
        <v/>
      </c>
      <c r="E39" s="109"/>
      <c r="G39" s="76" t="str">
        <f>IF(Master[[#This Row],[SOIL TEXTURE - lookup picker]]="","",Master[[#This Row],[SOIL TEXTURE - lookup picker]])</f>
        <v/>
      </c>
      <c r="H39" t="str">
        <f>IF(Master[[#This Row],[Soil TEXTURE Original Value]]="","",Master[[#This Row],[Soil TEXTURE Original Value]])</f>
        <v>Sand</v>
      </c>
    </row>
    <row r="40" spans="2:8" x14ac:dyDescent="0.25">
      <c r="B40" t="str">
        <f>Master[[#This Row],[Accession Prefix (NPGS)]]&amp;" "&amp;Master[[#This Row],[Accession Number -Assigned]]&amp;" COLLECTED "&amp;TEXT(Master[[#This Row],[Date Collected or Developed]], "MM/DD/YYYY")</f>
        <v>W6 59626 COLLECTED 10/14/2020</v>
      </c>
      <c r="C40" t="str">
        <f t="shared" si="1"/>
        <v>SOIL TEXTURE</v>
      </c>
      <c r="D40" s="17" t="str">
        <f>IF(Master[[#This Row],[SOIL TEXTURE - lookup picker]]="","",Master[[#This Row],[SOIL TEXTURE - lookup picker]])</f>
        <v/>
      </c>
      <c r="E40" s="109"/>
      <c r="G40" s="76" t="str">
        <f>IF(Master[[#This Row],[SOIL TEXTURE - lookup picker]]="","",Master[[#This Row],[SOIL TEXTURE - lookup picker]])</f>
        <v/>
      </c>
      <c r="H40" t="str">
        <f>IF(Master[[#This Row],[Soil TEXTURE Original Value]]="","",Master[[#This Row],[Soil TEXTURE Original Value]])</f>
        <v>Silt</v>
      </c>
    </row>
    <row r="41" spans="2:8" x14ac:dyDescent="0.25">
      <c r="B41" t="str">
        <f>Master[[#This Row],[Accession Prefix (NPGS)]]&amp;" "&amp;Master[[#This Row],[Accession Number -Assigned]]&amp;" COLLECTED "&amp;TEXT(Master[[#This Row],[Date Collected or Developed]], "MM/DD/YYYY")</f>
        <v>W6 59627 COLLECTED 10/14/2020</v>
      </c>
      <c r="C41" t="str">
        <f t="shared" si="1"/>
        <v>SOIL TEXTURE</v>
      </c>
      <c r="D41" s="17" t="str">
        <f>IF(Master[[#This Row],[SOIL TEXTURE - lookup picker]]="","",Master[[#This Row],[SOIL TEXTURE - lookup picker]])</f>
        <v/>
      </c>
      <c r="E41" s="109"/>
      <c r="G41" s="76" t="str">
        <f>IF(Master[[#This Row],[SOIL TEXTURE - lookup picker]]="","",Master[[#This Row],[SOIL TEXTURE - lookup picker]])</f>
        <v/>
      </c>
      <c r="H41" t="str">
        <f>IF(Master[[#This Row],[Soil TEXTURE Original Value]]="","",Master[[#This Row],[Soil TEXTURE Original Value]])</f>
        <v>Silt</v>
      </c>
    </row>
    <row r="42" spans="2:8" x14ac:dyDescent="0.25">
      <c r="B42" t="str">
        <f>Master[[#This Row],[Accession Prefix (NPGS)]]&amp;" "&amp;Master[[#This Row],[Accession Number -Assigned]]&amp;" COLLECTED "&amp;TEXT(Master[[#This Row],[Date Collected or Developed]], "MM/DD/YYYY")</f>
        <v>W6 59628 COLLECTED 10/14/2020</v>
      </c>
      <c r="C42" t="str">
        <f t="shared" si="1"/>
        <v>SOIL TEXTURE</v>
      </c>
      <c r="D42" s="17" t="str">
        <f>IF(Master[[#This Row],[SOIL TEXTURE - lookup picker]]="","",Master[[#This Row],[SOIL TEXTURE - lookup picker]])</f>
        <v/>
      </c>
      <c r="E42" s="109"/>
      <c r="G42" s="76" t="str">
        <f>IF(Master[[#This Row],[SOIL TEXTURE - lookup picker]]="","",Master[[#This Row],[SOIL TEXTURE - lookup picker]])</f>
        <v/>
      </c>
      <c r="H42" t="str">
        <f>IF(Master[[#This Row],[Soil TEXTURE Original Value]]="","",Master[[#This Row],[Soil TEXTURE Original Value]])</f>
        <v>Sand</v>
      </c>
    </row>
    <row r="43" spans="2:8" x14ac:dyDescent="0.25">
      <c r="B43" t="str">
        <f>Master[[#This Row],[Accession Prefix (NPGS)]]&amp;" "&amp;Master[[#This Row],[Accession Number -Assigned]]&amp;" COLLECTED "&amp;TEXT(Master[[#This Row],[Date Collected or Developed]], "MM/DD/YYYY")</f>
        <v>W6 59629 COLLECTED 10/15/2020</v>
      </c>
      <c r="C43" t="str">
        <f t="shared" si="1"/>
        <v>SOIL TEXTURE</v>
      </c>
      <c r="D43" s="17" t="str">
        <f>IF(Master[[#This Row],[SOIL TEXTURE - lookup picker]]="","",Master[[#This Row],[SOIL TEXTURE - lookup picker]])</f>
        <v/>
      </c>
      <c r="E43" s="109"/>
      <c r="G43" s="76" t="str">
        <f>IF(Master[[#This Row],[SOIL TEXTURE - lookup picker]]="","",Master[[#This Row],[SOIL TEXTURE - lookup picker]])</f>
        <v/>
      </c>
      <c r="H43" t="str">
        <f>IF(Master[[#This Row],[Soil TEXTURE Original Value]]="","",Master[[#This Row],[Soil TEXTURE Original Value]])</f>
        <v>Sand</v>
      </c>
    </row>
    <row r="44" spans="2:8" x14ac:dyDescent="0.25">
      <c r="B44" t="str">
        <f>Master[[#This Row],[Accession Prefix (NPGS)]]&amp;" "&amp;Master[[#This Row],[Accession Number -Assigned]]&amp;" COLLECTED "&amp;TEXT(Master[[#This Row],[Date Collected or Developed]], "MM/DD/YYYY")</f>
        <v>W6 59630 COLLECTED 10/15/2020</v>
      </c>
      <c r="C44" t="str">
        <f t="shared" si="1"/>
        <v>SOIL TEXTURE</v>
      </c>
      <c r="D44" s="17" t="str">
        <f>IF(Master[[#This Row],[SOIL TEXTURE - lookup picker]]="","",Master[[#This Row],[SOIL TEXTURE - lookup picker]])</f>
        <v/>
      </c>
      <c r="E44" s="109"/>
      <c r="G44" s="76" t="str">
        <f>IF(Master[[#This Row],[SOIL TEXTURE - lookup picker]]="","",Master[[#This Row],[SOIL TEXTURE - lookup picker]])</f>
        <v/>
      </c>
      <c r="H44" t="str">
        <f>IF(Master[[#This Row],[Soil TEXTURE Original Value]]="","",Master[[#This Row],[Soil TEXTURE Original Value]])</f>
        <v>Sand</v>
      </c>
    </row>
    <row r="45" spans="2:8" x14ac:dyDescent="0.25">
      <c r="B45" t="str">
        <f>Master[[#This Row],[Accession Prefix (NPGS)]]&amp;" "&amp;Master[[#This Row],[Accession Number -Assigned]]&amp;" COLLECTED "&amp;TEXT(Master[[#This Row],[Date Collected or Developed]], "MM/DD/YYYY")</f>
        <v>W6 59631 COLLECTED 10/20/2020</v>
      </c>
      <c r="C45" t="str">
        <f t="shared" si="1"/>
        <v>SOIL TEXTURE</v>
      </c>
      <c r="D45" s="17" t="str">
        <f>IF(Master[[#This Row],[SOIL TEXTURE - lookup picker]]="","",Master[[#This Row],[SOIL TEXTURE - lookup picker]])</f>
        <v/>
      </c>
      <c r="E45" s="109"/>
      <c r="G45" s="76" t="str">
        <f>IF(Master[[#This Row],[SOIL TEXTURE - lookup picker]]="","",Master[[#This Row],[SOIL TEXTURE - lookup picker]])</f>
        <v/>
      </c>
      <c r="H45" t="str">
        <f>IF(Master[[#This Row],[Soil TEXTURE Original Value]]="","",Master[[#This Row],[Soil TEXTURE Original Value]])</f>
        <v>Sand</v>
      </c>
    </row>
    <row r="46" spans="2:8" x14ac:dyDescent="0.25">
      <c r="B46" t="str">
        <f>Master[[#This Row],[Accession Prefix (NPGS)]]&amp;" "&amp;Master[[#This Row],[Accession Number -Assigned]]&amp;" COLLECTED "&amp;TEXT(Master[[#This Row],[Date Collected or Developed]], "MM/DD/YYYY")</f>
        <v>W6 59632 COLLECTED 10/27/2020</v>
      </c>
      <c r="C46" t="str">
        <f t="shared" si="1"/>
        <v>SOIL TEXTURE</v>
      </c>
      <c r="D46" s="17" t="str">
        <f>IF(Master[[#This Row],[SOIL TEXTURE - lookup picker]]="","",Master[[#This Row],[SOIL TEXTURE - lookup picker]])</f>
        <v/>
      </c>
      <c r="E46" s="109"/>
      <c r="G46" s="76" t="str">
        <f>IF(Master[[#This Row],[SOIL TEXTURE - lookup picker]]="","",Master[[#This Row],[SOIL TEXTURE - lookup picker]])</f>
        <v/>
      </c>
      <c r="H46" t="str">
        <f>IF(Master[[#This Row],[Soil TEXTURE Original Value]]="","",Master[[#This Row],[Soil TEXTURE Original Value]])</f>
        <v>Sand</v>
      </c>
    </row>
    <row r="47" spans="2:8" x14ac:dyDescent="0.25">
      <c r="B47" t="str">
        <f>Master[[#This Row],[Accession Prefix (NPGS)]]&amp;" "&amp;Master[[#This Row],[Accession Number -Assigned]]&amp;" COLLECTED "&amp;TEXT(Master[[#This Row],[Date Collected or Developed]], "MM/DD/YYYY")</f>
        <v>W6 59633 COLLECTED 11/10/2020</v>
      </c>
      <c r="C47" t="str">
        <f t="shared" si="1"/>
        <v>SOIL TEXTURE</v>
      </c>
      <c r="D47" s="17" t="str">
        <f>IF(Master[[#This Row],[SOIL TEXTURE - lookup picker]]="","",Master[[#This Row],[SOIL TEXTURE - lookup picker]])</f>
        <v/>
      </c>
      <c r="E47" s="109"/>
      <c r="G47" s="76" t="str">
        <f>IF(Master[[#This Row],[SOIL TEXTURE - lookup picker]]="","",Master[[#This Row],[SOIL TEXTURE - lookup picker]])</f>
        <v/>
      </c>
      <c r="H47" t="str">
        <f>IF(Master[[#This Row],[Soil TEXTURE Original Value]]="","",Master[[#This Row],[Soil TEXTURE Original Value]])</f>
        <v>Other : loam</v>
      </c>
    </row>
    <row r="48" spans="2:8" x14ac:dyDescent="0.25">
      <c r="B48" t="str">
        <f>Master[[#This Row],[Accession Prefix (NPGS)]]&amp;" "&amp;Master[[#This Row],[Accession Number -Assigned]]&amp;" COLLECTED "&amp;TEXT(Master[[#This Row],[Date Collected or Developed]], "MM/DD/YYYY")</f>
        <v>W6 59634 COLLECTED 11/10/2020</v>
      </c>
      <c r="C48" t="str">
        <f t="shared" si="1"/>
        <v>SOIL TEXTURE</v>
      </c>
      <c r="D48" s="17" t="str">
        <f>IF(Master[[#This Row],[SOIL TEXTURE - lookup picker]]="","",Master[[#This Row],[SOIL TEXTURE - lookup picker]])</f>
        <v/>
      </c>
      <c r="E48" s="109"/>
      <c r="G48" s="76" t="str">
        <f>IF(Master[[#This Row],[SOIL TEXTURE - lookup picker]]="","",Master[[#This Row],[SOIL TEXTURE - lookup picker]])</f>
        <v/>
      </c>
      <c r="H48" t="str">
        <f>IF(Master[[#This Row],[Soil TEXTURE Original Value]]="","",Master[[#This Row],[Soil TEXTURE Original Value]])</f>
        <v>Sand</v>
      </c>
    </row>
    <row r="49" spans="2:8" x14ac:dyDescent="0.25">
      <c r="B49" t="str">
        <f>Master[[#This Row],[Accession Prefix (NPGS)]]&amp;" "&amp;Master[[#This Row],[Accession Number -Assigned]]&amp;" COLLECTED "&amp;TEXT(Master[[#This Row],[Date Collected or Developed]], "MM/DD/YYYY")</f>
        <v>W6 59635 COLLECTED 11/19/2020</v>
      </c>
      <c r="C49" t="str">
        <f t="shared" si="1"/>
        <v>SOIL TEXTURE</v>
      </c>
      <c r="D49" s="17" t="str">
        <f>IF(Master[[#This Row],[SOIL TEXTURE - lookup picker]]="","",Master[[#This Row],[SOIL TEXTURE - lookup picker]])</f>
        <v/>
      </c>
      <c r="E49" s="109"/>
      <c r="G49" s="76" t="str">
        <f>IF(Master[[#This Row],[SOIL TEXTURE - lookup picker]]="","",Master[[#This Row],[SOIL TEXTURE - lookup picker]])</f>
        <v/>
      </c>
      <c r="H49" t="str">
        <f>IF(Master[[#This Row],[Soil TEXTURE Original Value]]="","",Master[[#This Row],[Soil TEXTURE Original Value]])</f>
        <v>Sand</v>
      </c>
    </row>
    <row r="50" spans="2:8" x14ac:dyDescent="0.25">
      <c r="B50" t="str">
        <f>Master[[#This Row],[Accession Prefix (NPGS)]]&amp;" "&amp;Master[[#This Row],[Accession Number -Assigned]]&amp;" COLLECTED "&amp;TEXT(Master[[#This Row],[Date Collected or Developed]], "MM/DD/YYYY")</f>
        <v>W6 59636 COLLECTED 11/23/2020</v>
      </c>
      <c r="C50" t="str">
        <f t="shared" si="1"/>
        <v>SOIL TEXTURE</v>
      </c>
      <c r="D50" s="17" t="str">
        <f>IF(Master[[#This Row],[SOIL TEXTURE - lookup picker]]="","",Master[[#This Row],[SOIL TEXTURE - lookup picker]])</f>
        <v/>
      </c>
      <c r="E50" s="109"/>
      <c r="G50" s="76" t="str">
        <f>IF(Master[[#This Row],[SOIL TEXTURE - lookup picker]]="","",Master[[#This Row],[SOIL TEXTURE - lookup picker]])</f>
        <v/>
      </c>
      <c r="H50" t="str">
        <f>IF(Master[[#This Row],[Soil TEXTURE Original Value]]="","",Master[[#This Row],[Soil TEXTURE Original Value]])</f>
        <v>Sand</v>
      </c>
    </row>
    <row r="51" spans="2:8" x14ac:dyDescent="0.25">
      <c r="B51" t="str">
        <f>Master[[#This Row],[Accession Prefix (NPGS)]]&amp;" "&amp;Master[[#This Row],[Accession Number -Assigned]]&amp;" COLLECTED "&amp;TEXT(Master[[#This Row],[Date Collected or Developed]], "MM/DD/YYYY")</f>
        <v>W6 59637 COLLECTED 12/03/2020</v>
      </c>
      <c r="C51" t="str">
        <f t="shared" si="1"/>
        <v>SOIL TEXTURE</v>
      </c>
      <c r="D51" s="17" t="str">
        <f>IF(Master[[#This Row],[SOIL TEXTURE - lookup picker]]="","",Master[[#This Row],[SOIL TEXTURE - lookup picker]])</f>
        <v/>
      </c>
      <c r="E51" s="109"/>
      <c r="G51" s="76" t="str">
        <f>IF(Master[[#This Row],[SOIL TEXTURE - lookup picker]]="","",Master[[#This Row],[SOIL TEXTURE - lookup picker]])</f>
        <v/>
      </c>
      <c r="H51" t="str">
        <f>IF(Master[[#This Row],[Soil TEXTURE Original Value]]="","",Master[[#This Row],[Soil TEXTURE Original Value]])</f>
        <v>Sand</v>
      </c>
    </row>
    <row r="52" spans="2:8" x14ac:dyDescent="0.25">
      <c r="B52" t="str">
        <f>Master[[#This Row],[Accession Prefix (NPGS)]]&amp;" "&amp;Master[[#This Row],[Accession Number -Assigned]]&amp;" COLLECTED "&amp;TEXT(Master[[#This Row],[Date Collected or Developed]], "MM/DD/YYYY")</f>
        <v>W6 59638 COLLECTED 12/03/2020</v>
      </c>
      <c r="C52" t="str">
        <f t="shared" si="1"/>
        <v>SOIL TEXTURE</v>
      </c>
      <c r="D52" s="17" t="str">
        <f>IF(Master[[#This Row],[SOIL TEXTURE - lookup picker]]="","",Master[[#This Row],[SOIL TEXTURE - lookup picker]])</f>
        <v/>
      </c>
      <c r="E52" s="109"/>
      <c r="G52" s="76" t="str">
        <f>IF(Master[[#This Row],[SOIL TEXTURE - lookup picker]]="","",Master[[#This Row],[SOIL TEXTURE - lookup picker]])</f>
        <v/>
      </c>
      <c r="H52" t="str">
        <f>IF(Master[[#This Row],[Soil TEXTURE Original Value]]="","",Master[[#This Row],[Soil TEXTURE Original Value]])</f>
        <v>Sand</v>
      </c>
    </row>
    <row r="53" spans="2:8" x14ac:dyDescent="0.25">
      <c r="B53" t="str">
        <f>Master[[#This Row],[Accession Prefix (NPGS)]]&amp;" "&amp;Master[[#This Row],[Accession Number -Assigned]]&amp;" COLLECTED "&amp;TEXT(Master[[#This Row],[Date Collected or Developed]], "MM/DD/YYYY")</f>
        <v>W6 59639 COLLECTED 12/03/2020</v>
      </c>
      <c r="C53" t="str">
        <f t="shared" si="1"/>
        <v>SOIL TEXTURE</v>
      </c>
      <c r="D53" s="17" t="str">
        <f>IF(Master[[#This Row],[SOIL TEXTURE - lookup picker]]="","",Master[[#This Row],[SOIL TEXTURE - lookup picker]])</f>
        <v/>
      </c>
      <c r="E53" s="109"/>
      <c r="G53" s="76" t="str">
        <f>IF(Master[[#This Row],[SOIL TEXTURE - lookup picker]]="","",Master[[#This Row],[SOIL TEXTURE - lookup picker]])</f>
        <v/>
      </c>
      <c r="H53" t="str">
        <f>IF(Master[[#This Row],[Soil TEXTURE Original Value]]="","",Master[[#This Row],[Soil TEXTURE Original Value]])</f>
        <v>Sand</v>
      </c>
    </row>
    <row r="54" spans="2:8" x14ac:dyDescent="0.25">
      <c r="B54" t="str">
        <f>Master[[#This Row],[Accession Prefix (NPGS)]]&amp;" "&amp;Master[[#This Row],[Accession Number -Assigned]]&amp;" COLLECTED "&amp;TEXT(Master[[#This Row],[Date Collected or Developed]], "MM/DD/YYYY")</f>
        <v>W6 59640 COLLECTED 12/15/2020</v>
      </c>
      <c r="C54" t="str">
        <f t="shared" ref="C54:C85" si="2">"SOIL TEXTURE"</f>
        <v>SOIL TEXTURE</v>
      </c>
      <c r="D54" s="17" t="str">
        <f>IF(Master[[#This Row],[SOIL TEXTURE - lookup picker]]="","",Master[[#This Row],[SOIL TEXTURE - lookup picker]])</f>
        <v/>
      </c>
      <c r="E54" s="109"/>
      <c r="G54" s="76" t="str">
        <f>IF(Master[[#This Row],[SOIL TEXTURE - lookup picker]]="","",Master[[#This Row],[SOIL TEXTURE - lookup picker]])</f>
        <v/>
      </c>
      <c r="H54" t="str">
        <f>IF(Master[[#This Row],[Soil TEXTURE Original Value]]="","",Master[[#This Row],[Soil TEXTURE Original Value]])</f>
        <v>Sand</v>
      </c>
    </row>
    <row r="55" spans="2:8" x14ac:dyDescent="0.25">
      <c r="B55" t="str">
        <f>Master[[#This Row],[Accession Prefix (NPGS)]]&amp;" "&amp;Master[[#This Row],[Accession Number -Assigned]]&amp;" COLLECTED "&amp;TEXT(Master[[#This Row],[Date Collected or Developed]], "MM/DD/YYYY")</f>
        <v>W6 59641 COLLECTED 08/17/2020</v>
      </c>
      <c r="C55" t="str">
        <f t="shared" si="2"/>
        <v>SOIL TEXTURE</v>
      </c>
      <c r="D55" s="17" t="str">
        <f>IF(Master[[#This Row],[SOIL TEXTURE - lookup picker]]="","",Master[[#This Row],[SOIL TEXTURE - lookup picker]])</f>
        <v/>
      </c>
      <c r="E55" s="109"/>
      <c r="G55" s="76" t="str">
        <f>IF(Master[[#This Row],[SOIL TEXTURE - lookup picker]]="","",Master[[#This Row],[SOIL TEXTURE - lookup picker]])</f>
        <v/>
      </c>
      <c r="H55" t="str">
        <f>IF(Master[[#This Row],[Soil TEXTURE Original Value]]="","",Master[[#This Row],[Soil TEXTURE Original Value]])</f>
        <v>Sand</v>
      </c>
    </row>
    <row r="56" spans="2:8" x14ac:dyDescent="0.25">
      <c r="B56" t="str">
        <f>Master[[#This Row],[Accession Prefix (NPGS)]]&amp;" "&amp;Master[[#This Row],[Accession Number -Assigned]]&amp;" COLLECTED "&amp;TEXT(Master[[#This Row],[Date Collected or Developed]], "MM/DD/YYYY")</f>
        <v>W6 59642 COLLECTED 08/25/2020</v>
      </c>
      <c r="C56" t="str">
        <f t="shared" si="2"/>
        <v>SOIL TEXTURE</v>
      </c>
      <c r="D56" s="17" t="str">
        <f>IF(Master[[#This Row],[SOIL TEXTURE - lookup picker]]="","",Master[[#This Row],[SOIL TEXTURE - lookup picker]])</f>
        <v/>
      </c>
      <c r="E56" s="109"/>
      <c r="G56" s="76" t="str">
        <f>IF(Master[[#This Row],[SOIL TEXTURE - lookup picker]]="","",Master[[#This Row],[SOIL TEXTURE - lookup picker]])</f>
        <v/>
      </c>
      <c r="H56" t="str">
        <f>IF(Master[[#This Row],[Soil TEXTURE Original Value]]="","",Master[[#This Row],[Soil TEXTURE Original Value]])</f>
        <v>Sand</v>
      </c>
    </row>
    <row r="57" spans="2:8" x14ac:dyDescent="0.25">
      <c r="B57" t="str">
        <f>Master[[#This Row],[Accession Prefix (NPGS)]]&amp;" "&amp;Master[[#This Row],[Accession Number -Assigned]]&amp;" COLLECTED "&amp;TEXT(Master[[#This Row],[Date Collected or Developed]], "MM/DD/YYYY")</f>
        <v>W6 59643 COLLECTED 05/26/2020</v>
      </c>
      <c r="C57" t="str">
        <f t="shared" si="2"/>
        <v>SOIL TEXTURE</v>
      </c>
      <c r="D57" s="17" t="str">
        <f>IF(Master[[#This Row],[SOIL TEXTURE - lookup picker]]="","",Master[[#This Row],[SOIL TEXTURE - lookup picker]])</f>
        <v/>
      </c>
      <c r="E57" s="109"/>
      <c r="G57" s="76" t="str">
        <f>IF(Master[[#This Row],[SOIL TEXTURE - lookup picker]]="","",Master[[#This Row],[SOIL TEXTURE - lookup picker]])</f>
        <v/>
      </c>
      <c r="H57" t="str">
        <f>IF(Master[[#This Row],[Soil TEXTURE Original Value]]="","",Master[[#This Row],[Soil TEXTURE Original Value]])</f>
        <v>Other : Silty Clay</v>
      </c>
    </row>
    <row r="58" spans="2:8" x14ac:dyDescent="0.25">
      <c r="B58" t="str">
        <f>Master[[#This Row],[Accession Prefix (NPGS)]]&amp;" "&amp;Master[[#This Row],[Accession Number -Assigned]]&amp;" COLLECTED "&amp;TEXT(Master[[#This Row],[Date Collected or Developed]], "MM/DD/YYYY")</f>
        <v>W6 59644 COLLECTED 05/27/2020</v>
      </c>
      <c r="C58" t="str">
        <f t="shared" si="2"/>
        <v>SOIL TEXTURE</v>
      </c>
      <c r="D58" s="17" t="str">
        <f>IF(Master[[#This Row],[SOIL TEXTURE - lookup picker]]="","",Master[[#This Row],[SOIL TEXTURE - lookup picker]])</f>
        <v/>
      </c>
      <c r="E58" s="109"/>
      <c r="G58" s="76" t="str">
        <f>IF(Master[[#This Row],[SOIL TEXTURE - lookup picker]]="","",Master[[#This Row],[SOIL TEXTURE - lookup picker]])</f>
        <v/>
      </c>
      <c r="H58" t="str">
        <f>IF(Master[[#This Row],[Soil TEXTURE Original Value]]="","",Master[[#This Row],[Soil TEXTURE Original Value]])</f>
        <v>Other : Sandy Clay Loam</v>
      </c>
    </row>
    <row r="59" spans="2:8" x14ac:dyDescent="0.25">
      <c r="B59" t="str">
        <f>Master[[#This Row],[Accession Prefix (NPGS)]]&amp;" "&amp;Master[[#This Row],[Accession Number -Assigned]]&amp;" COLLECTED "&amp;TEXT(Master[[#This Row],[Date Collected or Developed]], "MM/DD/YYYY")</f>
        <v>W6 59645 COLLECTED 06/09/2020</v>
      </c>
      <c r="C59" t="str">
        <f t="shared" si="2"/>
        <v>SOIL TEXTURE</v>
      </c>
      <c r="D59" s="17" t="str">
        <f>IF(Master[[#This Row],[SOIL TEXTURE - lookup picker]]="","",Master[[#This Row],[SOIL TEXTURE - lookup picker]])</f>
        <v/>
      </c>
      <c r="E59" s="109"/>
      <c r="G59" s="76" t="str">
        <f>IF(Master[[#This Row],[SOIL TEXTURE - lookup picker]]="","",Master[[#This Row],[SOIL TEXTURE - lookup picker]])</f>
        <v/>
      </c>
      <c r="H59" t="str">
        <f>IF(Master[[#This Row],[Soil TEXTURE Original Value]]="","",Master[[#This Row],[Soil TEXTURE Original Value]])</f>
        <v>Other : Loamy Sand</v>
      </c>
    </row>
    <row r="60" spans="2:8" x14ac:dyDescent="0.25">
      <c r="B60" t="str">
        <f>Master[[#This Row],[Accession Prefix (NPGS)]]&amp;" "&amp;Master[[#This Row],[Accession Number -Assigned]]&amp;" COLLECTED "&amp;TEXT(Master[[#This Row],[Date Collected or Developed]], "MM/DD/YYYY")</f>
        <v>W6 59646 COLLECTED 06/24/2020</v>
      </c>
      <c r="C60" t="str">
        <f t="shared" si="2"/>
        <v>SOIL TEXTURE</v>
      </c>
      <c r="D60" s="17" t="str">
        <f>IF(Master[[#This Row],[SOIL TEXTURE - lookup picker]]="","",Master[[#This Row],[SOIL TEXTURE - lookup picker]])</f>
        <v/>
      </c>
      <c r="E60" s="109"/>
      <c r="G60" s="76" t="str">
        <f>IF(Master[[#This Row],[SOIL TEXTURE - lookup picker]]="","",Master[[#This Row],[SOIL TEXTURE - lookup picker]])</f>
        <v/>
      </c>
      <c r="H60" t="str">
        <f>IF(Master[[#This Row],[Soil TEXTURE Original Value]]="","",Master[[#This Row],[Soil TEXTURE Original Value]])</f>
        <v>Sand</v>
      </c>
    </row>
    <row r="61" spans="2:8" x14ac:dyDescent="0.25">
      <c r="B61" t="str">
        <f>Master[[#This Row],[Accession Prefix (NPGS)]]&amp;" "&amp;Master[[#This Row],[Accession Number -Assigned]]&amp;" COLLECTED "&amp;TEXT(Master[[#This Row],[Date Collected or Developed]], "MM/DD/YYYY")</f>
        <v>W6 59647 COLLECTED 07/07/2020</v>
      </c>
      <c r="C61" t="str">
        <f t="shared" si="2"/>
        <v>SOIL TEXTURE</v>
      </c>
      <c r="D61" s="17" t="str">
        <f>IF(Master[[#This Row],[SOIL TEXTURE - lookup picker]]="","",Master[[#This Row],[SOIL TEXTURE - lookup picker]])</f>
        <v/>
      </c>
      <c r="E61" s="109"/>
      <c r="G61" s="76" t="str">
        <f>IF(Master[[#This Row],[SOIL TEXTURE - lookup picker]]="","",Master[[#This Row],[SOIL TEXTURE - lookup picker]])</f>
        <v/>
      </c>
      <c r="H61" t="str">
        <f>IF(Master[[#This Row],[Soil TEXTURE Original Value]]="","",Master[[#This Row],[Soil TEXTURE Original Value]])</f>
        <v>Other : Silty clay loam</v>
      </c>
    </row>
    <row r="62" spans="2:8" x14ac:dyDescent="0.25">
      <c r="B62" t="str">
        <f>Master[[#This Row],[Accession Prefix (NPGS)]]&amp;" "&amp;Master[[#This Row],[Accession Number -Assigned]]&amp;" COLLECTED "&amp;TEXT(Master[[#This Row],[Date Collected or Developed]], "MM/DD/YYYY")</f>
        <v>W6 59648 COLLECTED 07/09/2020</v>
      </c>
      <c r="C62" t="str">
        <f t="shared" si="2"/>
        <v>SOIL TEXTURE</v>
      </c>
      <c r="D62" s="17" t="str">
        <f>IF(Master[[#This Row],[SOIL TEXTURE - lookup picker]]="","",Master[[#This Row],[SOIL TEXTURE - lookup picker]])</f>
        <v/>
      </c>
      <c r="E62" s="109"/>
      <c r="G62" s="76" t="str">
        <f>IF(Master[[#This Row],[SOIL TEXTURE - lookup picker]]="","",Master[[#This Row],[SOIL TEXTURE - lookup picker]])</f>
        <v/>
      </c>
      <c r="H62" t="str">
        <f>IF(Master[[#This Row],[Soil TEXTURE Original Value]]="","",Master[[#This Row],[Soil TEXTURE Original Value]])</f>
        <v>Sand</v>
      </c>
    </row>
    <row r="63" spans="2:8" x14ac:dyDescent="0.25">
      <c r="B63" t="str">
        <f>Master[[#This Row],[Accession Prefix (NPGS)]]&amp;" "&amp;Master[[#This Row],[Accession Number -Assigned]]&amp;" COLLECTED "&amp;TEXT(Master[[#This Row],[Date Collected or Developed]], "MM/DD/YYYY")</f>
        <v>W6 59649 COLLECTED 07/13/2020</v>
      </c>
      <c r="C63" t="str">
        <f t="shared" si="2"/>
        <v>SOIL TEXTURE</v>
      </c>
      <c r="D63" s="17" t="str">
        <f>IF(Master[[#This Row],[SOIL TEXTURE - lookup picker]]="","",Master[[#This Row],[SOIL TEXTURE - lookup picker]])</f>
        <v/>
      </c>
      <c r="E63" s="109"/>
      <c r="G63" s="76" t="str">
        <f>IF(Master[[#This Row],[SOIL TEXTURE - lookup picker]]="","",Master[[#This Row],[SOIL TEXTURE - lookup picker]])</f>
        <v/>
      </c>
      <c r="H63" t="str">
        <f>IF(Master[[#This Row],[Soil TEXTURE Original Value]]="","",Master[[#This Row],[Soil TEXTURE Original Value]])</f>
        <v>Other : Sandy clay loam</v>
      </c>
    </row>
    <row r="64" spans="2:8" x14ac:dyDescent="0.25">
      <c r="B64" t="str">
        <f>Master[[#This Row],[Accession Prefix (NPGS)]]&amp;" "&amp;Master[[#This Row],[Accession Number -Assigned]]&amp;" COLLECTED "&amp;TEXT(Master[[#This Row],[Date Collected or Developed]], "MM/DD/YYYY")</f>
        <v>W6 59650 COLLECTED 08/10/2020</v>
      </c>
      <c r="C64" t="str">
        <f t="shared" si="2"/>
        <v>SOIL TEXTURE</v>
      </c>
      <c r="D64" s="17" t="str">
        <f>IF(Master[[#This Row],[SOIL TEXTURE - lookup picker]]="","",Master[[#This Row],[SOIL TEXTURE - lookup picker]])</f>
        <v/>
      </c>
      <c r="E64" s="109"/>
      <c r="G64" s="76" t="str">
        <f>IF(Master[[#This Row],[SOIL TEXTURE - lookup picker]]="","",Master[[#This Row],[SOIL TEXTURE - lookup picker]])</f>
        <v/>
      </c>
      <c r="H64" t="str">
        <f>IF(Master[[#This Row],[Soil TEXTURE Original Value]]="","",Master[[#This Row],[Soil TEXTURE Original Value]])</f>
        <v>Other : Sandy loam</v>
      </c>
    </row>
    <row r="65" spans="2:8" x14ac:dyDescent="0.25">
      <c r="B65" t="str">
        <f>Master[[#This Row],[Accession Prefix (NPGS)]]&amp;" "&amp;Master[[#This Row],[Accession Number -Assigned]]&amp;" COLLECTED "&amp;TEXT(Master[[#This Row],[Date Collected or Developed]], "MM/DD/YYYY")</f>
        <v>W6 59651 COLLECTED 08/11/2020</v>
      </c>
      <c r="C65" t="str">
        <f t="shared" si="2"/>
        <v>SOIL TEXTURE</v>
      </c>
      <c r="D65" s="17" t="str">
        <f>IF(Master[[#This Row],[SOIL TEXTURE - lookup picker]]="","",Master[[#This Row],[SOIL TEXTURE - lookup picker]])</f>
        <v/>
      </c>
      <c r="E65" s="109"/>
      <c r="G65" s="76" t="str">
        <f>IF(Master[[#This Row],[SOIL TEXTURE - lookup picker]]="","",Master[[#This Row],[SOIL TEXTURE - lookup picker]])</f>
        <v/>
      </c>
      <c r="H65" t="str">
        <f>IF(Master[[#This Row],[Soil TEXTURE Original Value]]="","",Master[[#This Row],[Soil TEXTURE Original Value]])</f>
        <v>Other : Sandy loam</v>
      </c>
    </row>
    <row r="66" spans="2:8" x14ac:dyDescent="0.25">
      <c r="B66" t="str">
        <f>Master[[#This Row],[Accession Prefix (NPGS)]]&amp;" "&amp;Master[[#This Row],[Accession Number -Assigned]]&amp;" COLLECTED "&amp;TEXT(Master[[#This Row],[Date Collected or Developed]], "MM/DD/YYYY")</f>
        <v>W6 59652 COLLECTED 08/11/2020</v>
      </c>
      <c r="C66" t="str">
        <f t="shared" si="2"/>
        <v>SOIL TEXTURE</v>
      </c>
      <c r="D66" s="17" t="str">
        <f>IF(Master[[#This Row],[SOIL TEXTURE - lookup picker]]="","",Master[[#This Row],[SOIL TEXTURE - lookup picker]])</f>
        <v/>
      </c>
      <c r="E66" s="109"/>
      <c r="G66" s="76" t="str">
        <f>IF(Master[[#This Row],[SOIL TEXTURE - lookup picker]]="","",Master[[#This Row],[SOIL TEXTURE - lookup picker]])</f>
        <v/>
      </c>
      <c r="H66" t="str">
        <f>IF(Master[[#This Row],[Soil TEXTURE Original Value]]="","",Master[[#This Row],[Soil TEXTURE Original Value]])</f>
        <v>Other : Sandy loam</v>
      </c>
    </row>
    <row r="67" spans="2:8" x14ac:dyDescent="0.25">
      <c r="B67" t="str">
        <f>Master[[#This Row],[Accession Prefix (NPGS)]]&amp;" "&amp;Master[[#This Row],[Accession Number -Assigned]]&amp;" COLLECTED "&amp;TEXT(Master[[#This Row],[Date Collected or Developed]], "MM/DD/YYYY")</f>
        <v>W6 59653 COLLECTED 08/12/2020</v>
      </c>
      <c r="C67" t="str">
        <f t="shared" si="2"/>
        <v>SOIL TEXTURE</v>
      </c>
      <c r="D67" s="17" t="str">
        <f>IF(Master[[#This Row],[SOIL TEXTURE - lookup picker]]="","",Master[[#This Row],[SOIL TEXTURE - lookup picker]])</f>
        <v/>
      </c>
      <c r="E67" s="109"/>
      <c r="G67" s="76" t="str">
        <f>IF(Master[[#This Row],[SOIL TEXTURE - lookup picker]]="","",Master[[#This Row],[SOIL TEXTURE - lookup picker]])</f>
        <v/>
      </c>
      <c r="H67" t="str">
        <f>IF(Master[[#This Row],[Soil TEXTURE Original Value]]="","",Master[[#This Row],[Soil TEXTURE Original Value]])</f>
        <v>Other : Silty loam</v>
      </c>
    </row>
    <row r="68" spans="2:8" x14ac:dyDescent="0.25">
      <c r="B68" t="str">
        <f>Master[[#This Row],[Accession Prefix (NPGS)]]&amp;" "&amp;Master[[#This Row],[Accession Number -Assigned]]&amp;" COLLECTED "&amp;TEXT(Master[[#This Row],[Date Collected or Developed]], "MM/DD/YYYY")</f>
        <v>W6 59654 COLLECTED 08/12/2020</v>
      </c>
      <c r="C68" t="str">
        <f t="shared" si="2"/>
        <v>SOIL TEXTURE</v>
      </c>
      <c r="D68" s="17" t="str">
        <f>IF(Master[[#This Row],[SOIL TEXTURE - lookup picker]]="","",Master[[#This Row],[SOIL TEXTURE - lookup picker]])</f>
        <v/>
      </c>
      <c r="E68" s="109"/>
      <c r="G68" s="76" t="str">
        <f>IF(Master[[#This Row],[SOIL TEXTURE - lookup picker]]="","",Master[[#This Row],[SOIL TEXTURE - lookup picker]])</f>
        <v/>
      </c>
      <c r="H68" t="str">
        <f>IF(Master[[#This Row],[Soil TEXTURE Original Value]]="","",Master[[#This Row],[Soil TEXTURE Original Value]])</f>
        <v>Other : Sandy clay loam</v>
      </c>
    </row>
    <row r="69" spans="2:8" x14ac:dyDescent="0.25">
      <c r="B69" t="str">
        <f>Master[[#This Row],[Accession Prefix (NPGS)]]&amp;" "&amp;Master[[#This Row],[Accession Number -Assigned]]&amp;" COLLECTED "&amp;TEXT(Master[[#This Row],[Date Collected or Developed]], "MM/DD/YYYY")</f>
        <v>W6 59655 COLLECTED 06/11/2020</v>
      </c>
      <c r="C69" t="str">
        <f t="shared" si="2"/>
        <v>SOIL TEXTURE</v>
      </c>
      <c r="D69" s="17" t="str">
        <f>IF(Master[[#This Row],[SOIL TEXTURE - lookup picker]]="","",Master[[#This Row],[SOIL TEXTURE - lookup picker]])</f>
        <v/>
      </c>
      <c r="E69" s="109"/>
      <c r="G69" s="76" t="str">
        <f>IF(Master[[#This Row],[SOIL TEXTURE - lookup picker]]="","",Master[[#This Row],[SOIL TEXTURE - lookup picker]])</f>
        <v/>
      </c>
      <c r="H69" t="str">
        <f>IF(Master[[#This Row],[Soil TEXTURE Original Value]]="","",Master[[#This Row],[Soil TEXTURE Original Value]])</f>
        <v>Silt : Silty Clay</v>
      </c>
    </row>
    <row r="70" spans="2:8" x14ac:dyDescent="0.25">
      <c r="B70" t="str">
        <f>Master[[#This Row],[Accession Prefix (NPGS)]]&amp;" "&amp;Master[[#This Row],[Accession Number -Assigned]]&amp;" COLLECTED "&amp;TEXT(Master[[#This Row],[Date Collected or Developed]], "MM/DD/YYYY")</f>
        <v>W6 59656 COLLECTED 06/15/2020</v>
      </c>
      <c r="C70" t="str">
        <f t="shared" si="2"/>
        <v>SOIL TEXTURE</v>
      </c>
      <c r="D70" s="17" t="str">
        <f>IF(Master[[#This Row],[SOIL TEXTURE - lookup picker]]="","",Master[[#This Row],[SOIL TEXTURE - lookup picker]])</f>
        <v/>
      </c>
      <c r="E70" s="109"/>
      <c r="G70" s="76" t="str">
        <f>IF(Master[[#This Row],[SOIL TEXTURE - lookup picker]]="","",Master[[#This Row],[SOIL TEXTURE - lookup picker]])</f>
        <v/>
      </c>
      <c r="H70" t="str">
        <f>IF(Master[[#This Row],[Soil TEXTURE Original Value]]="","",Master[[#This Row],[Soil TEXTURE Original Value]])</f>
        <v>Clay, Silt</v>
      </c>
    </row>
    <row r="71" spans="2:8" x14ac:dyDescent="0.25">
      <c r="B71" t="str">
        <f>Master[[#This Row],[Accession Prefix (NPGS)]]&amp;" "&amp;Master[[#This Row],[Accession Number -Assigned]]&amp;" COLLECTED "&amp;TEXT(Master[[#This Row],[Date Collected or Developed]], "MM/DD/YYYY")</f>
        <v>W6 59657 COLLECTED 06/16/2020</v>
      </c>
      <c r="C71" t="str">
        <f t="shared" si="2"/>
        <v>SOIL TEXTURE</v>
      </c>
      <c r="D71" s="17" t="str">
        <f>IF(Master[[#This Row],[SOIL TEXTURE - lookup picker]]="","",Master[[#This Row],[SOIL TEXTURE - lookup picker]])</f>
        <v/>
      </c>
      <c r="E71" s="109"/>
      <c r="G71" s="76" t="str">
        <f>IF(Master[[#This Row],[SOIL TEXTURE - lookup picker]]="","",Master[[#This Row],[SOIL TEXTURE - lookup picker]])</f>
        <v/>
      </c>
      <c r="H71" t="str">
        <f>IF(Master[[#This Row],[Soil TEXTURE Original Value]]="","",Master[[#This Row],[Soil TEXTURE Original Value]])</f>
        <v>Clay, Silt : silty-clay</v>
      </c>
    </row>
    <row r="72" spans="2:8" x14ac:dyDescent="0.25">
      <c r="B72" t="str">
        <f>Master[[#This Row],[Accession Prefix (NPGS)]]&amp;" "&amp;Master[[#This Row],[Accession Number -Assigned]]&amp;" COLLECTED "&amp;TEXT(Master[[#This Row],[Date Collected or Developed]], "MM/DD/YYYY")</f>
        <v>W6 59658 COLLECTED 06/16/2020</v>
      </c>
      <c r="C72" t="str">
        <f t="shared" si="2"/>
        <v>SOIL TEXTURE</v>
      </c>
      <c r="D72" s="17" t="str">
        <f>IF(Master[[#This Row],[SOIL TEXTURE - lookup picker]]="","",Master[[#This Row],[SOIL TEXTURE - lookup picker]])</f>
        <v/>
      </c>
      <c r="E72" s="109"/>
      <c r="G72" s="76" t="str">
        <f>IF(Master[[#This Row],[SOIL TEXTURE - lookup picker]]="","",Master[[#This Row],[SOIL TEXTURE - lookup picker]])</f>
        <v/>
      </c>
      <c r="H72" t="str">
        <f>IF(Master[[#This Row],[Soil TEXTURE Original Value]]="","",Master[[#This Row],[Soil TEXTURE Original Value]])</f>
        <v>Sand : sandy loam</v>
      </c>
    </row>
    <row r="73" spans="2:8" x14ac:dyDescent="0.25">
      <c r="B73" t="str">
        <f>Master[[#This Row],[Accession Prefix (NPGS)]]&amp;" "&amp;Master[[#This Row],[Accession Number -Assigned]]&amp;" COLLECTED "&amp;TEXT(Master[[#This Row],[Date Collected or Developed]], "MM/DD/YYYY")</f>
        <v>W6 59659 COLLECTED 06/17/2020</v>
      </c>
      <c r="C73" t="str">
        <f t="shared" si="2"/>
        <v>SOIL TEXTURE</v>
      </c>
      <c r="D73" s="17" t="str">
        <f>IF(Master[[#This Row],[SOIL TEXTURE - lookup picker]]="","",Master[[#This Row],[SOIL TEXTURE - lookup picker]])</f>
        <v/>
      </c>
      <c r="E73" s="109"/>
      <c r="G73" s="76" t="str">
        <f>IF(Master[[#This Row],[SOIL TEXTURE - lookup picker]]="","",Master[[#This Row],[SOIL TEXTURE - lookup picker]])</f>
        <v/>
      </c>
      <c r="H73" t="str">
        <f>IF(Master[[#This Row],[Soil TEXTURE Original Value]]="","",Master[[#This Row],[Soil TEXTURE Original Value]])</f>
        <v>Clay, Sand : sandy clay</v>
      </c>
    </row>
    <row r="74" spans="2:8" x14ac:dyDescent="0.25">
      <c r="B74" t="str">
        <f>Master[[#This Row],[Accession Prefix (NPGS)]]&amp;" "&amp;Master[[#This Row],[Accession Number -Assigned]]&amp;" COLLECTED "&amp;TEXT(Master[[#This Row],[Date Collected or Developed]], "MM/DD/YYYY")</f>
        <v>W6 59660 COLLECTED 06/24/2020</v>
      </c>
      <c r="C74" t="str">
        <f t="shared" si="2"/>
        <v>SOIL TEXTURE</v>
      </c>
      <c r="D74" s="17" t="str">
        <f>IF(Master[[#This Row],[SOIL TEXTURE - lookup picker]]="","",Master[[#This Row],[SOIL TEXTURE - lookup picker]])</f>
        <v/>
      </c>
      <c r="E74" s="109"/>
      <c r="G74" s="76" t="str">
        <f>IF(Master[[#This Row],[SOIL TEXTURE - lookup picker]]="","",Master[[#This Row],[SOIL TEXTURE - lookup picker]])</f>
        <v/>
      </c>
      <c r="H74" t="str">
        <f>IF(Master[[#This Row],[Soil TEXTURE Original Value]]="","",Master[[#This Row],[Soil TEXTURE Original Value]])</f>
        <v>Sand, Other : gravel</v>
      </c>
    </row>
    <row r="75" spans="2:8" x14ac:dyDescent="0.25">
      <c r="B75" t="str">
        <f>Master[[#This Row],[Accession Prefix (NPGS)]]&amp;" "&amp;Master[[#This Row],[Accession Number -Assigned]]&amp;" COLLECTED "&amp;TEXT(Master[[#This Row],[Date Collected or Developed]], "MM/DD/YYYY")</f>
        <v>W6 59661 COLLECTED 06/24/2020</v>
      </c>
      <c r="C75" t="str">
        <f t="shared" si="2"/>
        <v>SOIL TEXTURE</v>
      </c>
      <c r="D75" s="17" t="str">
        <f>IF(Master[[#This Row],[SOIL TEXTURE - lookup picker]]="","",Master[[#This Row],[SOIL TEXTURE - lookup picker]])</f>
        <v/>
      </c>
      <c r="E75" s="109"/>
      <c r="G75" s="76" t="str">
        <f>IF(Master[[#This Row],[SOIL TEXTURE - lookup picker]]="","",Master[[#This Row],[SOIL TEXTURE - lookup picker]])</f>
        <v/>
      </c>
      <c r="H75" t="str">
        <f>IF(Master[[#This Row],[Soil TEXTURE Original Value]]="","",Master[[#This Row],[Soil TEXTURE Original Value]])</f>
        <v>Sand : loamy sand</v>
      </c>
    </row>
    <row r="76" spans="2:8" x14ac:dyDescent="0.25">
      <c r="B76" t="str">
        <f>Master[[#This Row],[Accession Prefix (NPGS)]]&amp;" "&amp;Master[[#This Row],[Accession Number -Assigned]]&amp;" COLLECTED "&amp;TEXT(Master[[#This Row],[Date Collected or Developed]], "MM/DD/YYYY")</f>
        <v>W6 59662 COLLECTED 07/01/2020</v>
      </c>
      <c r="C76" t="str">
        <f t="shared" si="2"/>
        <v>SOIL TEXTURE</v>
      </c>
      <c r="D76" s="17" t="str">
        <f>IF(Master[[#This Row],[SOIL TEXTURE - lookup picker]]="","",Master[[#This Row],[SOIL TEXTURE - lookup picker]])</f>
        <v/>
      </c>
      <c r="E76" s="109"/>
      <c r="G76" s="76" t="str">
        <f>IF(Master[[#This Row],[SOIL TEXTURE - lookup picker]]="","",Master[[#This Row],[SOIL TEXTURE - lookup picker]])</f>
        <v/>
      </c>
      <c r="H76" t="str">
        <f>IF(Master[[#This Row],[Soil TEXTURE Original Value]]="","",Master[[#This Row],[Soil TEXTURE Original Value]])</f>
        <v>Sand</v>
      </c>
    </row>
    <row r="77" spans="2:8" x14ac:dyDescent="0.25">
      <c r="B77" t="str">
        <f>Master[[#This Row],[Accession Prefix (NPGS)]]&amp;" "&amp;Master[[#This Row],[Accession Number -Assigned]]&amp;" COLLECTED "&amp;TEXT(Master[[#This Row],[Date Collected or Developed]], "MM/DD/YYYY")</f>
        <v>W6 59663 COLLECTED 06/25/2020</v>
      </c>
      <c r="C77" t="str">
        <f t="shared" si="2"/>
        <v>SOIL TEXTURE</v>
      </c>
      <c r="D77" s="17" t="str">
        <f>IF(Master[[#This Row],[SOIL TEXTURE - lookup picker]]="","",Master[[#This Row],[SOIL TEXTURE - lookup picker]])</f>
        <v/>
      </c>
      <c r="E77" s="109"/>
      <c r="G77" s="76" t="str">
        <f>IF(Master[[#This Row],[SOIL TEXTURE - lookup picker]]="","",Master[[#This Row],[SOIL TEXTURE - lookup picker]])</f>
        <v/>
      </c>
      <c r="H77" t="str">
        <f>IF(Master[[#This Row],[Soil TEXTURE Original Value]]="","",Master[[#This Row],[Soil TEXTURE Original Value]])</f>
        <v>Silt, Sand : gravel/asphalt</v>
      </c>
    </row>
    <row r="78" spans="2:8" x14ac:dyDescent="0.25">
      <c r="B78" t="str">
        <f>Master[[#This Row],[Accession Prefix (NPGS)]]&amp;" "&amp;Master[[#This Row],[Accession Number -Assigned]]&amp;" COLLECTED "&amp;TEXT(Master[[#This Row],[Date Collected or Developed]], "MM/DD/YYYY")</f>
        <v>W6 59664 COLLECTED 08/11/2020</v>
      </c>
      <c r="C78" t="str">
        <f t="shared" si="2"/>
        <v>SOIL TEXTURE</v>
      </c>
      <c r="D78" s="17" t="str">
        <f>IF(Master[[#This Row],[SOIL TEXTURE - lookup picker]]="","",Master[[#This Row],[SOIL TEXTURE - lookup picker]])</f>
        <v/>
      </c>
      <c r="E78" s="109"/>
      <c r="G78" s="76" t="str">
        <f>IF(Master[[#This Row],[SOIL TEXTURE - lookup picker]]="","",Master[[#This Row],[SOIL TEXTURE - lookup picker]])</f>
        <v/>
      </c>
      <c r="H78" t="str">
        <f>IF(Master[[#This Row],[Soil TEXTURE Original Value]]="","",Master[[#This Row],[Soil TEXTURE Original Value]])</f>
        <v>Clay, Sand</v>
      </c>
    </row>
    <row r="79" spans="2:8" x14ac:dyDescent="0.25">
      <c r="B79" t="str">
        <f>Master[[#This Row],[Accession Prefix (NPGS)]]&amp;" "&amp;Master[[#This Row],[Accession Number -Assigned]]&amp;" COLLECTED "&amp;TEXT(Master[[#This Row],[Date Collected or Developed]], "MM/DD/YYYY")</f>
        <v>W6 59665 COLLECTED 07/01/2020</v>
      </c>
      <c r="C79" t="str">
        <f t="shared" si="2"/>
        <v>SOIL TEXTURE</v>
      </c>
      <c r="D79" s="17" t="str">
        <f>IF(Master[[#This Row],[SOIL TEXTURE - lookup picker]]="","",Master[[#This Row],[SOIL TEXTURE - lookup picker]])</f>
        <v/>
      </c>
      <c r="E79" s="109"/>
      <c r="G79" s="76" t="str">
        <f>IF(Master[[#This Row],[SOIL TEXTURE - lookup picker]]="","",Master[[#This Row],[SOIL TEXTURE - lookup picker]])</f>
        <v/>
      </c>
      <c r="H79" t="str">
        <f>IF(Master[[#This Row],[Soil TEXTURE Original Value]]="","",Master[[#This Row],[Soil TEXTURE Original Value]])</f>
        <v>Sand : sandy loam</v>
      </c>
    </row>
    <row r="80" spans="2:8" x14ac:dyDescent="0.25">
      <c r="B80" t="str">
        <f>Master[[#This Row],[Accession Prefix (NPGS)]]&amp;" "&amp;Master[[#This Row],[Accession Number -Assigned]]&amp;" COLLECTED "&amp;TEXT(Master[[#This Row],[Date Collected or Developed]], "MM/DD/YYYY")</f>
        <v>W6 59666 COLLECTED 06/29/2020</v>
      </c>
      <c r="C80" t="str">
        <f t="shared" si="2"/>
        <v>SOIL TEXTURE</v>
      </c>
      <c r="D80" s="17" t="str">
        <f>IF(Master[[#This Row],[SOIL TEXTURE - lookup picker]]="","",Master[[#This Row],[SOIL TEXTURE - lookup picker]])</f>
        <v/>
      </c>
      <c r="E80" s="109"/>
      <c r="G80" s="76" t="str">
        <f>IF(Master[[#This Row],[SOIL TEXTURE - lookup picker]]="","",Master[[#This Row],[SOIL TEXTURE - lookup picker]])</f>
        <v/>
      </c>
      <c r="H80" t="str">
        <f>IF(Master[[#This Row],[Soil TEXTURE Original Value]]="","",Master[[#This Row],[Soil TEXTURE Original Value]])</f>
        <v>Sand : loamy sand</v>
      </c>
    </row>
    <row r="81" spans="2:8" x14ac:dyDescent="0.25">
      <c r="B81" t="str">
        <f>Master[[#This Row],[Accession Prefix (NPGS)]]&amp;" "&amp;Master[[#This Row],[Accession Number -Assigned]]&amp;" COLLECTED "&amp;TEXT(Master[[#This Row],[Date Collected or Developed]], "MM/DD/YYYY")</f>
        <v>W6 59667 COLLECTED 06/29/2020</v>
      </c>
      <c r="C81" t="str">
        <f t="shared" si="2"/>
        <v>SOIL TEXTURE</v>
      </c>
      <c r="D81" s="17" t="str">
        <f>IF(Master[[#This Row],[SOIL TEXTURE - lookup picker]]="","",Master[[#This Row],[SOIL TEXTURE - lookup picker]])</f>
        <v/>
      </c>
      <c r="E81" s="109"/>
      <c r="G81" s="76" t="str">
        <f>IF(Master[[#This Row],[SOIL TEXTURE - lookup picker]]="","",Master[[#This Row],[SOIL TEXTURE - lookup picker]])</f>
        <v/>
      </c>
      <c r="H81" t="str">
        <f>IF(Master[[#This Row],[Soil TEXTURE Original Value]]="","",Master[[#This Row],[Soil TEXTURE Original Value]])</f>
        <v>Clay, Silt : silty clay loam</v>
      </c>
    </row>
    <row r="82" spans="2:8" x14ac:dyDescent="0.25">
      <c r="B82" t="str">
        <f>Master[[#This Row],[Accession Prefix (NPGS)]]&amp;" "&amp;Master[[#This Row],[Accession Number -Assigned]]&amp;" COLLECTED "&amp;TEXT(Master[[#This Row],[Date Collected or Developed]], "MM/DD/YYYY")</f>
        <v>W6 59668 COLLECTED 07/07/2020</v>
      </c>
      <c r="C82" t="str">
        <f t="shared" si="2"/>
        <v>SOIL TEXTURE</v>
      </c>
      <c r="D82" s="17" t="str">
        <f>IF(Master[[#This Row],[SOIL TEXTURE - lookup picker]]="","",Master[[#This Row],[SOIL TEXTURE - lookup picker]])</f>
        <v/>
      </c>
      <c r="E82" s="109"/>
      <c r="G82" s="76" t="str">
        <f>IF(Master[[#This Row],[SOIL TEXTURE - lookup picker]]="","",Master[[#This Row],[SOIL TEXTURE - lookup picker]])</f>
        <v/>
      </c>
      <c r="H82" t="str">
        <f>IF(Master[[#This Row],[Soil TEXTURE Original Value]]="","",Master[[#This Row],[Soil TEXTURE Original Value]])</f>
        <v>Sand : loamy sand</v>
      </c>
    </row>
    <row r="83" spans="2:8" x14ac:dyDescent="0.25">
      <c r="B83" t="str">
        <f>Master[[#This Row],[Accession Prefix (NPGS)]]&amp;" "&amp;Master[[#This Row],[Accession Number -Assigned]]&amp;" COLLECTED "&amp;TEXT(Master[[#This Row],[Date Collected or Developed]], "MM/DD/YYYY")</f>
        <v>W6 59669 COLLECTED 08/10/2020</v>
      </c>
      <c r="C83" t="str">
        <f t="shared" si="2"/>
        <v>SOIL TEXTURE</v>
      </c>
      <c r="D83" s="17" t="str">
        <f>IF(Master[[#This Row],[SOIL TEXTURE - lookup picker]]="","",Master[[#This Row],[SOIL TEXTURE - lookup picker]])</f>
        <v/>
      </c>
      <c r="E83" s="109"/>
      <c r="G83" s="76" t="str">
        <f>IF(Master[[#This Row],[SOIL TEXTURE - lookup picker]]="","",Master[[#This Row],[SOIL TEXTURE - lookup picker]])</f>
        <v/>
      </c>
      <c r="H83" t="str">
        <f>IF(Master[[#This Row],[Soil TEXTURE Original Value]]="","",Master[[#This Row],[Soil TEXTURE Original Value]])</f>
        <v>Sand : loamy sand</v>
      </c>
    </row>
    <row r="84" spans="2:8" x14ac:dyDescent="0.25">
      <c r="B84" t="str">
        <f>Master[[#This Row],[Accession Prefix (NPGS)]]&amp;" "&amp;Master[[#This Row],[Accession Number -Assigned]]&amp;" COLLECTED "&amp;TEXT(Master[[#This Row],[Date Collected or Developed]], "MM/DD/YYYY")</f>
        <v>W6 59670 COLLECTED 08/11/2020</v>
      </c>
      <c r="C84" t="str">
        <f t="shared" si="2"/>
        <v>SOIL TEXTURE</v>
      </c>
      <c r="D84" s="17" t="str">
        <f>IF(Master[[#This Row],[SOIL TEXTURE - lookup picker]]="","",Master[[#This Row],[SOIL TEXTURE - lookup picker]])</f>
        <v/>
      </c>
      <c r="E84" s="109"/>
      <c r="G84" s="76" t="str">
        <f>IF(Master[[#This Row],[SOIL TEXTURE - lookup picker]]="","",Master[[#This Row],[SOIL TEXTURE - lookup picker]])</f>
        <v/>
      </c>
      <c r="H84" t="str">
        <f>IF(Master[[#This Row],[Soil TEXTURE Original Value]]="","",Master[[#This Row],[Soil TEXTURE Original Value]])</f>
        <v>Clay, Silt</v>
      </c>
    </row>
    <row r="85" spans="2:8" x14ac:dyDescent="0.25">
      <c r="B85" t="str">
        <f>Master[[#This Row],[Accession Prefix (NPGS)]]&amp;" "&amp;Master[[#This Row],[Accession Number -Assigned]]&amp;" COLLECTED "&amp;TEXT(Master[[#This Row],[Date Collected or Developed]], "MM/DD/YYYY")</f>
        <v>W6 59671 COLLECTED 08/17/2020</v>
      </c>
      <c r="C85" t="str">
        <f t="shared" si="2"/>
        <v>SOIL TEXTURE</v>
      </c>
      <c r="D85" s="17" t="str">
        <f>IF(Master[[#This Row],[SOIL TEXTURE - lookup picker]]="","",Master[[#This Row],[SOIL TEXTURE - lookup picker]])</f>
        <v/>
      </c>
      <c r="E85" s="109"/>
      <c r="G85" s="76" t="str">
        <f>IF(Master[[#This Row],[SOIL TEXTURE - lookup picker]]="","",Master[[#This Row],[SOIL TEXTURE - lookup picker]])</f>
        <v/>
      </c>
      <c r="H85" t="str">
        <f>IF(Master[[#This Row],[Soil TEXTURE Original Value]]="","",Master[[#This Row],[Soil TEXTURE Original Value]])</f>
        <v>Clay, Silt</v>
      </c>
    </row>
    <row r="86" spans="2:8" x14ac:dyDescent="0.25">
      <c r="B86" t="str">
        <f>Master[[#This Row],[Accession Prefix (NPGS)]]&amp;" "&amp;Master[[#This Row],[Accession Number -Assigned]]&amp;" COLLECTED "&amp;TEXT(Master[[#This Row],[Date Collected or Developed]], "MM/DD/YYYY")</f>
        <v>W6 59672 COLLECTED 07/16/2020</v>
      </c>
      <c r="C86" t="str">
        <f t="shared" ref="C86:C117" si="3">"SOIL TEXTURE"</f>
        <v>SOIL TEXTURE</v>
      </c>
      <c r="D86" s="17" t="str">
        <f>IF(Master[[#This Row],[SOIL TEXTURE - lookup picker]]="","",Master[[#This Row],[SOIL TEXTURE - lookup picker]])</f>
        <v/>
      </c>
      <c r="E86" s="109"/>
      <c r="G86" s="76" t="str">
        <f>IF(Master[[#This Row],[SOIL TEXTURE - lookup picker]]="","",Master[[#This Row],[SOIL TEXTURE - lookup picker]])</f>
        <v/>
      </c>
      <c r="H86" t="str">
        <f>IF(Master[[#This Row],[Soil TEXTURE Original Value]]="","",Master[[#This Row],[Soil TEXTURE Original Value]])</f>
        <v>Sand</v>
      </c>
    </row>
    <row r="87" spans="2:8" x14ac:dyDescent="0.25">
      <c r="B87" t="str">
        <f>Master[[#This Row],[Accession Prefix (NPGS)]]&amp;" "&amp;Master[[#This Row],[Accession Number -Assigned]]&amp;" COLLECTED "&amp;TEXT(Master[[#This Row],[Date Collected or Developed]], "MM/DD/YYYY")</f>
        <v>W6 59673 COLLECTED 07/16/2020</v>
      </c>
      <c r="C87" t="str">
        <f t="shared" si="3"/>
        <v>SOIL TEXTURE</v>
      </c>
      <c r="D87" s="17" t="str">
        <f>IF(Master[[#This Row],[SOIL TEXTURE - lookup picker]]="","",Master[[#This Row],[SOIL TEXTURE - lookup picker]])</f>
        <v/>
      </c>
      <c r="E87" s="109"/>
      <c r="G87" s="76" t="str">
        <f>IF(Master[[#This Row],[SOIL TEXTURE - lookup picker]]="","",Master[[#This Row],[SOIL TEXTURE - lookup picker]])</f>
        <v/>
      </c>
      <c r="H87" t="str">
        <f>IF(Master[[#This Row],[Soil TEXTURE Original Value]]="","",Master[[#This Row],[Soil TEXTURE Original Value]])</f>
        <v>Sand : sandy loam</v>
      </c>
    </row>
    <row r="88" spans="2:8" x14ac:dyDescent="0.25">
      <c r="B88" t="str">
        <f>Master[[#This Row],[Accession Prefix (NPGS)]]&amp;" "&amp;Master[[#This Row],[Accession Number -Assigned]]&amp;" COLLECTED "&amp;TEXT(Master[[#This Row],[Date Collected or Developed]], "MM/DD/YYYY")</f>
        <v>W6 59674 COLLECTED 07/16/2020</v>
      </c>
      <c r="C88" t="str">
        <f t="shared" si="3"/>
        <v>SOIL TEXTURE</v>
      </c>
      <c r="D88" s="17" t="str">
        <f>IF(Master[[#This Row],[SOIL TEXTURE - lookup picker]]="","",Master[[#This Row],[SOIL TEXTURE - lookup picker]])</f>
        <v/>
      </c>
      <c r="E88" s="109"/>
      <c r="G88" s="76" t="str">
        <f>IF(Master[[#This Row],[SOIL TEXTURE - lookup picker]]="","",Master[[#This Row],[SOIL TEXTURE - lookup picker]])</f>
        <v/>
      </c>
      <c r="H88" t="str">
        <f>IF(Master[[#This Row],[Soil TEXTURE Original Value]]="","",Master[[#This Row],[Soil TEXTURE Original Value]])</f>
        <v>Sand</v>
      </c>
    </row>
    <row r="89" spans="2:8" x14ac:dyDescent="0.25">
      <c r="B89" t="str">
        <f>Master[[#This Row],[Accession Prefix (NPGS)]]&amp;" "&amp;Master[[#This Row],[Accession Number -Assigned]]&amp;" COLLECTED "&amp;TEXT(Master[[#This Row],[Date Collected or Developed]], "MM/DD/YYYY")</f>
        <v>W6 59675 COLLECTED 08/26/2020</v>
      </c>
      <c r="C89" t="str">
        <f t="shared" si="3"/>
        <v>SOIL TEXTURE</v>
      </c>
      <c r="D89" s="17" t="str">
        <f>IF(Master[[#This Row],[SOIL TEXTURE - lookup picker]]="","",Master[[#This Row],[SOIL TEXTURE - lookup picker]])</f>
        <v/>
      </c>
      <c r="E89" s="109"/>
      <c r="G89" s="76" t="str">
        <f>IF(Master[[#This Row],[SOIL TEXTURE - lookup picker]]="","",Master[[#This Row],[SOIL TEXTURE - lookup picker]])</f>
        <v/>
      </c>
      <c r="H89" t="str">
        <f>IF(Master[[#This Row],[Soil TEXTURE Original Value]]="","",Master[[#This Row],[Soil TEXTURE Original Value]])</f>
        <v>Sand : loamy sand</v>
      </c>
    </row>
    <row r="90" spans="2:8" x14ac:dyDescent="0.25">
      <c r="B90" t="str">
        <f>Master[[#This Row],[Accession Prefix (NPGS)]]&amp;" "&amp;Master[[#This Row],[Accession Number -Assigned]]&amp;" COLLECTED "&amp;TEXT(Master[[#This Row],[Date Collected or Developed]], "MM/DD/YYYY")</f>
        <v>W6 59676 COLLECTED 08/20/2020</v>
      </c>
      <c r="C90" t="str">
        <f t="shared" si="3"/>
        <v>SOIL TEXTURE</v>
      </c>
      <c r="D90" s="17" t="str">
        <f>IF(Master[[#This Row],[SOIL TEXTURE - lookup picker]]="","",Master[[#This Row],[SOIL TEXTURE - lookup picker]])</f>
        <v/>
      </c>
      <c r="E90" s="109"/>
      <c r="G90" s="76" t="str">
        <f>IF(Master[[#This Row],[SOIL TEXTURE - lookup picker]]="","",Master[[#This Row],[SOIL TEXTURE - lookup picker]])</f>
        <v/>
      </c>
      <c r="H90" t="str">
        <f>IF(Master[[#This Row],[Soil TEXTURE Original Value]]="","",Master[[#This Row],[Soil TEXTURE Original Value]])</f>
        <v>Clay, Sand</v>
      </c>
    </row>
    <row r="91" spans="2:8" x14ac:dyDescent="0.25">
      <c r="B91" t="str">
        <f>Master[[#This Row],[Accession Prefix (NPGS)]]&amp;" "&amp;Master[[#This Row],[Accession Number -Assigned]]&amp;" COLLECTED "&amp;TEXT(Master[[#This Row],[Date Collected or Developed]], "MM/DD/YYYY")</f>
        <v>W6 59677 COLLECTED 08/20/2020</v>
      </c>
      <c r="C91" t="str">
        <f t="shared" si="3"/>
        <v>SOIL TEXTURE</v>
      </c>
      <c r="D91" s="17" t="str">
        <f>IF(Master[[#This Row],[SOIL TEXTURE - lookup picker]]="","",Master[[#This Row],[SOIL TEXTURE - lookup picker]])</f>
        <v/>
      </c>
      <c r="E91" s="109"/>
      <c r="G91" s="76" t="str">
        <f>IF(Master[[#This Row],[SOIL TEXTURE - lookup picker]]="","",Master[[#This Row],[SOIL TEXTURE - lookup picker]])</f>
        <v/>
      </c>
      <c r="H91" t="str">
        <f>IF(Master[[#This Row],[Soil TEXTURE Original Value]]="","",Master[[#This Row],[Soil TEXTURE Original Value]])</f>
        <v>Clay, Silt : gravel</v>
      </c>
    </row>
    <row r="92" spans="2:8" x14ac:dyDescent="0.25">
      <c r="B92" t="str">
        <f>Master[[#This Row],[Accession Prefix (NPGS)]]&amp;" "&amp;Master[[#This Row],[Accession Number -Assigned]]&amp;" COLLECTED "&amp;TEXT(Master[[#This Row],[Date Collected or Developed]], "MM/DD/YYYY")</f>
        <v>W6 59678 COLLECTED 10/01/2020</v>
      </c>
      <c r="C92" t="str">
        <f t="shared" si="3"/>
        <v>SOIL TEXTURE</v>
      </c>
      <c r="D92" s="17" t="str">
        <f>IF(Master[[#This Row],[SOIL TEXTURE - lookup picker]]="","",Master[[#This Row],[SOIL TEXTURE - lookup picker]])</f>
        <v/>
      </c>
      <c r="E92" s="109"/>
      <c r="G92" s="76" t="str">
        <f>IF(Master[[#This Row],[SOIL TEXTURE - lookup picker]]="","",Master[[#This Row],[SOIL TEXTURE - lookup picker]])</f>
        <v/>
      </c>
      <c r="H92" t="str">
        <f>IF(Master[[#This Row],[Soil TEXTURE Original Value]]="","",Master[[#This Row],[Soil TEXTURE Original Value]])</f>
        <v>Sand</v>
      </c>
    </row>
    <row r="93" spans="2:8" x14ac:dyDescent="0.25">
      <c r="B93" t="str">
        <f>Master[[#This Row],[Accession Prefix (NPGS)]]&amp;" "&amp;Master[[#This Row],[Accession Number -Assigned]]&amp;" COLLECTED "&amp;TEXT(Master[[#This Row],[Date Collected or Developed]], "MM/DD/YYYY")</f>
        <v>W6 59679 COLLECTED 09/30/2020</v>
      </c>
      <c r="C93" t="str">
        <f t="shared" si="3"/>
        <v>SOIL TEXTURE</v>
      </c>
      <c r="D93" s="17" t="str">
        <f>IF(Master[[#This Row],[SOIL TEXTURE - lookup picker]]="","",Master[[#This Row],[SOIL TEXTURE - lookup picker]])</f>
        <v/>
      </c>
      <c r="E93" s="109"/>
      <c r="G93" s="76" t="str">
        <f>IF(Master[[#This Row],[SOIL TEXTURE - lookup picker]]="","",Master[[#This Row],[SOIL TEXTURE - lookup picker]])</f>
        <v/>
      </c>
      <c r="H93" t="str">
        <f>IF(Master[[#This Row],[Soil TEXTURE Original Value]]="","",Master[[#This Row],[Soil TEXTURE Original Value]])</f>
        <v>Clay, Sand : sandy clay loam</v>
      </c>
    </row>
    <row r="94" spans="2:8" x14ac:dyDescent="0.25">
      <c r="B94" t="str">
        <f>Master[[#This Row],[Accession Prefix (NPGS)]]&amp;" "&amp;Master[[#This Row],[Accession Number -Assigned]]&amp;" COLLECTED "&amp;TEXT(Master[[#This Row],[Date Collected or Developed]], "MM/DD/YYYY")</f>
        <v>W6 59680 COLLECTED 10/01/2020</v>
      </c>
      <c r="C94" t="str">
        <f t="shared" si="3"/>
        <v>SOIL TEXTURE</v>
      </c>
      <c r="D94" s="17" t="str">
        <f>IF(Master[[#This Row],[SOIL TEXTURE - lookup picker]]="","",Master[[#This Row],[SOIL TEXTURE - lookup picker]])</f>
        <v/>
      </c>
      <c r="E94" s="109"/>
      <c r="G94" s="76" t="str">
        <f>IF(Master[[#This Row],[SOIL TEXTURE - lookup picker]]="","",Master[[#This Row],[SOIL TEXTURE - lookup picker]])</f>
        <v/>
      </c>
      <c r="H94" t="str">
        <f>IF(Master[[#This Row],[Soil TEXTURE Original Value]]="","",Master[[#This Row],[Soil TEXTURE Original Value]])</f>
        <v>Sand : sandy loam</v>
      </c>
    </row>
    <row r="95" spans="2:8" x14ac:dyDescent="0.25">
      <c r="B95" t="str">
        <f>Master[[#This Row],[Accession Prefix (NPGS)]]&amp;" "&amp;Master[[#This Row],[Accession Number -Assigned]]&amp;" COLLECTED "&amp;TEXT(Master[[#This Row],[Date Collected or Developed]], "MM/DD/YYYY")</f>
        <v>W6 59681 COLLECTED 08/15/2020</v>
      </c>
      <c r="C95" t="str">
        <f t="shared" si="3"/>
        <v>SOIL TEXTURE</v>
      </c>
      <c r="D95" s="17" t="str">
        <f>IF(Master[[#This Row],[SOIL TEXTURE - lookup picker]]="","",Master[[#This Row],[SOIL TEXTURE - lookup picker]])</f>
        <v/>
      </c>
      <c r="E95" s="109"/>
      <c r="G95" s="76" t="str">
        <f>IF(Master[[#This Row],[SOIL TEXTURE - lookup picker]]="","",Master[[#This Row],[SOIL TEXTURE - lookup picker]])</f>
        <v/>
      </c>
      <c r="H95" t="str">
        <f>IF(Master[[#This Row],[Soil TEXTURE Original Value]]="","",Master[[#This Row],[Soil TEXTURE Original Value]])</f>
        <v>Sand : Sandy loam</v>
      </c>
    </row>
    <row r="96" spans="2:8" x14ac:dyDescent="0.25">
      <c r="B96" t="str">
        <f>Master[[#This Row],[Accession Prefix (NPGS)]]&amp;" "&amp;Master[[#This Row],[Accession Number -Assigned]]&amp;" COLLECTED "&amp;TEXT(Master[[#This Row],[Date Collected or Developed]], "MM/DD/YYYY")</f>
        <v>W6 59682 COLLECTED 09/30/2020</v>
      </c>
      <c r="C96" t="str">
        <f t="shared" si="3"/>
        <v>SOIL TEXTURE</v>
      </c>
      <c r="D96" s="17" t="str">
        <f>IF(Master[[#This Row],[SOIL TEXTURE - lookup picker]]="","",Master[[#This Row],[SOIL TEXTURE - lookup picker]])</f>
        <v/>
      </c>
      <c r="E96" s="109"/>
      <c r="G96" s="76" t="str">
        <f>IF(Master[[#This Row],[SOIL TEXTURE - lookup picker]]="","",Master[[#This Row],[SOIL TEXTURE - lookup picker]])</f>
        <v/>
      </c>
      <c r="H96" t="str">
        <f>IF(Master[[#This Row],[Soil TEXTURE Original Value]]="","",Master[[#This Row],[Soil TEXTURE Original Value]])</f>
        <v>Clay, Silt : silty clay</v>
      </c>
    </row>
    <row r="97" spans="2:8" x14ac:dyDescent="0.25">
      <c r="B97" t="str">
        <f>Master[[#This Row],[Accession Prefix (NPGS)]]&amp;" "&amp;Master[[#This Row],[Accession Number -Assigned]]&amp;" COLLECTED "&amp;TEXT(Master[[#This Row],[Date Collected or Developed]], "MM/DD/YYYY")</f>
        <v>W6 59683 COLLECTED 07/08/2020</v>
      </c>
      <c r="C97" t="str">
        <f t="shared" si="3"/>
        <v>SOIL TEXTURE</v>
      </c>
      <c r="D97" s="17" t="str">
        <f>IF(Master[[#This Row],[SOIL TEXTURE - lookup picker]]="","",Master[[#This Row],[SOIL TEXTURE - lookup picker]])</f>
        <v/>
      </c>
      <c r="E97" s="109"/>
      <c r="G97" s="76" t="str">
        <f>IF(Master[[#This Row],[SOIL TEXTURE - lookup picker]]="","",Master[[#This Row],[SOIL TEXTURE - lookup picker]])</f>
        <v/>
      </c>
      <c r="H97" t="str">
        <f>IF(Master[[#This Row],[Soil TEXTURE Original Value]]="","",Master[[#This Row],[Soil TEXTURE Original Value]])</f>
        <v>Other : Loam</v>
      </c>
    </row>
    <row r="98" spans="2:8" x14ac:dyDescent="0.25">
      <c r="B98" t="str">
        <f>Master[[#This Row],[Accession Prefix (NPGS)]]&amp;" "&amp;Master[[#This Row],[Accession Number -Assigned]]&amp;" COLLECTED "&amp;TEXT(Master[[#This Row],[Date Collected or Developed]], "MM/DD/YYYY")</f>
        <v>W6 59684 COLLECTED 06/15/2020</v>
      </c>
      <c r="C98" t="str">
        <f t="shared" si="3"/>
        <v>SOIL TEXTURE</v>
      </c>
      <c r="D98" s="17" t="str">
        <f>IF(Master[[#This Row],[SOIL TEXTURE - lookup picker]]="","",Master[[#This Row],[SOIL TEXTURE - lookup picker]])</f>
        <v/>
      </c>
      <c r="E98" s="109"/>
      <c r="G98" s="76" t="str">
        <f>IF(Master[[#This Row],[SOIL TEXTURE - lookup picker]]="","",Master[[#This Row],[SOIL TEXTURE - lookup picker]])</f>
        <v/>
      </c>
      <c r="H98" t="str">
        <f>IF(Master[[#This Row],[Soil TEXTURE Original Value]]="","",Master[[#This Row],[Soil TEXTURE Original Value]])</f>
        <v>Other : Sandy Loam</v>
      </c>
    </row>
    <row r="99" spans="2:8" x14ac:dyDescent="0.25">
      <c r="B99" t="str">
        <f>Master[[#This Row],[Accession Prefix (NPGS)]]&amp;" "&amp;Master[[#This Row],[Accession Number -Assigned]]&amp;" COLLECTED "&amp;TEXT(Master[[#This Row],[Date Collected or Developed]], "MM/DD/YYYY")</f>
        <v>W6 59685 COLLECTED 06/16/2020</v>
      </c>
      <c r="C99" t="str">
        <f t="shared" si="3"/>
        <v>SOIL TEXTURE</v>
      </c>
      <c r="D99" s="17" t="str">
        <f>IF(Master[[#This Row],[SOIL TEXTURE - lookup picker]]="","",Master[[#This Row],[SOIL TEXTURE - lookup picker]])</f>
        <v/>
      </c>
      <c r="E99" s="109"/>
      <c r="G99" s="76" t="str">
        <f>IF(Master[[#This Row],[SOIL TEXTURE - lookup picker]]="","",Master[[#This Row],[SOIL TEXTURE - lookup picker]])</f>
        <v/>
      </c>
      <c r="H99" t="str">
        <f>IF(Master[[#This Row],[Soil TEXTURE Original Value]]="","",Master[[#This Row],[Soil TEXTURE Original Value]])</f>
        <v>Clay</v>
      </c>
    </row>
    <row r="100" spans="2:8" x14ac:dyDescent="0.25">
      <c r="B100" t="str">
        <f>Master[[#This Row],[Accession Prefix (NPGS)]]&amp;" "&amp;Master[[#This Row],[Accession Number -Assigned]]&amp;" COLLECTED "&amp;TEXT(Master[[#This Row],[Date Collected or Developed]], "MM/DD/YYYY")</f>
        <v>W6 59686 COLLECTED 06/17/2020</v>
      </c>
      <c r="C100" t="str">
        <f t="shared" si="3"/>
        <v>SOIL TEXTURE</v>
      </c>
      <c r="D100" s="17" t="str">
        <f>IF(Master[[#This Row],[SOIL TEXTURE - lookup picker]]="","",Master[[#This Row],[SOIL TEXTURE - lookup picker]])</f>
        <v/>
      </c>
      <c r="E100" s="109"/>
      <c r="G100" s="76" t="str">
        <f>IF(Master[[#This Row],[SOIL TEXTURE - lookup picker]]="","",Master[[#This Row],[SOIL TEXTURE - lookup picker]])</f>
        <v/>
      </c>
      <c r="H100" t="str">
        <f>IF(Master[[#This Row],[Soil TEXTURE Original Value]]="","",Master[[#This Row],[Soil TEXTURE Original Value]])</f>
        <v>Other : Sandy Loam</v>
      </c>
    </row>
    <row r="101" spans="2:8" x14ac:dyDescent="0.25">
      <c r="B101" t="str">
        <f>Master[[#This Row],[Accession Prefix (NPGS)]]&amp;" "&amp;Master[[#This Row],[Accession Number -Assigned]]&amp;" COLLECTED "&amp;TEXT(Master[[#This Row],[Date Collected or Developed]], "MM/DD/YYYY")</f>
        <v>W6 59687 COLLECTED 06/23/2020</v>
      </c>
      <c r="C101" t="str">
        <f t="shared" si="3"/>
        <v>SOIL TEXTURE</v>
      </c>
      <c r="D101" s="17" t="str">
        <f>IF(Master[[#This Row],[SOIL TEXTURE - lookup picker]]="","",Master[[#This Row],[SOIL TEXTURE - lookup picker]])</f>
        <v/>
      </c>
      <c r="E101" s="109"/>
      <c r="G101" s="76" t="str">
        <f>IF(Master[[#This Row],[SOIL TEXTURE - lookup picker]]="","",Master[[#This Row],[SOIL TEXTURE - lookup picker]])</f>
        <v/>
      </c>
      <c r="H101" t="str">
        <f>IF(Master[[#This Row],[Soil TEXTURE Original Value]]="","",Master[[#This Row],[Soil TEXTURE Original Value]])</f>
        <v>Other : Loam</v>
      </c>
    </row>
    <row r="102" spans="2:8" x14ac:dyDescent="0.25">
      <c r="B102" t="str">
        <f>Master[[#This Row],[Accession Prefix (NPGS)]]&amp;" "&amp;Master[[#This Row],[Accession Number -Assigned]]&amp;" COLLECTED "&amp;TEXT(Master[[#This Row],[Date Collected or Developed]], "MM/DD/YYYY")</f>
        <v>W6 59688 COLLECTED 06/25/2020</v>
      </c>
      <c r="C102" t="str">
        <f t="shared" si="3"/>
        <v>SOIL TEXTURE</v>
      </c>
      <c r="D102" s="17" t="str">
        <f>IF(Master[[#This Row],[SOIL TEXTURE - lookup picker]]="","",Master[[#This Row],[SOIL TEXTURE - lookup picker]])</f>
        <v/>
      </c>
      <c r="E102" s="109"/>
      <c r="G102" s="76" t="str">
        <f>IF(Master[[#This Row],[SOIL TEXTURE - lookup picker]]="","",Master[[#This Row],[SOIL TEXTURE - lookup picker]])</f>
        <v/>
      </c>
      <c r="H102" t="str">
        <f>IF(Master[[#This Row],[Soil TEXTURE Original Value]]="","",Master[[#This Row],[Soil TEXTURE Original Value]])</f>
        <v>Other : Sandy Loam</v>
      </c>
    </row>
    <row r="103" spans="2:8" x14ac:dyDescent="0.25">
      <c r="B103" t="str">
        <f>Master[[#This Row],[Accession Prefix (NPGS)]]&amp;" "&amp;Master[[#This Row],[Accession Number -Assigned]]&amp;" COLLECTED "&amp;TEXT(Master[[#This Row],[Date Collected or Developed]], "MM/DD/YYYY")</f>
        <v>W6 59689 COLLECTED 06/30/2020</v>
      </c>
      <c r="C103" t="str">
        <f t="shared" si="3"/>
        <v>SOIL TEXTURE</v>
      </c>
      <c r="D103" s="17" t="str">
        <f>IF(Master[[#This Row],[SOIL TEXTURE - lookup picker]]="","",Master[[#This Row],[SOIL TEXTURE - lookup picker]])</f>
        <v/>
      </c>
      <c r="E103" s="109"/>
      <c r="G103" s="76" t="str">
        <f>IF(Master[[#This Row],[SOIL TEXTURE - lookup picker]]="","",Master[[#This Row],[SOIL TEXTURE - lookup picker]])</f>
        <v/>
      </c>
      <c r="H103" t="str">
        <f>IF(Master[[#This Row],[Soil TEXTURE Original Value]]="","",Master[[#This Row],[Soil TEXTURE Original Value]])</f>
        <v>: Sandy Loam</v>
      </c>
    </row>
    <row r="104" spans="2:8" x14ac:dyDescent="0.25">
      <c r="B104" t="str">
        <f>Master[[#This Row],[Accession Prefix (NPGS)]]&amp;" "&amp;Master[[#This Row],[Accession Number -Assigned]]&amp;" COLLECTED "&amp;TEXT(Master[[#This Row],[Date Collected or Developed]], "MM/DD/YYYY")</f>
        <v>W6 59690 COLLECTED 06/30/2020</v>
      </c>
      <c r="C104" t="str">
        <f t="shared" si="3"/>
        <v>SOIL TEXTURE</v>
      </c>
      <c r="D104" s="17" t="str">
        <f>IF(Master[[#This Row],[SOIL TEXTURE - lookup picker]]="","",Master[[#This Row],[SOIL TEXTURE - lookup picker]])</f>
        <v/>
      </c>
      <c r="E104" s="109"/>
      <c r="G104" s="76" t="str">
        <f>IF(Master[[#This Row],[SOIL TEXTURE - lookup picker]]="","",Master[[#This Row],[SOIL TEXTURE - lookup picker]])</f>
        <v/>
      </c>
      <c r="H104" t="str">
        <f>IF(Master[[#This Row],[Soil TEXTURE Original Value]]="","",Master[[#This Row],[Soil TEXTURE Original Value]])</f>
        <v>: Clay Loam</v>
      </c>
    </row>
    <row r="105" spans="2:8" x14ac:dyDescent="0.25">
      <c r="B105" t="str">
        <f>Master[[#This Row],[Accession Prefix (NPGS)]]&amp;" "&amp;Master[[#This Row],[Accession Number -Assigned]]&amp;" COLLECTED "&amp;TEXT(Master[[#This Row],[Date Collected or Developed]], "MM/DD/YYYY")</f>
        <v>W6 59691 COLLECTED 07/07/2020</v>
      </c>
      <c r="C105" t="str">
        <f t="shared" si="3"/>
        <v>SOIL TEXTURE</v>
      </c>
      <c r="D105" s="17" t="str">
        <f>IF(Master[[#This Row],[SOIL TEXTURE - lookup picker]]="","",Master[[#This Row],[SOIL TEXTURE - lookup picker]])</f>
        <v/>
      </c>
      <c r="E105" s="109"/>
      <c r="G105" s="76" t="str">
        <f>IF(Master[[#This Row],[SOIL TEXTURE - lookup picker]]="","",Master[[#This Row],[SOIL TEXTURE - lookup picker]])</f>
        <v/>
      </c>
      <c r="H105" t="str">
        <f>IF(Master[[#This Row],[Soil TEXTURE Original Value]]="","",Master[[#This Row],[Soil TEXTURE Original Value]])</f>
        <v>Other : Loam</v>
      </c>
    </row>
    <row r="106" spans="2:8" x14ac:dyDescent="0.25">
      <c r="B106" t="str">
        <f>Master[[#This Row],[Accession Prefix (NPGS)]]&amp;" "&amp;Master[[#This Row],[Accession Number -Assigned]]&amp;" COLLECTED "&amp;TEXT(Master[[#This Row],[Date Collected or Developed]], "MM/DD/YYYY")</f>
        <v>W6 59692 COLLECTED 07/08/2020</v>
      </c>
      <c r="C106" t="str">
        <f t="shared" si="3"/>
        <v>SOIL TEXTURE</v>
      </c>
      <c r="D106" s="17" t="str">
        <f>IF(Master[[#This Row],[SOIL TEXTURE - lookup picker]]="","",Master[[#This Row],[SOIL TEXTURE - lookup picker]])</f>
        <v/>
      </c>
      <c r="E106" s="109"/>
      <c r="G106" s="76" t="str">
        <f>IF(Master[[#This Row],[SOIL TEXTURE - lookup picker]]="","",Master[[#This Row],[SOIL TEXTURE - lookup picker]])</f>
        <v/>
      </c>
      <c r="H106" t="str">
        <f>IF(Master[[#This Row],[Soil TEXTURE Original Value]]="","",Master[[#This Row],[Soil TEXTURE Original Value]])</f>
        <v>: Loam</v>
      </c>
    </row>
    <row r="107" spans="2:8" x14ac:dyDescent="0.25">
      <c r="B107" t="str">
        <f>Master[[#This Row],[Accession Prefix (NPGS)]]&amp;" "&amp;Master[[#This Row],[Accession Number -Assigned]]&amp;" COLLECTED "&amp;TEXT(Master[[#This Row],[Date Collected or Developed]], "MM/DD/YYYY")</f>
        <v>W6 59693 COLLECTED 07/09/2020</v>
      </c>
      <c r="C107" t="str">
        <f t="shared" si="3"/>
        <v>SOIL TEXTURE</v>
      </c>
      <c r="D107" s="17" t="str">
        <f>IF(Master[[#This Row],[SOIL TEXTURE - lookup picker]]="","",Master[[#This Row],[SOIL TEXTURE - lookup picker]])</f>
        <v/>
      </c>
      <c r="E107" s="109"/>
      <c r="G107" s="76" t="str">
        <f>IF(Master[[#This Row],[SOIL TEXTURE - lookup picker]]="","",Master[[#This Row],[SOIL TEXTURE - lookup picker]])</f>
        <v/>
      </c>
      <c r="H107" t="str">
        <f>IF(Master[[#This Row],[Soil TEXTURE Original Value]]="","",Master[[#This Row],[Soil TEXTURE Original Value]])</f>
        <v>Other : Sandy Loam</v>
      </c>
    </row>
    <row r="108" spans="2:8" x14ac:dyDescent="0.25">
      <c r="B108" t="str">
        <f>Master[[#This Row],[Accession Prefix (NPGS)]]&amp;" "&amp;Master[[#This Row],[Accession Number -Assigned]]&amp;" COLLECTED "&amp;TEXT(Master[[#This Row],[Date Collected or Developed]], "MM/DD/YYYY")</f>
        <v>W6 59694 COLLECTED 07/13/2020</v>
      </c>
      <c r="C108" t="str">
        <f t="shared" si="3"/>
        <v>SOIL TEXTURE</v>
      </c>
      <c r="D108" s="17" t="str">
        <f>IF(Master[[#This Row],[SOIL TEXTURE - lookup picker]]="","",Master[[#This Row],[SOIL TEXTURE - lookup picker]])</f>
        <v/>
      </c>
      <c r="E108" s="109"/>
      <c r="G108" s="76" t="str">
        <f>IF(Master[[#This Row],[SOIL TEXTURE - lookup picker]]="","",Master[[#This Row],[SOIL TEXTURE - lookup picker]])</f>
        <v/>
      </c>
      <c r="H108" t="str">
        <f>IF(Master[[#This Row],[Soil TEXTURE Original Value]]="","",Master[[#This Row],[Soil TEXTURE Original Value]])</f>
        <v>Other : Loam</v>
      </c>
    </row>
    <row r="109" spans="2:8" x14ac:dyDescent="0.25">
      <c r="B109" t="str">
        <f>Master[[#This Row],[Accession Prefix (NPGS)]]&amp;" "&amp;Master[[#This Row],[Accession Number -Assigned]]&amp;" COLLECTED "&amp;TEXT(Master[[#This Row],[Date Collected or Developed]], "MM/DD/YYYY")</f>
        <v>W6 59695 COLLECTED 07/14/2020</v>
      </c>
      <c r="C109" t="str">
        <f t="shared" si="3"/>
        <v>SOIL TEXTURE</v>
      </c>
      <c r="D109" s="17" t="str">
        <f>IF(Master[[#This Row],[SOIL TEXTURE - lookup picker]]="","",Master[[#This Row],[SOIL TEXTURE - lookup picker]])</f>
        <v/>
      </c>
      <c r="E109" s="109"/>
      <c r="G109" s="76" t="str">
        <f>IF(Master[[#This Row],[SOIL TEXTURE - lookup picker]]="","",Master[[#This Row],[SOIL TEXTURE - lookup picker]])</f>
        <v/>
      </c>
      <c r="H109" t="str">
        <f>IF(Master[[#This Row],[Soil TEXTURE Original Value]]="","",Master[[#This Row],[Soil TEXTURE Original Value]])</f>
        <v>Other : Loam</v>
      </c>
    </row>
    <row r="110" spans="2:8" x14ac:dyDescent="0.25">
      <c r="B110" t="str">
        <f>Master[[#This Row],[Accession Prefix (NPGS)]]&amp;" "&amp;Master[[#This Row],[Accession Number -Assigned]]&amp;" COLLECTED "&amp;TEXT(Master[[#This Row],[Date Collected or Developed]], "MM/DD/YYYY")</f>
        <v>W6 59696 COLLECTED 07/15/2020</v>
      </c>
      <c r="C110" t="str">
        <f t="shared" si="3"/>
        <v>SOIL TEXTURE</v>
      </c>
      <c r="D110" s="17" t="str">
        <f>IF(Master[[#This Row],[SOIL TEXTURE - lookup picker]]="","",Master[[#This Row],[SOIL TEXTURE - lookup picker]])</f>
        <v/>
      </c>
      <c r="E110" s="109"/>
      <c r="G110" s="76" t="str">
        <f>IF(Master[[#This Row],[SOIL TEXTURE - lookup picker]]="","",Master[[#This Row],[SOIL TEXTURE - lookup picker]])</f>
        <v/>
      </c>
      <c r="H110" t="str">
        <f>IF(Master[[#This Row],[Soil TEXTURE Original Value]]="","",Master[[#This Row],[Soil TEXTURE Original Value]])</f>
        <v>Other : Sandy Loam</v>
      </c>
    </row>
    <row r="111" spans="2:8" x14ac:dyDescent="0.25">
      <c r="B111" t="str">
        <f>Master[[#This Row],[Accession Prefix (NPGS)]]&amp;" "&amp;Master[[#This Row],[Accession Number -Assigned]]&amp;" COLLECTED "&amp;TEXT(Master[[#This Row],[Date Collected or Developed]], "MM/DD/YYYY")</f>
        <v>W6 59697 COLLECTED 07/15/2020</v>
      </c>
      <c r="C111" t="str">
        <f t="shared" si="3"/>
        <v>SOIL TEXTURE</v>
      </c>
      <c r="D111" s="17" t="str">
        <f>IF(Master[[#This Row],[SOIL TEXTURE - lookup picker]]="","",Master[[#This Row],[SOIL TEXTURE - lookup picker]])</f>
        <v/>
      </c>
      <c r="E111" s="109"/>
      <c r="G111" s="76" t="str">
        <f>IF(Master[[#This Row],[SOIL TEXTURE - lookup picker]]="","",Master[[#This Row],[SOIL TEXTURE - lookup picker]])</f>
        <v/>
      </c>
      <c r="H111" t="str">
        <f>IF(Master[[#This Row],[Soil TEXTURE Original Value]]="","",Master[[#This Row],[Soil TEXTURE Original Value]])</f>
        <v>Other : Sandy Loam</v>
      </c>
    </row>
    <row r="112" spans="2:8" x14ac:dyDescent="0.25">
      <c r="B112" t="str">
        <f>Master[[#This Row],[Accession Prefix (NPGS)]]&amp;" "&amp;Master[[#This Row],[Accession Number -Assigned]]&amp;" COLLECTED "&amp;TEXT(Master[[#This Row],[Date Collected or Developed]], "MM/DD/YYYY")</f>
        <v>W6 59698 COLLECTED 07/16/2020</v>
      </c>
      <c r="C112" t="str">
        <f t="shared" si="3"/>
        <v>SOIL TEXTURE</v>
      </c>
      <c r="D112" s="17" t="str">
        <f>IF(Master[[#This Row],[SOIL TEXTURE - lookup picker]]="","",Master[[#This Row],[SOIL TEXTURE - lookup picker]])</f>
        <v/>
      </c>
      <c r="E112" s="109"/>
      <c r="G112" s="76" t="str">
        <f>IF(Master[[#This Row],[SOIL TEXTURE - lookup picker]]="","",Master[[#This Row],[SOIL TEXTURE - lookup picker]])</f>
        <v/>
      </c>
      <c r="H112" t="str">
        <f>IF(Master[[#This Row],[Soil TEXTURE Original Value]]="","",Master[[#This Row],[Soil TEXTURE Original Value]])</f>
        <v>Other : Loam</v>
      </c>
    </row>
    <row r="113" spans="2:8" x14ac:dyDescent="0.25">
      <c r="B113" t="str">
        <f>Master[[#This Row],[Accession Prefix (NPGS)]]&amp;" "&amp;Master[[#This Row],[Accession Number -Assigned]]&amp;" COLLECTED "&amp;TEXT(Master[[#This Row],[Date Collected or Developed]], "MM/DD/YYYY")</f>
        <v>W6 59699 COLLECTED 07/27/2020</v>
      </c>
      <c r="C113" t="str">
        <f t="shared" si="3"/>
        <v>SOIL TEXTURE</v>
      </c>
      <c r="D113" s="17" t="str">
        <f>IF(Master[[#This Row],[SOIL TEXTURE - lookup picker]]="","",Master[[#This Row],[SOIL TEXTURE - lookup picker]])</f>
        <v/>
      </c>
      <c r="E113" s="109"/>
      <c r="G113" s="76" t="str">
        <f>IF(Master[[#This Row],[SOIL TEXTURE - lookup picker]]="","",Master[[#This Row],[SOIL TEXTURE - lookup picker]])</f>
        <v/>
      </c>
      <c r="H113" t="str">
        <f>IF(Master[[#This Row],[Soil TEXTURE Original Value]]="","",Master[[#This Row],[Soil TEXTURE Original Value]])</f>
        <v>Other : Loam</v>
      </c>
    </row>
    <row r="114" spans="2:8" x14ac:dyDescent="0.25">
      <c r="B114" t="str">
        <f>Master[[#This Row],[Accession Prefix (NPGS)]]&amp;" "&amp;Master[[#This Row],[Accession Number -Assigned]]&amp;" COLLECTED "&amp;TEXT(Master[[#This Row],[Date Collected or Developed]], "MM/DD/YYYY")</f>
        <v>W6 59700 COLLECTED 08/03/2020</v>
      </c>
      <c r="C114" t="str">
        <f t="shared" si="3"/>
        <v>SOIL TEXTURE</v>
      </c>
      <c r="D114" s="17" t="str">
        <f>IF(Master[[#This Row],[SOIL TEXTURE - lookup picker]]="","",Master[[#This Row],[SOIL TEXTURE - lookup picker]])</f>
        <v/>
      </c>
      <c r="E114" s="109"/>
      <c r="G114" s="76" t="str">
        <f>IF(Master[[#This Row],[SOIL TEXTURE - lookup picker]]="","",Master[[#This Row],[SOIL TEXTURE - lookup picker]])</f>
        <v/>
      </c>
      <c r="H114" t="str">
        <f>IF(Master[[#This Row],[Soil TEXTURE Original Value]]="","",Master[[#This Row],[Soil TEXTURE Original Value]])</f>
        <v>Other : Silty Loam</v>
      </c>
    </row>
    <row r="115" spans="2:8" x14ac:dyDescent="0.25">
      <c r="B115" t="str">
        <f>Master[[#This Row],[Accession Prefix (NPGS)]]&amp;" "&amp;Master[[#This Row],[Accession Number -Assigned]]&amp;" COLLECTED "&amp;TEXT(Master[[#This Row],[Date Collected or Developed]], "MM/DD/YYYY")</f>
        <v>W6 59701 COLLECTED 08/05/2020</v>
      </c>
      <c r="C115" t="str">
        <f t="shared" si="3"/>
        <v>SOIL TEXTURE</v>
      </c>
      <c r="D115" s="17" t="str">
        <f>IF(Master[[#This Row],[SOIL TEXTURE - lookup picker]]="","",Master[[#This Row],[SOIL TEXTURE - lookup picker]])</f>
        <v/>
      </c>
      <c r="E115" s="109"/>
      <c r="G115" s="76" t="str">
        <f>IF(Master[[#This Row],[SOIL TEXTURE - lookup picker]]="","",Master[[#This Row],[SOIL TEXTURE - lookup picker]])</f>
        <v/>
      </c>
      <c r="H115" t="str">
        <f>IF(Master[[#This Row],[Soil TEXTURE Original Value]]="","",Master[[#This Row],[Soil TEXTURE Original Value]])</f>
        <v>Other : Sandy Loam</v>
      </c>
    </row>
    <row r="116" spans="2:8" x14ac:dyDescent="0.25">
      <c r="B116" t="str">
        <f>Master[[#This Row],[Accession Prefix (NPGS)]]&amp;" "&amp;Master[[#This Row],[Accession Number -Assigned]]&amp;" COLLECTED "&amp;TEXT(Master[[#This Row],[Date Collected or Developed]], "MM/DD/YYYY")</f>
        <v>W6 59702 COLLECTED 08/05/2020</v>
      </c>
      <c r="C116" t="str">
        <f t="shared" si="3"/>
        <v>SOIL TEXTURE</v>
      </c>
      <c r="D116" s="17" t="str">
        <f>IF(Master[[#This Row],[SOIL TEXTURE - lookup picker]]="","",Master[[#This Row],[SOIL TEXTURE - lookup picker]])</f>
        <v/>
      </c>
      <c r="E116" s="109"/>
      <c r="G116" s="76" t="str">
        <f>IF(Master[[#This Row],[SOIL TEXTURE - lookup picker]]="","",Master[[#This Row],[SOIL TEXTURE - lookup picker]])</f>
        <v/>
      </c>
      <c r="H116" t="str">
        <f>IF(Master[[#This Row],[Soil TEXTURE Original Value]]="","",Master[[#This Row],[Soil TEXTURE Original Value]])</f>
        <v>Clay</v>
      </c>
    </row>
    <row r="117" spans="2:8" x14ac:dyDescent="0.25">
      <c r="B117" t="str">
        <f>Master[[#This Row],[Accession Prefix (NPGS)]]&amp;" "&amp;Master[[#This Row],[Accession Number -Assigned]]&amp;" COLLECTED "&amp;TEXT(Master[[#This Row],[Date Collected or Developed]], "MM/DD/YYYY")</f>
        <v>W6 59703 COLLECTED 08/06/2020</v>
      </c>
      <c r="C117" t="str">
        <f t="shared" si="3"/>
        <v>SOIL TEXTURE</v>
      </c>
      <c r="D117" s="17" t="str">
        <f>IF(Master[[#This Row],[SOIL TEXTURE - lookup picker]]="","",Master[[#This Row],[SOIL TEXTURE - lookup picker]])</f>
        <v/>
      </c>
      <c r="E117" s="109"/>
      <c r="G117" s="76" t="str">
        <f>IF(Master[[#This Row],[SOIL TEXTURE - lookup picker]]="","",Master[[#This Row],[SOIL TEXTURE - lookup picker]])</f>
        <v/>
      </c>
      <c r="H117" t="str">
        <f>IF(Master[[#This Row],[Soil TEXTURE Original Value]]="","",Master[[#This Row],[Soil TEXTURE Original Value]])</f>
        <v>Other : Clay Loam</v>
      </c>
    </row>
    <row r="118" spans="2:8" x14ac:dyDescent="0.25">
      <c r="B118" t="str">
        <f>Master[[#This Row],[Accession Prefix (NPGS)]]&amp;" "&amp;Master[[#This Row],[Accession Number -Assigned]]&amp;" COLLECTED "&amp;TEXT(Master[[#This Row],[Date Collected or Developed]], "MM/DD/YYYY")</f>
        <v>W6 59704 COLLECTED 08/10/2020</v>
      </c>
      <c r="C118" t="str">
        <f t="shared" ref="C118:C149" si="4">"SOIL TEXTURE"</f>
        <v>SOIL TEXTURE</v>
      </c>
      <c r="D118" s="17" t="str">
        <f>IF(Master[[#This Row],[SOIL TEXTURE - lookup picker]]="","",Master[[#This Row],[SOIL TEXTURE - lookup picker]])</f>
        <v/>
      </c>
      <c r="E118" s="109"/>
      <c r="G118" s="76" t="str">
        <f>IF(Master[[#This Row],[SOIL TEXTURE - lookup picker]]="","",Master[[#This Row],[SOIL TEXTURE - lookup picker]])</f>
        <v/>
      </c>
      <c r="H118" t="str">
        <f>IF(Master[[#This Row],[Soil TEXTURE Original Value]]="","",Master[[#This Row],[Soil TEXTURE Original Value]])</f>
        <v>Other : Silty Loam</v>
      </c>
    </row>
    <row r="119" spans="2:8" x14ac:dyDescent="0.25">
      <c r="B119" t="str">
        <f>Master[[#This Row],[Accession Prefix (NPGS)]]&amp;" "&amp;Master[[#This Row],[Accession Number -Assigned]]&amp;" COLLECTED "&amp;TEXT(Master[[#This Row],[Date Collected or Developed]], "MM/DD/YYYY")</f>
        <v>W6 59705 COLLECTED 08/13/2020</v>
      </c>
      <c r="C119" t="str">
        <f t="shared" si="4"/>
        <v>SOIL TEXTURE</v>
      </c>
      <c r="D119" s="17" t="str">
        <f>IF(Master[[#This Row],[SOIL TEXTURE - lookup picker]]="","",Master[[#This Row],[SOIL TEXTURE - lookup picker]])</f>
        <v/>
      </c>
      <c r="E119" s="109"/>
      <c r="G119" s="76" t="str">
        <f>IF(Master[[#This Row],[SOIL TEXTURE - lookup picker]]="","",Master[[#This Row],[SOIL TEXTURE - lookup picker]])</f>
        <v/>
      </c>
      <c r="H119" t="str">
        <f>IF(Master[[#This Row],[Soil TEXTURE Original Value]]="","",Master[[#This Row],[Soil TEXTURE Original Value]])</f>
        <v>Other : Silty Loam</v>
      </c>
    </row>
    <row r="120" spans="2:8" x14ac:dyDescent="0.25">
      <c r="B120" t="str">
        <f>Master[[#This Row],[Accession Prefix (NPGS)]]&amp;" "&amp;Master[[#This Row],[Accession Number -Assigned]]&amp;" COLLECTED "&amp;TEXT(Master[[#This Row],[Date Collected or Developed]], "MM/DD/YYYY")</f>
        <v>W6 59706 COLLECTED 08/17/2020</v>
      </c>
      <c r="C120" t="str">
        <f t="shared" si="4"/>
        <v>SOIL TEXTURE</v>
      </c>
      <c r="D120" s="17" t="str">
        <f>IF(Master[[#This Row],[SOIL TEXTURE - lookup picker]]="","",Master[[#This Row],[SOIL TEXTURE - lookup picker]])</f>
        <v/>
      </c>
      <c r="E120" s="109"/>
      <c r="G120" s="76" t="str">
        <f>IF(Master[[#This Row],[SOIL TEXTURE - lookup picker]]="","",Master[[#This Row],[SOIL TEXTURE - lookup picker]])</f>
        <v/>
      </c>
      <c r="H120" t="str">
        <f>IF(Master[[#This Row],[Soil TEXTURE Original Value]]="","",Master[[#This Row],[Soil TEXTURE Original Value]])</f>
        <v>Other : Loamy Sand</v>
      </c>
    </row>
    <row r="121" spans="2:8" x14ac:dyDescent="0.25">
      <c r="B121" t="str">
        <f>Master[[#This Row],[Accession Prefix (NPGS)]]&amp;" "&amp;Master[[#This Row],[Accession Number -Assigned]]&amp;" COLLECTED "&amp;TEXT(Master[[#This Row],[Date Collected or Developed]], "MM/DD/YYYY")</f>
        <v>W6 59707 COLLECTED 08/17/2020</v>
      </c>
      <c r="C121" t="str">
        <f t="shared" si="4"/>
        <v>SOIL TEXTURE</v>
      </c>
      <c r="D121" s="17" t="str">
        <f>IF(Master[[#This Row],[SOIL TEXTURE - lookup picker]]="","",Master[[#This Row],[SOIL TEXTURE - lookup picker]])</f>
        <v/>
      </c>
      <c r="E121" s="109"/>
      <c r="G121" s="76" t="str">
        <f>IF(Master[[#This Row],[SOIL TEXTURE - lookup picker]]="","",Master[[#This Row],[SOIL TEXTURE - lookup picker]])</f>
        <v/>
      </c>
      <c r="H121" t="str">
        <f>IF(Master[[#This Row],[Soil TEXTURE Original Value]]="","",Master[[#This Row],[Soil TEXTURE Original Value]])</f>
        <v>Other : Silty Clay Loam</v>
      </c>
    </row>
    <row r="122" spans="2:8" x14ac:dyDescent="0.25">
      <c r="B122" t="str">
        <f>Master[[#This Row],[Accession Prefix (NPGS)]]&amp;" "&amp;Master[[#This Row],[Accession Number -Assigned]]&amp;" COLLECTED "&amp;TEXT(Master[[#This Row],[Date Collected or Developed]], "MM/DD/YYYY")</f>
        <v>W6 59708 COLLECTED 08/18/2020</v>
      </c>
      <c r="C122" t="str">
        <f t="shared" si="4"/>
        <v>SOIL TEXTURE</v>
      </c>
      <c r="D122" s="17" t="str">
        <f>IF(Master[[#This Row],[SOIL TEXTURE - lookup picker]]="","",Master[[#This Row],[SOIL TEXTURE - lookup picker]])</f>
        <v/>
      </c>
      <c r="E122" s="109"/>
      <c r="G122" s="76" t="str">
        <f>IF(Master[[#This Row],[SOIL TEXTURE - lookup picker]]="","",Master[[#This Row],[SOIL TEXTURE - lookup picker]])</f>
        <v/>
      </c>
      <c r="H122" t="str">
        <f>IF(Master[[#This Row],[Soil TEXTURE Original Value]]="","",Master[[#This Row],[Soil TEXTURE Original Value]])</f>
        <v>Other : Loamy Sand</v>
      </c>
    </row>
    <row r="123" spans="2:8" x14ac:dyDescent="0.25">
      <c r="B123" t="str">
        <f>Master[[#This Row],[Accession Prefix (NPGS)]]&amp;" "&amp;Master[[#This Row],[Accession Number -Assigned]]&amp;" COLLECTED "&amp;TEXT(Master[[#This Row],[Date Collected or Developed]], "MM/DD/YYYY")</f>
        <v>W6 59709 COLLECTED 08/19/2020</v>
      </c>
      <c r="C123" t="str">
        <f t="shared" si="4"/>
        <v>SOIL TEXTURE</v>
      </c>
      <c r="D123" s="17" t="str">
        <f>IF(Master[[#This Row],[SOIL TEXTURE - lookup picker]]="","",Master[[#This Row],[SOIL TEXTURE - lookup picker]])</f>
        <v/>
      </c>
      <c r="E123" s="109"/>
      <c r="G123" s="76" t="str">
        <f>IF(Master[[#This Row],[SOIL TEXTURE - lookup picker]]="","",Master[[#This Row],[SOIL TEXTURE - lookup picker]])</f>
        <v/>
      </c>
      <c r="H123" t="str">
        <f>IF(Master[[#This Row],[Soil TEXTURE Original Value]]="","",Master[[#This Row],[Soil TEXTURE Original Value]])</f>
        <v>Other : Silty Loam</v>
      </c>
    </row>
    <row r="124" spans="2:8" x14ac:dyDescent="0.25">
      <c r="B124" t="str">
        <f>Master[[#This Row],[Accession Prefix (NPGS)]]&amp;" "&amp;Master[[#This Row],[Accession Number -Assigned]]&amp;" COLLECTED "&amp;TEXT(Master[[#This Row],[Date Collected or Developed]], "MM/DD/YYYY")</f>
        <v>W6 59710 COLLECTED 08/24/2020</v>
      </c>
      <c r="C124" t="str">
        <f t="shared" si="4"/>
        <v>SOIL TEXTURE</v>
      </c>
      <c r="D124" s="17" t="str">
        <f>IF(Master[[#This Row],[SOIL TEXTURE - lookup picker]]="","",Master[[#This Row],[SOIL TEXTURE - lookup picker]])</f>
        <v/>
      </c>
      <c r="E124" s="109"/>
      <c r="G124" s="76" t="str">
        <f>IF(Master[[#This Row],[SOIL TEXTURE - lookup picker]]="","",Master[[#This Row],[SOIL TEXTURE - lookup picker]])</f>
        <v/>
      </c>
      <c r="H124" t="str">
        <f>IF(Master[[#This Row],[Soil TEXTURE Original Value]]="","",Master[[#This Row],[Soil TEXTURE Original Value]])</f>
        <v>Other : Clay Loam</v>
      </c>
    </row>
    <row r="125" spans="2:8" x14ac:dyDescent="0.25">
      <c r="B125" t="str">
        <f>Master[[#This Row],[Accession Prefix (NPGS)]]&amp;" "&amp;Master[[#This Row],[Accession Number -Assigned]]&amp;" COLLECTED "&amp;TEXT(Master[[#This Row],[Date Collected or Developed]], "MM/DD/YYYY")</f>
        <v>W6 59711 COLLECTED 08/27/2020</v>
      </c>
      <c r="C125" t="str">
        <f t="shared" si="4"/>
        <v>SOIL TEXTURE</v>
      </c>
      <c r="D125" s="17" t="str">
        <f>IF(Master[[#This Row],[SOIL TEXTURE - lookup picker]]="","",Master[[#This Row],[SOIL TEXTURE - lookup picker]])</f>
        <v/>
      </c>
      <c r="E125" s="109"/>
      <c r="G125" s="76" t="str">
        <f>IF(Master[[#This Row],[SOIL TEXTURE - lookup picker]]="","",Master[[#This Row],[SOIL TEXTURE - lookup picker]])</f>
        <v/>
      </c>
      <c r="H125" t="str">
        <f>IF(Master[[#This Row],[Soil TEXTURE Original Value]]="","",Master[[#This Row],[Soil TEXTURE Original Value]])</f>
        <v>Other : Loamy Sand</v>
      </c>
    </row>
    <row r="126" spans="2:8" x14ac:dyDescent="0.25">
      <c r="B126" t="str">
        <f>Master[[#This Row],[Accession Prefix (NPGS)]]&amp;" "&amp;Master[[#This Row],[Accession Number -Assigned]]&amp;" COLLECTED "&amp;TEXT(Master[[#This Row],[Date Collected or Developed]], "MM/DD/YYYY")</f>
        <v>W6 59712 COLLECTED 09/01/2020</v>
      </c>
      <c r="C126" t="str">
        <f t="shared" si="4"/>
        <v>SOIL TEXTURE</v>
      </c>
      <c r="D126" s="17" t="str">
        <f>IF(Master[[#This Row],[SOIL TEXTURE - lookup picker]]="","",Master[[#This Row],[SOIL TEXTURE - lookup picker]])</f>
        <v/>
      </c>
      <c r="E126" s="109"/>
      <c r="G126" s="76" t="str">
        <f>IF(Master[[#This Row],[SOIL TEXTURE - lookup picker]]="","",Master[[#This Row],[SOIL TEXTURE - lookup picker]])</f>
        <v/>
      </c>
      <c r="H126" t="str">
        <f>IF(Master[[#This Row],[Soil TEXTURE Original Value]]="","",Master[[#This Row],[Soil TEXTURE Original Value]])</f>
        <v>Other : Clay Loam</v>
      </c>
    </row>
    <row r="127" spans="2:8" x14ac:dyDescent="0.25">
      <c r="B127" t="str">
        <f>Master[[#This Row],[Accession Prefix (NPGS)]]&amp;" "&amp;Master[[#This Row],[Accession Number -Assigned]]&amp;" COLLECTED "&amp;TEXT(Master[[#This Row],[Date Collected or Developed]], "MM/DD/YYYY")</f>
        <v>W6 59713 COLLECTED 08/03/2020</v>
      </c>
      <c r="C127" t="str">
        <f t="shared" si="4"/>
        <v>SOIL TEXTURE</v>
      </c>
      <c r="D127" s="17" t="str">
        <f>IF(Master[[#This Row],[SOIL TEXTURE - lookup picker]]="","",Master[[#This Row],[SOIL TEXTURE - lookup picker]])</f>
        <v/>
      </c>
      <c r="E127" s="109"/>
      <c r="G127" s="76" t="str">
        <f>IF(Master[[#This Row],[SOIL TEXTURE - lookup picker]]="","",Master[[#This Row],[SOIL TEXTURE - lookup picker]])</f>
        <v/>
      </c>
      <c r="H127" t="str">
        <f>IF(Master[[#This Row],[Soil TEXTURE Original Value]]="","",Master[[#This Row],[Soil TEXTURE Original Value]])</f>
        <v>Sand</v>
      </c>
    </row>
    <row r="128" spans="2:8" x14ac:dyDescent="0.25">
      <c r="B128" t="str">
        <f>Master[[#This Row],[Accession Prefix (NPGS)]]&amp;" "&amp;Master[[#This Row],[Accession Number -Assigned]]&amp;" COLLECTED "&amp;TEXT(Master[[#This Row],[Date Collected or Developed]], "MM/DD/YYYY")</f>
        <v>W6 59714 COLLECTED 08/05/2020</v>
      </c>
      <c r="C128" t="str">
        <f t="shared" si="4"/>
        <v>SOIL TEXTURE</v>
      </c>
      <c r="D128" s="17" t="str">
        <f>IF(Master[[#This Row],[SOIL TEXTURE - lookup picker]]="","",Master[[#This Row],[SOIL TEXTURE - lookup picker]])</f>
        <v/>
      </c>
      <c r="E128" s="109"/>
      <c r="G128" s="76" t="str">
        <f>IF(Master[[#This Row],[SOIL TEXTURE - lookup picker]]="","",Master[[#This Row],[SOIL TEXTURE - lookup picker]])</f>
        <v/>
      </c>
      <c r="H128" t="str">
        <f>IF(Master[[#This Row],[Soil TEXTURE Original Value]]="","",Master[[#This Row],[Soil TEXTURE Original Value]])</f>
        <v>Sand</v>
      </c>
    </row>
    <row r="129" spans="2:8" x14ac:dyDescent="0.25">
      <c r="B129" t="str">
        <f>Master[[#This Row],[Accession Prefix (NPGS)]]&amp;" "&amp;Master[[#This Row],[Accession Number -Assigned]]&amp;" COLLECTED "&amp;TEXT(Master[[#This Row],[Date Collected or Developed]], "MM/DD/YYYY")</f>
        <v>W6 59715 COLLECTED 08/12/2020</v>
      </c>
      <c r="C129" t="str">
        <f t="shared" si="4"/>
        <v>SOIL TEXTURE</v>
      </c>
      <c r="D129" s="17" t="str">
        <f>IF(Master[[#This Row],[SOIL TEXTURE - lookup picker]]="","",Master[[#This Row],[SOIL TEXTURE - lookup picker]])</f>
        <v/>
      </c>
      <c r="E129" s="109"/>
      <c r="G129" s="76" t="str">
        <f>IF(Master[[#This Row],[SOIL TEXTURE - lookup picker]]="","",Master[[#This Row],[SOIL TEXTURE - lookup picker]])</f>
        <v/>
      </c>
      <c r="H129" t="str">
        <f>IF(Master[[#This Row],[Soil TEXTURE Original Value]]="","",Master[[#This Row],[Soil TEXTURE Original Value]])</f>
        <v>Sand</v>
      </c>
    </row>
    <row r="130" spans="2:8" x14ac:dyDescent="0.25">
      <c r="B130" t="str">
        <f>Master[[#This Row],[Accession Prefix (NPGS)]]&amp;" "&amp;Master[[#This Row],[Accession Number -Assigned]]&amp;" COLLECTED "&amp;TEXT(Master[[#This Row],[Date Collected or Developed]], "MM/DD/YYYY")</f>
        <v>W6 59716 COLLECTED 08/17/2020</v>
      </c>
      <c r="C130" t="str">
        <f t="shared" si="4"/>
        <v>SOIL TEXTURE</v>
      </c>
      <c r="D130" s="17" t="str">
        <f>IF(Master[[#This Row],[SOIL TEXTURE - lookup picker]]="","",Master[[#This Row],[SOIL TEXTURE - lookup picker]])</f>
        <v/>
      </c>
      <c r="E130" s="109"/>
      <c r="G130" s="76" t="str">
        <f>IF(Master[[#This Row],[SOIL TEXTURE - lookup picker]]="","",Master[[#This Row],[SOIL TEXTURE - lookup picker]])</f>
        <v/>
      </c>
      <c r="H130" t="str">
        <f>IF(Master[[#This Row],[Soil TEXTURE Original Value]]="","",Master[[#This Row],[Soil TEXTURE Original Value]])</f>
        <v>Clay, Sand</v>
      </c>
    </row>
    <row r="131" spans="2:8" x14ac:dyDescent="0.25">
      <c r="B131" t="str">
        <f>Master[[#This Row],[Accession Prefix (NPGS)]]&amp;" "&amp;Master[[#This Row],[Accession Number -Assigned]]&amp;" COLLECTED "&amp;TEXT(Master[[#This Row],[Date Collected or Developed]], "MM/DD/YYYY")</f>
        <v>W6 59717 COLLECTED 08/19/2020</v>
      </c>
      <c r="C131" t="str">
        <f t="shared" si="4"/>
        <v>SOIL TEXTURE</v>
      </c>
      <c r="D131" s="17" t="str">
        <f>IF(Master[[#This Row],[SOIL TEXTURE - lookup picker]]="","",Master[[#This Row],[SOIL TEXTURE - lookup picker]])</f>
        <v/>
      </c>
      <c r="E131" s="109"/>
      <c r="G131" s="76" t="str">
        <f>IF(Master[[#This Row],[SOIL TEXTURE - lookup picker]]="","",Master[[#This Row],[SOIL TEXTURE - lookup picker]])</f>
        <v/>
      </c>
      <c r="H131" t="str">
        <f>IF(Master[[#This Row],[Soil TEXTURE Original Value]]="","",Master[[#This Row],[Soil TEXTURE Original Value]])</f>
        <v>Silt</v>
      </c>
    </row>
    <row r="132" spans="2:8" x14ac:dyDescent="0.25">
      <c r="B132" t="str">
        <f>Master[[#This Row],[Accession Prefix (NPGS)]]&amp;" "&amp;Master[[#This Row],[Accession Number -Assigned]]&amp;" COLLECTED "&amp;TEXT(Master[[#This Row],[Date Collected or Developed]], "MM/DD/YYYY")</f>
        <v>W6 59718 COLLECTED 08/19/2020</v>
      </c>
      <c r="C132" t="str">
        <f t="shared" si="4"/>
        <v>SOIL TEXTURE</v>
      </c>
      <c r="D132" s="17" t="str">
        <f>IF(Master[[#This Row],[SOIL TEXTURE - lookup picker]]="","",Master[[#This Row],[SOIL TEXTURE - lookup picker]])</f>
        <v/>
      </c>
      <c r="E132" s="109"/>
      <c r="G132" s="76" t="str">
        <f>IF(Master[[#This Row],[SOIL TEXTURE - lookup picker]]="","",Master[[#This Row],[SOIL TEXTURE - lookup picker]])</f>
        <v/>
      </c>
      <c r="H132" t="str">
        <f>IF(Master[[#This Row],[Soil TEXTURE Original Value]]="","",Master[[#This Row],[Soil TEXTURE Original Value]])</f>
        <v>Silt</v>
      </c>
    </row>
    <row r="133" spans="2:8" x14ac:dyDescent="0.25">
      <c r="B133" t="str">
        <f>Master[[#This Row],[Accession Prefix (NPGS)]]&amp;" "&amp;Master[[#This Row],[Accession Number -Assigned]]&amp;" COLLECTED "&amp;TEXT(Master[[#This Row],[Date Collected or Developed]], "MM/DD/YYYY")</f>
        <v>W6 59719 COLLECTED 08/26/2020</v>
      </c>
      <c r="C133" t="str">
        <f t="shared" si="4"/>
        <v>SOIL TEXTURE</v>
      </c>
      <c r="D133" s="17" t="str">
        <f>IF(Master[[#This Row],[SOIL TEXTURE - lookup picker]]="","",Master[[#This Row],[SOIL TEXTURE - lookup picker]])</f>
        <v/>
      </c>
      <c r="E133" s="109"/>
      <c r="G133" s="76" t="str">
        <f>IF(Master[[#This Row],[SOIL TEXTURE - lookup picker]]="","",Master[[#This Row],[SOIL TEXTURE - lookup picker]])</f>
        <v/>
      </c>
      <c r="H133" t="str">
        <f>IF(Master[[#This Row],[Soil TEXTURE Original Value]]="","",Master[[#This Row],[Soil TEXTURE Original Value]])</f>
        <v>Silt</v>
      </c>
    </row>
    <row r="134" spans="2:8" x14ac:dyDescent="0.25">
      <c r="B134" t="str">
        <f>Master[[#This Row],[Accession Prefix (NPGS)]]&amp;" "&amp;Master[[#This Row],[Accession Number -Assigned]]&amp;" COLLECTED "&amp;TEXT(Master[[#This Row],[Date Collected or Developed]], "MM/DD/YYYY")</f>
        <v>W6 59720 COLLECTED 08/26/2020</v>
      </c>
      <c r="C134" t="str">
        <f t="shared" si="4"/>
        <v>SOIL TEXTURE</v>
      </c>
      <c r="D134" s="17" t="str">
        <f>IF(Master[[#This Row],[SOIL TEXTURE - lookup picker]]="","",Master[[#This Row],[SOIL TEXTURE - lookup picker]])</f>
        <v/>
      </c>
      <c r="E134" s="109"/>
      <c r="G134" s="76" t="str">
        <f>IF(Master[[#This Row],[SOIL TEXTURE - lookup picker]]="","",Master[[#This Row],[SOIL TEXTURE - lookup picker]])</f>
        <v/>
      </c>
      <c r="H134" t="str">
        <f>IF(Master[[#This Row],[Soil TEXTURE Original Value]]="","",Master[[#This Row],[Soil TEXTURE Original Value]])</f>
        <v>Sand</v>
      </c>
    </row>
    <row r="135" spans="2:8" x14ac:dyDescent="0.25">
      <c r="B135" t="str">
        <f>Master[[#This Row],[Accession Prefix (NPGS)]]&amp;" "&amp;Master[[#This Row],[Accession Number -Assigned]]&amp;" COLLECTED "&amp;TEXT(Master[[#This Row],[Date Collected or Developed]], "MM/DD/YYYY")</f>
        <v>W6 59721 COLLECTED 08/27/2020</v>
      </c>
      <c r="C135" t="str">
        <f t="shared" si="4"/>
        <v>SOIL TEXTURE</v>
      </c>
      <c r="D135" s="17" t="str">
        <f>IF(Master[[#This Row],[SOIL TEXTURE - lookup picker]]="","",Master[[#This Row],[SOIL TEXTURE - lookup picker]])</f>
        <v/>
      </c>
      <c r="E135" s="109"/>
      <c r="G135" s="76" t="str">
        <f>IF(Master[[#This Row],[SOIL TEXTURE - lookup picker]]="","",Master[[#This Row],[SOIL TEXTURE - lookup picker]])</f>
        <v/>
      </c>
      <c r="H135" t="str">
        <f>IF(Master[[#This Row],[Soil TEXTURE Original Value]]="","",Master[[#This Row],[Soil TEXTURE Original Value]])</f>
        <v>Clay</v>
      </c>
    </row>
    <row r="136" spans="2:8" x14ac:dyDescent="0.25">
      <c r="B136" t="str">
        <f>Master[[#This Row],[Accession Prefix (NPGS)]]&amp;" "&amp;Master[[#This Row],[Accession Number -Assigned]]&amp;" COLLECTED "&amp;TEXT(Master[[#This Row],[Date Collected or Developed]], "MM/DD/YYYY")</f>
        <v>W6 59722 COLLECTED 09/09/2020</v>
      </c>
      <c r="C136" t="str">
        <f t="shared" si="4"/>
        <v>SOIL TEXTURE</v>
      </c>
      <c r="D136" s="17" t="str">
        <f>IF(Master[[#This Row],[SOIL TEXTURE - lookup picker]]="","",Master[[#This Row],[SOIL TEXTURE - lookup picker]])</f>
        <v/>
      </c>
      <c r="E136" s="109"/>
      <c r="G136" s="76" t="str">
        <f>IF(Master[[#This Row],[SOIL TEXTURE - lookup picker]]="","",Master[[#This Row],[SOIL TEXTURE - lookup picker]])</f>
        <v/>
      </c>
      <c r="H136" t="str">
        <f>IF(Master[[#This Row],[Soil TEXTURE Original Value]]="","",Master[[#This Row],[Soil TEXTURE Original Value]])</f>
        <v>Sand</v>
      </c>
    </row>
    <row r="137" spans="2:8" x14ac:dyDescent="0.25">
      <c r="B137" t="str">
        <f>Master[[#This Row],[Accession Prefix (NPGS)]]&amp;" "&amp;Master[[#This Row],[Accession Number -Assigned]]&amp;" COLLECTED "&amp;TEXT(Master[[#This Row],[Date Collected or Developed]], "MM/DD/YYYY")</f>
        <v>W6 59723 COLLECTED 09/10/2020</v>
      </c>
      <c r="C137" t="str">
        <f t="shared" si="4"/>
        <v>SOIL TEXTURE</v>
      </c>
      <c r="D137" s="17" t="str">
        <f>IF(Master[[#This Row],[SOIL TEXTURE - lookup picker]]="","",Master[[#This Row],[SOIL TEXTURE - lookup picker]])</f>
        <v/>
      </c>
      <c r="E137" s="109"/>
      <c r="G137" s="76" t="str">
        <f>IF(Master[[#This Row],[SOIL TEXTURE - lookup picker]]="","",Master[[#This Row],[SOIL TEXTURE - lookup picker]])</f>
        <v/>
      </c>
      <c r="H137" t="str">
        <f>IF(Master[[#This Row],[Soil TEXTURE Original Value]]="","",Master[[#This Row],[Soil TEXTURE Original Value]])</f>
        <v>Sand</v>
      </c>
    </row>
    <row r="138" spans="2:8" x14ac:dyDescent="0.25">
      <c r="B138" t="str">
        <f>Master[[#This Row],[Accession Prefix (NPGS)]]&amp;" "&amp;Master[[#This Row],[Accession Number -Assigned]]&amp;" COLLECTED "&amp;TEXT(Master[[#This Row],[Date Collected or Developed]], "MM/DD/YYYY")</f>
        <v>W6 59724 COLLECTED 09/10/2020</v>
      </c>
      <c r="C138" t="str">
        <f t="shared" si="4"/>
        <v>SOIL TEXTURE</v>
      </c>
      <c r="D138" s="17" t="str">
        <f>IF(Master[[#This Row],[SOIL TEXTURE - lookup picker]]="","",Master[[#This Row],[SOIL TEXTURE - lookup picker]])</f>
        <v/>
      </c>
      <c r="E138" s="109"/>
      <c r="G138" s="76" t="str">
        <f>IF(Master[[#This Row],[SOIL TEXTURE - lookup picker]]="","",Master[[#This Row],[SOIL TEXTURE - lookup picker]])</f>
        <v/>
      </c>
      <c r="H138" t="str">
        <f>IF(Master[[#This Row],[Soil TEXTURE Original Value]]="","",Master[[#This Row],[Soil TEXTURE Original Value]])</f>
        <v>Clay, Silt</v>
      </c>
    </row>
    <row r="139" spans="2:8" x14ac:dyDescent="0.25">
      <c r="B139" t="str">
        <f>Master[[#This Row],[Accession Prefix (NPGS)]]&amp;" "&amp;Master[[#This Row],[Accession Number -Assigned]]&amp;" COLLECTED "&amp;TEXT(Master[[#This Row],[Date Collected or Developed]], "MM/DD/YYYY")</f>
        <v>W6 59725 COLLECTED 09/15/2020</v>
      </c>
      <c r="C139" t="str">
        <f t="shared" si="4"/>
        <v>SOIL TEXTURE</v>
      </c>
      <c r="D139" s="17" t="str">
        <f>IF(Master[[#This Row],[SOIL TEXTURE - lookup picker]]="","",Master[[#This Row],[SOIL TEXTURE - lookup picker]])</f>
        <v/>
      </c>
      <c r="E139" s="109"/>
      <c r="G139" s="76" t="str">
        <f>IF(Master[[#This Row],[SOIL TEXTURE - lookup picker]]="","",Master[[#This Row],[SOIL TEXTURE - lookup picker]])</f>
        <v/>
      </c>
      <c r="H139" t="str">
        <f>IF(Master[[#This Row],[Soil TEXTURE Original Value]]="","",Master[[#This Row],[Soil TEXTURE Original Value]])</f>
        <v>Clay, Silt</v>
      </c>
    </row>
    <row r="140" spans="2:8" x14ac:dyDescent="0.25">
      <c r="B140" t="str">
        <f>Master[[#This Row],[Accession Prefix (NPGS)]]&amp;" "&amp;Master[[#This Row],[Accession Number -Assigned]]&amp;" COLLECTED "&amp;TEXT(Master[[#This Row],[Date Collected or Developed]], "MM/DD/YYYY")</f>
        <v>W6 59726 COLLECTED 09/17/2020</v>
      </c>
      <c r="C140" t="str">
        <f t="shared" si="4"/>
        <v>SOIL TEXTURE</v>
      </c>
      <c r="D140" s="17" t="str">
        <f>IF(Master[[#This Row],[SOIL TEXTURE - lookup picker]]="","",Master[[#This Row],[SOIL TEXTURE - lookup picker]])</f>
        <v/>
      </c>
      <c r="E140" s="109"/>
      <c r="G140" s="76" t="str">
        <f>IF(Master[[#This Row],[SOIL TEXTURE - lookup picker]]="","",Master[[#This Row],[SOIL TEXTURE - lookup picker]])</f>
        <v/>
      </c>
      <c r="H140" t="str">
        <f>IF(Master[[#This Row],[Soil TEXTURE Original Value]]="","",Master[[#This Row],[Soil TEXTURE Original Value]])</f>
        <v>Silt</v>
      </c>
    </row>
    <row r="141" spans="2:8" x14ac:dyDescent="0.25">
      <c r="B141" t="str">
        <f>Master[[#This Row],[Accession Prefix (NPGS)]]&amp;" "&amp;Master[[#This Row],[Accession Number -Assigned]]&amp;" COLLECTED "&amp;TEXT(Master[[#This Row],[Date Collected or Developed]], "MM/DD/YYYY")</f>
        <v>W6 59727 COLLECTED 09/17/2020</v>
      </c>
      <c r="C141" t="str">
        <f t="shared" si="4"/>
        <v>SOIL TEXTURE</v>
      </c>
      <c r="D141" s="17" t="str">
        <f>IF(Master[[#This Row],[SOIL TEXTURE - lookup picker]]="","",Master[[#This Row],[SOIL TEXTURE - lookup picker]])</f>
        <v/>
      </c>
      <c r="E141" s="109"/>
      <c r="G141" s="76" t="str">
        <f>IF(Master[[#This Row],[SOIL TEXTURE - lookup picker]]="","",Master[[#This Row],[SOIL TEXTURE - lookup picker]])</f>
        <v/>
      </c>
      <c r="H141" t="str">
        <f>IF(Master[[#This Row],[Soil TEXTURE Original Value]]="","",Master[[#This Row],[Soil TEXTURE Original Value]])</f>
        <v>Silt</v>
      </c>
    </row>
    <row r="142" spans="2:8" x14ac:dyDescent="0.25">
      <c r="B142" t="str">
        <f>Master[[#This Row],[Accession Prefix (NPGS)]]&amp;" "&amp;Master[[#This Row],[Accession Number -Assigned]]&amp;" COLLECTED "&amp;TEXT(Master[[#This Row],[Date Collected or Developed]], "MM/DD/YYYY")</f>
        <v>W6 59728 COLLECTED 09/21/2020</v>
      </c>
      <c r="C142" t="str">
        <f t="shared" si="4"/>
        <v>SOIL TEXTURE</v>
      </c>
      <c r="D142" s="17" t="str">
        <f>IF(Master[[#This Row],[SOIL TEXTURE - lookup picker]]="","",Master[[#This Row],[SOIL TEXTURE - lookup picker]])</f>
        <v/>
      </c>
      <c r="E142" s="109"/>
      <c r="G142" s="76" t="str">
        <f>IF(Master[[#This Row],[SOIL TEXTURE - lookup picker]]="","",Master[[#This Row],[SOIL TEXTURE - lookup picker]])</f>
        <v/>
      </c>
      <c r="H142" t="str">
        <f>IF(Master[[#This Row],[Soil TEXTURE Original Value]]="","",Master[[#This Row],[Soil TEXTURE Original Value]])</f>
        <v>Clay</v>
      </c>
    </row>
    <row r="143" spans="2:8" x14ac:dyDescent="0.25">
      <c r="B143" t="str">
        <f>Master[[#This Row],[Accession Prefix (NPGS)]]&amp;" "&amp;Master[[#This Row],[Accession Number -Assigned]]&amp;" COLLECTED "&amp;TEXT(Master[[#This Row],[Date Collected or Developed]], "MM/DD/YYYY")</f>
        <v>W6 59729 COLLECTED 09/23/2020</v>
      </c>
      <c r="C143" t="str">
        <f t="shared" si="4"/>
        <v>SOIL TEXTURE</v>
      </c>
      <c r="D143" s="17" t="str">
        <f>IF(Master[[#This Row],[SOIL TEXTURE - lookup picker]]="","",Master[[#This Row],[SOIL TEXTURE - lookup picker]])</f>
        <v/>
      </c>
      <c r="E143" s="109"/>
      <c r="G143" s="76" t="str">
        <f>IF(Master[[#This Row],[SOIL TEXTURE - lookup picker]]="","",Master[[#This Row],[SOIL TEXTURE - lookup picker]])</f>
        <v/>
      </c>
      <c r="H143" t="str">
        <f>IF(Master[[#This Row],[Soil TEXTURE Original Value]]="","",Master[[#This Row],[Soil TEXTURE Original Value]])</f>
        <v>Sand</v>
      </c>
    </row>
    <row r="144" spans="2:8" x14ac:dyDescent="0.25">
      <c r="B144" t="str">
        <f>Master[[#This Row],[Accession Prefix (NPGS)]]&amp;" "&amp;Master[[#This Row],[Accession Number -Assigned]]&amp;" COLLECTED "&amp;TEXT(Master[[#This Row],[Date Collected or Developed]], "MM/DD/YYYY")</f>
        <v>W6 59730 COLLECTED 09/24/2020</v>
      </c>
      <c r="C144" t="str">
        <f t="shared" si="4"/>
        <v>SOIL TEXTURE</v>
      </c>
      <c r="D144" s="17" t="str">
        <f>IF(Master[[#This Row],[SOIL TEXTURE - lookup picker]]="","",Master[[#This Row],[SOIL TEXTURE - lookup picker]])</f>
        <v/>
      </c>
      <c r="E144" s="109"/>
      <c r="G144" s="76" t="str">
        <f>IF(Master[[#This Row],[SOIL TEXTURE - lookup picker]]="","",Master[[#This Row],[SOIL TEXTURE - lookup picker]])</f>
        <v/>
      </c>
      <c r="H144" t="str">
        <f>IF(Master[[#This Row],[Soil TEXTURE Original Value]]="","",Master[[#This Row],[Soil TEXTURE Original Value]])</f>
        <v>Sand</v>
      </c>
    </row>
    <row r="145" spans="2:8" x14ac:dyDescent="0.25">
      <c r="B145" t="str">
        <f>Master[[#This Row],[Accession Prefix (NPGS)]]&amp;" "&amp;Master[[#This Row],[Accession Number -Assigned]]&amp;" COLLECTED "&amp;TEXT(Master[[#This Row],[Date Collected or Developed]], "MM/DD/YYYY")</f>
        <v>W6 59731 COLLECTED 10/01/2020</v>
      </c>
      <c r="C145" t="str">
        <f t="shared" si="4"/>
        <v>SOIL TEXTURE</v>
      </c>
      <c r="D145" s="17" t="str">
        <f>IF(Master[[#This Row],[SOIL TEXTURE - lookup picker]]="","",Master[[#This Row],[SOIL TEXTURE - lookup picker]])</f>
        <v/>
      </c>
      <c r="E145" s="109"/>
      <c r="G145" s="76" t="str">
        <f>IF(Master[[#This Row],[SOIL TEXTURE - lookup picker]]="","",Master[[#This Row],[SOIL TEXTURE - lookup picker]])</f>
        <v/>
      </c>
      <c r="H145" t="str">
        <f>IF(Master[[#This Row],[Soil TEXTURE Original Value]]="","",Master[[#This Row],[Soil TEXTURE Original Value]])</f>
        <v>Sand</v>
      </c>
    </row>
    <row r="146" spans="2:8" x14ac:dyDescent="0.25">
      <c r="B146" t="str">
        <f>Master[[#This Row],[Accession Prefix (NPGS)]]&amp;" "&amp;Master[[#This Row],[Accession Number -Assigned]]&amp;" COLLECTED "&amp;TEXT(Master[[#This Row],[Date Collected or Developed]], "MM/DD/YYYY")</f>
        <v>W6 59732 COLLECTED 10/02/2020</v>
      </c>
      <c r="C146" t="str">
        <f t="shared" si="4"/>
        <v>SOIL TEXTURE</v>
      </c>
      <c r="D146" s="17" t="str">
        <f>IF(Master[[#This Row],[SOIL TEXTURE - lookup picker]]="","",Master[[#This Row],[SOIL TEXTURE - lookup picker]])</f>
        <v/>
      </c>
      <c r="E146" s="109"/>
      <c r="G146" s="76" t="str">
        <f>IF(Master[[#This Row],[SOIL TEXTURE - lookup picker]]="","",Master[[#This Row],[SOIL TEXTURE - lookup picker]])</f>
        <v/>
      </c>
      <c r="H146" t="str">
        <f>IF(Master[[#This Row],[Soil TEXTURE Original Value]]="","",Master[[#This Row],[Soil TEXTURE Original Value]])</f>
        <v>Other : Loam</v>
      </c>
    </row>
    <row r="147" spans="2:8" x14ac:dyDescent="0.25">
      <c r="B147" t="str">
        <f>Master[[#This Row],[Accession Prefix (NPGS)]]&amp;" "&amp;Master[[#This Row],[Accession Number -Assigned]]&amp;" COLLECTED "&amp;TEXT(Master[[#This Row],[Date Collected or Developed]], "MM/DD/YYYY")</f>
        <v>W6 59733 COLLECTED 10/05/2020</v>
      </c>
      <c r="C147" t="str">
        <f t="shared" si="4"/>
        <v>SOIL TEXTURE</v>
      </c>
      <c r="D147" s="17" t="str">
        <f>IF(Master[[#This Row],[SOIL TEXTURE - lookup picker]]="","",Master[[#This Row],[SOIL TEXTURE - lookup picker]])</f>
        <v/>
      </c>
      <c r="E147" s="109"/>
      <c r="G147" s="76" t="str">
        <f>IF(Master[[#This Row],[SOIL TEXTURE - lookup picker]]="","",Master[[#This Row],[SOIL TEXTURE - lookup picker]])</f>
        <v/>
      </c>
      <c r="H147" t="str">
        <f>IF(Master[[#This Row],[Soil TEXTURE Original Value]]="","",Master[[#This Row],[Soil TEXTURE Original Value]])</f>
        <v>Sand</v>
      </c>
    </row>
    <row r="148" spans="2:8" x14ac:dyDescent="0.25">
      <c r="B148" t="str">
        <f>Master[[#This Row],[Accession Prefix (NPGS)]]&amp;" "&amp;Master[[#This Row],[Accession Number -Assigned]]&amp;" COLLECTED "&amp;TEXT(Master[[#This Row],[Date Collected or Developed]], "MM/DD/YYYY")</f>
        <v>W6 59734 COLLECTED 10/05/2020</v>
      </c>
      <c r="C148" t="str">
        <f t="shared" si="4"/>
        <v>SOIL TEXTURE</v>
      </c>
      <c r="D148" s="17" t="str">
        <f>IF(Master[[#This Row],[SOIL TEXTURE - lookup picker]]="","",Master[[#This Row],[SOIL TEXTURE - lookup picker]])</f>
        <v/>
      </c>
      <c r="E148" s="109"/>
      <c r="G148" s="76" t="str">
        <f>IF(Master[[#This Row],[SOIL TEXTURE - lookup picker]]="","",Master[[#This Row],[SOIL TEXTURE - lookup picker]])</f>
        <v/>
      </c>
      <c r="H148" t="str">
        <f>IF(Master[[#This Row],[Soil TEXTURE Original Value]]="","",Master[[#This Row],[Soil TEXTURE Original Value]])</f>
        <v>Sand</v>
      </c>
    </row>
    <row r="149" spans="2:8" x14ac:dyDescent="0.25">
      <c r="B149" t="str">
        <f>Master[[#This Row],[Accession Prefix (NPGS)]]&amp;" "&amp;Master[[#This Row],[Accession Number -Assigned]]&amp;" COLLECTED "&amp;TEXT(Master[[#This Row],[Date Collected or Developed]], "MM/DD/YYYY")</f>
        <v>W6 59735 COLLECTED 07/29/2020</v>
      </c>
      <c r="C149" t="str">
        <f t="shared" si="4"/>
        <v>SOIL TEXTURE</v>
      </c>
      <c r="D149" s="17" t="str">
        <f>IF(Master[[#This Row],[SOIL TEXTURE - lookup picker]]="","",Master[[#This Row],[SOIL TEXTURE - lookup picker]])</f>
        <v/>
      </c>
      <c r="E149" s="109"/>
      <c r="G149" s="76" t="str">
        <f>IF(Master[[#This Row],[SOIL TEXTURE - lookup picker]]="","",Master[[#This Row],[SOIL TEXTURE - lookup picker]])</f>
        <v/>
      </c>
      <c r="H149" t="str">
        <f>IF(Master[[#This Row],[Soil TEXTURE Original Value]]="","",Master[[#This Row],[Soil TEXTURE Original Value]])</f>
        <v>Sand</v>
      </c>
    </row>
    <row r="150" spans="2:8" x14ac:dyDescent="0.25">
      <c r="B150" t="str">
        <f>Master[[#This Row],[Accession Prefix (NPGS)]]&amp;" "&amp;Master[[#This Row],[Accession Number -Assigned]]&amp;" COLLECTED "&amp;TEXT(Master[[#This Row],[Date Collected or Developed]], "MM/DD/YYYY")</f>
        <v>W6 59736 COLLECTED 10/07/2020</v>
      </c>
      <c r="C150" t="str">
        <f t="shared" ref="C150:C181" si="5">"SOIL TEXTURE"</f>
        <v>SOIL TEXTURE</v>
      </c>
      <c r="D150" s="17" t="str">
        <f>IF(Master[[#This Row],[SOIL TEXTURE - lookup picker]]="","",Master[[#This Row],[SOIL TEXTURE - lookup picker]])</f>
        <v/>
      </c>
      <c r="E150" s="109"/>
      <c r="G150" s="76" t="str">
        <f>IF(Master[[#This Row],[SOIL TEXTURE - lookup picker]]="","",Master[[#This Row],[SOIL TEXTURE - lookup picker]])</f>
        <v/>
      </c>
      <c r="H150" t="str">
        <f>IF(Master[[#This Row],[Soil TEXTURE Original Value]]="","",Master[[#This Row],[Soil TEXTURE Original Value]])</f>
        <v>Sand</v>
      </c>
    </row>
    <row r="151" spans="2:8" x14ac:dyDescent="0.25">
      <c r="B151" t="str">
        <f>Master[[#This Row],[Accession Prefix (NPGS)]]&amp;" "&amp;Master[[#This Row],[Accession Number -Assigned]]&amp;" COLLECTED "&amp;TEXT(Master[[#This Row],[Date Collected or Developed]], "MM/DD/YYYY")</f>
        <v>W6 59737 COLLECTED 08/18/2020</v>
      </c>
      <c r="C151" t="str">
        <f t="shared" si="5"/>
        <v>SOIL TEXTURE</v>
      </c>
      <c r="D151" s="17" t="str">
        <f>IF(Master[[#This Row],[SOIL TEXTURE - lookup picker]]="","",Master[[#This Row],[SOIL TEXTURE - lookup picker]])</f>
        <v/>
      </c>
      <c r="E151" s="109"/>
      <c r="G151" s="76" t="str">
        <f>IF(Master[[#This Row],[SOIL TEXTURE - lookup picker]]="","",Master[[#This Row],[SOIL TEXTURE - lookup picker]])</f>
        <v/>
      </c>
      <c r="H151" t="str">
        <f>IF(Master[[#This Row],[Soil TEXTURE Original Value]]="","",Master[[#This Row],[Soil TEXTURE Original Value]])</f>
        <v>Sand</v>
      </c>
    </row>
    <row r="152" spans="2:8" x14ac:dyDescent="0.25">
      <c r="B152" t="str">
        <f>Master[[#This Row],[Accession Prefix (NPGS)]]&amp;" "&amp;Master[[#This Row],[Accession Number -Assigned]]&amp;" COLLECTED "&amp;TEXT(Master[[#This Row],[Date Collected or Developed]], "MM/DD/YYYY")</f>
        <v xml:space="preserve">  COLLECTED 01/00/1900</v>
      </c>
      <c r="C152" t="str">
        <f t="shared" si="5"/>
        <v>SOIL TEXTURE</v>
      </c>
      <c r="D152" s="17" t="str">
        <f>IF(Master[[#This Row],[SOIL TEXTURE - lookup picker]]="","",Master[[#This Row],[SOIL TEXTURE - lookup picker]])</f>
        <v/>
      </c>
      <c r="E152" s="109"/>
      <c r="G152" s="76" t="str">
        <f>IF(Master[[#This Row],[SOIL TEXTURE - lookup picker]]="","",Master[[#This Row],[SOIL TEXTURE - lookup picker]])</f>
        <v/>
      </c>
      <c r="H152" t="str">
        <f>IF(Master[[#This Row],[Soil TEXTURE Original Value]]="","",Master[[#This Row],[Soil TEXTURE Original Value]])</f>
        <v/>
      </c>
    </row>
    <row r="153" spans="2:8" x14ac:dyDescent="0.25">
      <c r="B153" t="str">
        <f>Master[[#This Row],[Accession Prefix (NPGS)]]&amp;" "&amp;Master[[#This Row],[Accession Number -Assigned]]&amp;" COLLECTED "&amp;TEXT(Master[[#This Row],[Date Collected or Developed]], "MM/DD/YYYY")</f>
        <v xml:space="preserve">  COLLECTED 01/00/1900</v>
      </c>
      <c r="C153" t="str">
        <f t="shared" si="5"/>
        <v>SOIL TEXTURE</v>
      </c>
      <c r="D153" s="17" t="str">
        <f>IF(Master[[#This Row],[SOIL TEXTURE - lookup picker]]="","",Master[[#This Row],[SOIL TEXTURE - lookup picker]])</f>
        <v/>
      </c>
      <c r="E153" s="109"/>
      <c r="G153" s="76" t="str">
        <f>IF(Master[[#This Row],[SOIL TEXTURE - lookup picker]]="","",Master[[#This Row],[SOIL TEXTURE - lookup picker]])</f>
        <v/>
      </c>
      <c r="H153" t="str">
        <f>IF(Master[[#This Row],[Soil TEXTURE Original Value]]="","",Master[[#This Row],[Soil TEXTURE Original Value]])</f>
        <v/>
      </c>
    </row>
    <row r="154" spans="2:8" x14ac:dyDescent="0.25">
      <c r="B154" t="str">
        <f>Master[[#This Row],[Accession Prefix (NPGS)]]&amp;" "&amp;Master[[#This Row],[Accession Number -Assigned]]&amp;" COLLECTED "&amp;TEXT(Master[[#This Row],[Date Collected or Developed]], "MM/DD/YYYY")</f>
        <v xml:space="preserve">  COLLECTED 01/00/1900</v>
      </c>
      <c r="C154" t="str">
        <f t="shared" si="5"/>
        <v>SOIL TEXTURE</v>
      </c>
      <c r="D154" s="17" t="str">
        <f>IF(Master[[#This Row],[SOIL TEXTURE - lookup picker]]="","",Master[[#This Row],[SOIL TEXTURE - lookup picker]])</f>
        <v/>
      </c>
      <c r="E154" s="109"/>
      <c r="G154" s="76" t="str">
        <f>IF(Master[[#This Row],[SOIL TEXTURE - lookup picker]]="","",Master[[#This Row],[SOIL TEXTURE - lookup picker]])</f>
        <v/>
      </c>
      <c r="H154" t="str">
        <f>IF(Master[[#This Row],[Soil TEXTURE Original Value]]="","",Master[[#This Row],[Soil TEXTURE Original Value]])</f>
        <v/>
      </c>
    </row>
    <row r="155" spans="2:8" x14ac:dyDescent="0.25">
      <c r="B155" t="str">
        <f>Master[[#This Row],[Accession Prefix (NPGS)]]&amp;" "&amp;Master[[#This Row],[Accession Number -Assigned]]&amp;" COLLECTED "&amp;TEXT(Master[[#This Row],[Date Collected or Developed]], "MM/DD/YYYY")</f>
        <v xml:space="preserve">  COLLECTED 01/00/1900</v>
      </c>
      <c r="C155" t="str">
        <f t="shared" si="5"/>
        <v>SOIL TEXTURE</v>
      </c>
      <c r="D155" s="17" t="str">
        <f>IF(Master[[#This Row],[SOIL TEXTURE - lookup picker]]="","",Master[[#This Row],[SOIL TEXTURE - lookup picker]])</f>
        <v/>
      </c>
      <c r="E155" s="109"/>
      <c r="G155" s="76" t="str">
        <f>IF(Master[[#This Row],[SOIL TEXTURE - lookup picker]]="","",Master[[#This Row],[SOIL TEXTURE - lookup picker]])</f>
        <v/>
      </c>
      <c r="H155" t="str">
        <f>IF(Master[[#This Row],[Soil TEXTURE Original Value]]="","",Master[[#This Row],[Soil TEXTURE Original Value]])</f>
        <v/>
      </c>
    </row>
    <row r="156" spans="2:8" x14ac:dyDescent="0.25">
      <c r="B156" t="str">
        <f>Master[[#This Row],[Accession Prefix (NPGS)]]&amp;" "&amp;Master[[#This Row],[Accession Number -Assigned]]&amp;" COLLECTED "&amp;TEXT(Master[[#This Row],[Date Collected or Developed]], "MM/DD/YYYY")</f>
        <v xml:space="preserve">  COLLECTED 01/00/1900</v>
      </c>
      <c r="C156" t="str">
        <f t="shared" si="5"/>
        <v>SOIL TEXTURE</v>
      </c>
      <c r="D156" s="17" t="str">
        <f>IF(Master[[#This Row],[SOIL TEXTURE - lookup picker]]="","",Master[[#This Row],[SOIL TEXTURE - lookup picker]])</f>
        <v/>
      </c>
      <c r="E156" s="109"/>
      <c r="G156" s="76" t="str">
        <f>IF(Master[[#This Row],[SOIL TEXTURE - lookup picker]]="","",Master[[#This Row],[SOIL TEXTURE - lookup picker]])</f>
        <v/>
      </c>
      <c r="H156" t="str">
        <f>IF(Master[[#This Row],[Soil TEXTURE Original Value]]="","",Master[[#This Row],[Soil TEXTURE Original Value]])</f>
        <v/>
      </c>
    </row>
    <row r="157" spans="2:8" x14ac:dyDescent="0.25">
      <c r="B157" t="str">
        <f>Master[[#This Row],[Accession Prefix (NPGS)]]&amp;" "&amp;Master[[#This Row],[Accession Number -Assigned]]&amp;" COLLECTED "&amp;TEXT(Master[[#This Row],[Date Collected or Developed]], "MM/DD/YYYY")</f>
        <v xml:space="preserve">  COLLECTED 01/00/1900</v>
      </c>
      <c r="C157" t="str">
        <f t="shared" si="5"/>
        <v>SOIL TEXTURE</v>
      </c>
      <c r="D157" s="17" t="str">
        <f>IF(Master[[#This Row],[SOIL TEXTURE - lookup picker]]="","",Master[[#This Row],[SOIL TEXTURE - lookup picker]])</f>
        <v/>
      </c>
      <c r="E157" s="109"/>
      <c r="G157" s="76" t="str">
        <f>IF(Master[[#This Row],[SOIL TEXTURE - lookup picker]]="","",Master[[#This Row],[SOIL TEXTURE - lookup picker]])</f>
        <v/>
      </c>
      <c r="H157" t="str">
        <f>IF(Master[[#This Row],[Soil TEXTURE Original Value]]="","",Master[[#This Row],[Soil TEXTURE Original Value]])</f>
        <v/>
      </c>
    </row>
    <row r="158" spans="2:8" x14ac:dyDescent="0.25">
      <c r="B158" t="str">
        <f>Master[[#This Row],[Accession Prefix (NPGS)]]&amp;" "&amp;Master[[#This Row],[Accession Number -Assigned]]&amp;" COLLECTED "&amp;TEXT(Master[[#This Row],[Date Collected or Developed]], "MM/DD/YYYY")</f>
        <v xml:space="preserve">  COLLECTED 01/00/1900</v>
      </c>
      <c r="C158" t="str">
        <f t="shared" si="5"/>
        <v>SOIL TEXTURE</v>
      </c>
      <c r="D158" s="17" t="str">
        <f>IF(Master[[#This Row],[SOIL TEXTURE - lookup picker]]="","",Master[[#This Row],[SOIL TEXTURE - lookup picker]])</f>
        <v/>
      </c>
      <c r="E158" s="109"/>
      <c r="G158" s="76" t="str">
        <f>IF(Master[[#This Row],[SOIL TEXTURE - lookup picker]]="","",Master[[#This Row],[SOIL TEXTURE - lookup picker]])</f>
        <v/>
      </c>
      <c r="H158" t="str">
        <f>IF(Master[[#This Row],[Soil TEXTURE Original Value]]="","",Master[[#This Row],[Soil TEXTURE Original Value]])</f>
        <v/>
      </c>
    </row>
    <row r="159" spans="2:8" x14ac:dyDescent="0.25">
      <c r="B159" t="str">
        <f>Master[[#This Row],[Accession Prefix (NPGS)]]&amp;" "&amp;Master[[#This Row],[Accession Number -Assigned]]&amp;" COLLECTED "&amp;TEXT(Master[[#This Row],[Date Collected or Developed]], "MM/DD/YYYY")</f>
        <v xml:space="preserve">  COLLECTED 01/00/1900</v>
      </c>
      <c r="C159" t="str">
        <f t="shared" si="5"/>
        <v>SOIL TEXTURE</v>
      </c>
      <c r="D159" s="17" t="str">
        <f>IF(Master[[#This Row],[SOIL TEXTURE - lookup picker]]="","",Master[[#This Row],[SOIL TEXTURE - lookup picker]])</f>
        <v/>
      </c>
      <c r="E159" s="109"/>
      <c r="G159" s="76" t="str">
        <f>IF(Master[[#This Row],[SOIL TEXTURE - lookup picker]]="","",Master[[#This Row],[SOIL TEXTURE - lookup picker]])</f>
        <v/>
      </c>
      <c r="H159" t="str">
        <f>IF(Master[[#This Row],[Soil TEXTURE Original Value]]="","",Master[[#This Row],[Soil TEXTURE Original Value]])</f>
        <v/>
      </c>
    </row>
    <row r="160" spans="2:8" x14ac:dyDescent="0.25">
      <c r="B160" t="str">
        <f>Master[[#This Row],[Accession Prefix (NPGS)]]&amp;" "&amp;Master[[#This Row],[Accession Number -Assigned]]&amp;" COLLECTED "&amp;TEXT(Master[[#This Row],[Date Collected or Developed]], "MM/DD/YYYY")</f>
        <v xml:space="preserve">  COLLECTED 01/00/1900</v>
      </c>
      <c r="C160" t="str">
        <f t="shared" si="5"/>
        <v>SOIL TEXTURE</v>
      </c>
      <c r="D160" s="17" t="str">
        <f>IF(Master[[#This Row],[SOIL TEXTURE - lookup picker]]="","",Master[[#This Row],[SOIL TEXTURE - lookup picker]])</f>
        <v/>
      </c>
      <c r="E160" s="109"/>
      <c r="G160" s="76" t="str">
        <f>IF(Master[[#This Row],[SOIL TEXTURE - lookup picker]]="","",Master[[#This Row],[SOIL TEXTURE - lookup picker]])</f>
        <v/>
      </c>
      <c r="H160" t="str">
        <f>IF(Master[[#This Row],[Soil TEXTURE Original Value]]="","",Master[[#This Row],[Soil TEXTURE Original Value]])</f>
        <v/>
      </c>
    </row>
    <row r="161" spans="2:8" x14ac:dyDescent="0.25">
      <c r="B161" t="str">
        <f>Master[[#This Row],[Accession Prefix (NPGS)]]&amp;" "&amp;Master[[#This Row],[Accession Number -Assigned]]&amp;" COLLECTED "&amp;TEXT(Master[[#This Row],[Date Collected or Developed]], "MM/DD/YYYY")</f>
        <v xml:space="preserve">  COLLECTED 01/00/1900</v>
      </c>
      <c r="C161" t="str">
        <f t="shared" si="5"/>
        <v>SOIL TEXTURE</v>
      </c>
      <c r="D161" s="17" t="str">
        <f>IF(Master[[#This Row],[SOIL TEXTURE - lookup picker]]="","",Master[[#This Row],[SOIL TEXTURE - lookup picker]])</f>
        <v/>
      </c>
      <c r="E161" s="109"/>
      <c r="G161" s="76" t="str">
        <f>IF(Master[[#This Row],[SOIL TEXTURE - lookup picker]]="","",Master[[#This Row],[SOIL TEXTURE - lookup picker]])</f>
        <v/>
      </c>
      <c r="H161" t="str">
        <f>IF(Master[[#This Row],[Soil TEXTURE Original Value]]="","",Master[[#This Row],[Soil TEXTURE Original Value]])</f>
        <v/>
      </c>
    </row>
    <row r="162" spans="2:8" x14ac:dyDescent="0.25">
      <c r="B162" t="str">
        <f>Master[[#This Row],[Accession Prefix (NPGS)]]&amp;" "&amp;Master[[#This Row],[Accession Number -Assigned]]&amp;" COLLECTED "&amp;TEXT(Master[[#This Row],[Date Collected or Developed]], "MM/DD/YYYY")</f>
        <v xml:space="preserve">  COLLECTED 01/00/1900</v>
      </c>
      <c r="C162" t="str">
        <f t="shared" si="5"/>
        <v>SOIL TEXTURE</v>
      </c>
      <c r="D162" s="17" t="str">
        <f>IF(Master[[#This Row],[SOIL TEXTURE - lookup picker]]="","",Master[[#This Row],[SOIL TEXTURE - lookup picker]])</f>
        <v/>
      </c>
      <c r="E162" s="109"/>
      <c r="G162" s="76" t="str">
        <f>IF(Master[[#This Row],[SOIL TEXTURE - lookup picker]]="","",Master[[#This Row],[SOIL TEXTURE - lookup picker]])</f>
        <v/>
      </c>
      <c r="H162" t="str">
        <f>IF(Master[[#This Row],[Soil TEXTURE Original Value]]="","",Master[[#This Row],[Soil TEXTURE Original Value]])</f>
        <v/>
      </c>
    </row>
    <row r="163" spans="2:8" x14ac:dyDescent="0.25">
      <c r="B163" t="str">
        <f>Master[[#This Row],[Accession Prefix (NPGS)]]&amp;" "&amp;Master[[#This Row],[Accession Number -Assigned]]&amp;" COLLECTED "&amp;TEXT(Master[[#This Row],[Date Collected or Developed]], "MM/DD/YYYY")</f>
        <v xml:space="preserve">  COLLECTED 01/00/1900</v>
      </c>
      <c r="C163" t="str">
        <f t="shared" si="5"/>
        <v>SOIL TEXTURE</v>
      </c>
      <c r="D163" s="17" t="str">
        <f>IF(Master[[#This Row],[SOIL TEXTURE - lookup picker]]="","",Master[[#This Row],[SOIL TEXTURE - lookup picker]])</f>
        <v/>
      </c>
      <c r="E163" s="109"/>
      <c r="G163" s="76" t="str">
        <f>IF(Master[[#This Row],[SOIL TEXTURE - lookup picker]]="","",Master[[#This Row],[SOIL TEXTURE - lookup picker]])</f>
        <v/>
      </c>
      <c r="H163" t="str">
        <f>IF(Master[[#This Row],[Soil TEXTURE Original Value]]="","",Master[[#This Row],[Soil TEXTURE Original Value]])</f>
        <v/>
      </c>
    </row>
    <row r="164" spans="2:8" x14ac:dyDescent="0.25">
      <c r="B164" t="str">
        <f>Master[[#This Row],[Accession Prefix (NPGS)]]&amp;" "&amp;Master[[#This Row],[Accession Number -Assigned]]&amp;" COLLECTED "&amp;TEXT(Master[[#This Row],[Date Collected or Developed]], "MM/DD/YYYY")</f>
        <v xml:space="preserve">  COLLECTED 01/00/1900</v>
      </c>
      <c r="C164" t="str">
        <f t="shared" si="5"/>
        <v>SOIL TEXTURE</v>
      </c>
      <c r="D164" s="17" t="str">
        <f>IF(Master[[#This Row],[SOIL TEXTURE - lookup picker]]="","",Master[[#This Row],[SOIL TEXTURE - lookup picker]])</f>
        <v/>
      </c>
      <c r="E164" s="109"/>
      <c r="G164" s="76" t="str">
        <f>IF(Master[[#This Row],[SOIL TEXTURE - lookup picker]]="","",Master[[#This Row],[SOIL TEXTURE - lookup picker]])</f>
        <v/>
      </c>
      <c r="H164" t="str">
        <f>IF(Master[[#This Row],[Soil TEXTURE Original Value]]="","",Master[[#This Row],[Soil TEXTURE Original Value]])</f>
        <v/>
      </c>
    </row>
    <row r="165" spans="2:8" x14ac:dyDescent="0.25">
      <c r="B165" t="str">
        <f>Master[[#This Row],[Accession Prefix (NPGS)]]&amp;" "&amp;Master[[#This Row],[Accession Number -Assigned]]&amp;" COLLECTED "&amp;TEXT(Master[[#This Row],[Date Collected or Developed]], "MM/DD/YYYY")</f>
        <v xml:space="preserve">  COLLECTED 01/00/1900</v>
      </c>
      <c r="C165" t="str">
        <f t="shared" si="5"/>
        <v>SOIL TEXTURE</v>
      </c>
      <c r="D165" s="17" t="str">
        <f>IF(Master[[#This Row],[SOIL TEXTURE - lookup picker]]="","",Master[[#This Row],[SOIL TEXTURE - lookup picker]])</f>
        <v/>
      </c>
      <c r="E165" s="109"/>
      <c r="G165" s="76" t="str">
        <f>IF(Master[[#This Row],[SOIL TEXTURE - lookup picker]]="","",Master[[#This Row],[SOIL TEXTURE - lookup picker]])</f>
        <v/>
      </c>
      <c r="H165" t="str">
        <f>IF(Master[[#This Row],[Soil TEXTURE Original Value]]="","",Master[[#This Row],[Soil TEXTURE Original Value]])</f>
        <v/>
      </c>
    </row>
    <row r="166" spans="2:8" x14ac:dyDescent="0.25">
      <c r="B166" t="str">
        <f>Master[[#This Row],[Accession Prefix (NPGS)]]&amp;" "&amp;Master[[#This Row],[Accession Number -Assigned]]&amp;" COLLECTED "&amp;TEXT(Master[[#This Row],[Date Collected or Developed]], "MM/DD/YYYY")</f>
        <v xml:space="preserve">  COLLECTED 01/00/1900</v>
      </c>
      <c r="C166" t="str">
        <f t="shared" si="5"/>
        <v>SOIL TEXTURE</v>
      </c>
      <c r="D166" s="17" t="str">
        <f>IF(Master[[#This Row],[SOIL TEXTURE - lookup picker]]="","",Master[[#This Row],[SOIL TEXTURE - lookup picker]])</f>
        <v/>
      </c>
      <c r="E166" s="109"/>
      <c r="G166" s="76" t="str">
        <f>IF(Master[[#This Row],[SOIL TEXTURE - lookup picker]]="","",Master[[#This Row],[SOIL TEXTURE - lookup picker]])</f>
        <v/>
      </c>
      <c r="H166" t="str">
        <f>IF(Master[[#This Row],[Soil TEXTURE Original Value]]="","",Master[[#This Row],[Soil TEXTURE Original Value]])</f>
        <v/>
      </c>
    </row>
    <row r="167" spans="2:8" x14ac:dyDescent="0.25">
      <c r="B167" t="str">
        <f>Master[[#This Row],[Accession Prefix (NPGS)]]&amp;" "&amp;Master[[#This Row],[Accession Number -Assigned]]&amp;" COLLECTED "&amp;TEXT(Master[[#This Row],[Date Collected or Developed]], "MM/DD/YYYY")</f>
        <v xml:space="preserve">  COLLECTED 01/00/1900</v>
      </c>
      <c r="C167" t="str">
        <f t="shared" si="5"/>
        <v>SOIL TEXTURE</v>
      </c>
      <c r="D167" s="17" t="str">
        <f>IF(Master[[#This Row],[SOIL TEXTURE - lookup picker]]="","",Master[[#This Row],[SOIL TEXTURE - lookup picker]])</f>
        <v/>
      </c>
      <c r="E167" s="109"/>
      <c r="G167" s="76" t="str">
        <f>IF(Master[[#This Row],[SOIL TEXTURE - lookup picker]]="","",Master[[#This Row],[SOIL TEXTURE - lookup picker]])</f>
        <v/>
      </c>
      <c r="H167" t="str">
        <f>IF(Master[[#This Row],[Soil TEXTURE Original Value]]="","",Master[[#This Row],[Soil TEXTURE Original Value]])</f>
        <v/>
      </c>
    </row>
    <row r="168" spans="2:8" x14ac:dyDescent="0.25">
      <c r="B168" t="str">
        <f>Master[[#This Row],[Accession Prefix (NPGS)]]&amp;" "&amp;Master[[#This Row],[Accession Number -Assigned]]&amp;" COLLECTED "&amp;TEXT(Master[[#This Row],[Date Collected or Developed]], "MM/DD/YYYY")</f>
        <v xml:space="preserve">  COLLECTED 01/00/1900</v>
      </c>
      <c r="C168" t="str">
        <f t="shared" si="5"/>
        <v>SOIL TEXTURE</v>
      </c>
      <c r="D168" s="17" t="str">
        <f>IF(Master[[#This Row],[SOIL TEXTURE - lookup picker]]="","",Master[[#This Row],[SOIL TEXTURE - lookup picker]])</f>
        <v/>
      </c>
      <c r="E168" s="109"/>
      <c r="G168" s="76" t="str">
        <f>IF(Master[[#This Row],[SOIL TEXTURE - lookup picker]]="","",Master[[#This Row],[SOIL TEXTURE - lookup picker]])</f>
        <v/>
      </c>
      <c r="H168" t="str">
        <f>IF(Master[[#This Row],[Soil TEXTURE Original Value]]="","",Master[[#This Row],[Soil TEXTURE Original Value]])</f>
        <v/>
      </c>
    </row>
    <row r="169" spans="2:8" x14ac:dyDescent="0.25">
      <c r="B169" t="str">
        <f>Master[[#This Row],[Accession Prefix (NPGS)]]&amp;" "&amp;Master[[#This Row],[Accession Number -Assigned]]&amp;" COLLECTED "&amp;TEXT(Master[[#This Row],[Date Collected or Developed]], "MM/DD/YYYY")</f>
        <v xml:space="preserve">  COLLECTED 01/00/1900</v>
      </c>
      <c r="C169" t="str">
        <f t="shared" si="5"/>
        <v>SOIL TEXTURE</v>
      </c>
      <c r="D169" s="17" t="str">
        <f>IF(Master[[#This Row],[SOIL TEXTURE - lookup picker]]="","",Master[[#This Row],[SOIL TEXTURE - lookup picker]])</f>
        <v/>
      </c>
      <c r="E169" s="109"/>
      <c r="G169" s="76" t="str">
        <f>IF(Master[[#This Row],[SOIL TEXTURE - lookup picker]]="","",Master[[#This Row],[SOIL TEXTURE - lookup picker]])</f>
        <v/>
      </c>
      <c r="H169" t="str">
        <f>IF(Master[[#This Row],[Soil TEXTURE Original Value]]="","",Master[[#This Row],[Soil TEXTURE Original Value]])</f>
        <v/>
      </c>
    </row>
    <row r="170" spans="2:8" x14ac:dyDescent="0.25">
      <c r="B170" t="str">
        <f>Master[[#This Row],[Accession Prefix (NPGS)]]&amp;" "&amp;Master[[#This Row],[Accession Number -Assigned]]&amp;" COLLECTED "&amp;TEXT(Master[[#This Row],[Date Collected or Developed]], "MM/DD/YYYY")</f>
        <v xml:space="preserve">  COLLECTED 01/00/1900</v>
      </c>
      <c r="C170" t="str">
        <f t="shared" si="5"/>
        <v>SOIL TEXTURE</v>
      </c>
      <c r="D170" s="17" t="str">
        <f>IF(Master[[#This Row],[SOIL TEXTURE - lookup picker]]="","",Master[[#This Row],[SOIL TEXTURE - lookup picker]])</f>
        <v/>
      </c>
      <c r="E170" s="109"/>
      <c r="G170" s="76" t="str">
        <f>IF(Master[[#This Row],[SOIL TEXTURE - lookup picker]]="","",Master[[#This Row],[SOIL TEXTURE - lookup picker]])</f>
        <v/>
      </c>
      <c r="H170" t="str">
        <f>IF(Master[[#This Row],[Soil TEXTURE Original Value]]="","",Master[[#This Row],[Soil TEXTURE Original Value]])</f>
        <v/>
      </c>
    </row>
    <row r="171" spans="2:8" x14ac:dyDescent="0.25">
      <c r="B171" t="str">
        <f>Master[[#This Row],[Accession Prefix (NPGS)]]&amp;" "&amp;Master[[#This Row],[Accession Number -Assigned]]&amp;" COLLECTED "&amp;TEXT(Master[[#This Row],[Date Collected or Developed]], "MM/DD/YYYY")</f>
        <v xml:space="preserve">  COLLECTED 01/00/1900</v>
      </c>
      <c r="C171" t="str">
        <f t="shared" si="5"/>
        <v>SOIL TEXTURE</v>
      </c>
      <c r="D171" s="17" t="str">
        <f>IF(Master[[#This Row],[SOIL TEXTURE - lookup picker]]="","",Master[[#This Row],[SOIL TEXTURE - lookup picker]])</f>
        <v/>
      </c>
      <c r="E171" s="109"/>
      <c r="G171" s="76" t="str">
        <f>IF(Master[[#This Row],[SOIL TEXTURE - lookup picker]]="","",Master[[#This Row],[SOIL TEXTURE - lookup picker]])</f>
        <v/>
      </c>
      <c r="H171" t="str">
        <f>IF(Master[[#This Row],[Soil TEXTURE Original Value]]="","",Master[[#This Row],[Soil TEXTURE Original Value]])</f>
        <v/>
      </c>
    </row>
    <row r="172" spans="2:8" x14ac:dyDescent="0.25">
      <c r="B172" t="str">
        <f>Master[[#This Row],[Accession Prefix (NPGS)]]&amp;" "&amp;Master[[#This Row],[Accession Number -Assigned]]&amp;" COLLECTED "&amp;TEXT(Master[[#This Row],[Date Collected or Developed]], "MM/DD/YYYY")</f>
        <v xml:space="preserve">  COLLECTED 01/00/1900</v>
      </c>
      <c r="C172" t="str">
        <f t="shared" si="5"/>
        <v>SOIL TEXTURE</v>
      </c>
      <c r="D172" s="17" t="str">
        <f>IF(Master[[#This Row],[SOIL TEXTURE - lookup picker]]="","",Master[[#This Row],[SOIL TEXTURE - lookup picker]])</f>
        <v/>
      </c>
      <c r="E172" s="109"/>
      <c r="G172" s="76" t="str">
        <f>IF(Master[[#This Row],[SOIL TEXTURE - lookup picker]]="","",Master[[#This Row],[SOIL TEXTURE - lookup picker]])</f>
        <v/>
      </c>
      <c r="H172" t="str">
        <f>IF(Master[[#This Row],[Soil TEXTURE Original Value]]="","",Master[[#This Row],[Soil TEXTURE Original Value]])</f>
        <v/>
      </c>
    </row>
    <row r="173" spans="2:8" x14ac:dyDescent="0.25">
      <c r="B173" t="str">
        <f>Master[[#This Row],[Accession Prefix (NPGS)]]&amp;" "&amp;Master[[#This Row],[Accession Number -Assigned]]&amp;" COLLECTED "&amp;TEXT(Master[[#This Row],[Date Collected or Developed]], "MM/DD/YYYY")</f>
        <v xml:space="preserve">  COLLECTED 01/00/1900</v>
      </c>
      <c r="C173" t="str">
        <f t="shared" si="5"/>
        <v>SOIL TEXTURE</v>
      </c>
      <c r="D173" s="17" t="str">
        <f>IF(Master[[#This Row],[SOIL TEXTURE - lookup picker]]="","",Master[[#This Row],[SOIL TEXTURE - lookup picker]])</f>
        <v/>
      </c>
      <c r="E173" s="109"/>
      <c r="G173" s="76" t="str">
        <f>IF(Master[[#This Row],[SOIL TEXTURE - lookup picker]]="","",Master[[#This Row],[SOIL TEXTURE - lookup picker]])</f>
        <v/>
      </c>
      <c r="H173" t="str">
        <f>IF(Master[[#This Row],[Soil TEXTURE Original Value]]="","",Master[[#This Row],[Soil TEXTURE Original Value]])</f>
        <v/>
      </c>
    </row>
    <row r="174" spans="2:8" x14ac:dyDescent="0.25">
      <c r="B174" t="str">
        <f>Master[[#This Row],[Accession Prefix (NPGS)]]&amp;" "&amp;Master[[#This Row],[Accession Number -Assigned]]&amp;" COLLECTED "&amp;TEXT(Master[[#This Row],[Date Collected or Developed]], "MM/DD/YYYY")</f>
        <v xml:space="preserve">  COLLECTED 01/00/1900</v>
      </c>
      <c r="C174" t="str">
        <f t="shared" si="5"/>
        <v>SOIL TEXTURE</v>
      </c>
      <c r="D174" s="17" t="str">
        <f>IF(Master[[#This Row],[SOIL TEXTURE - lookup picker]]="","",Master[[#This Row],[SOIL TEXTURE - lookup picker]])</f>
        <v/>
      </c>
      <c r="E174" s="109"/>
      <c r="G174" s="76" t="str">
        <f>IF(Master[[#This Row],[SOIL TEXTURE - lookup picker]]="","",Master[[#This Row],[SOIL TEXTURE - lookup picker]])</f>
        <v/>
      </c>
      <c r="H174" t="str">
        <f>IF(Master[[#This Row],[Soil TEXTURE Original Value]]="","",Master[[#This Row],[Soil TEXTURE Original Value]])</f>
        <v/>
      </c>
    </row>
    <row r="175" spans="2:8" x14ac:dyDescent="0.25">
      <c r="B175" t="str">
        <f>Master[[#This Row],[Accession Prefix (NPGS)]]&amp;" "&amp;Master[[#This Row],[Accession Number -Assigned]]&amp;" COLLECTED "&amp;TEXT(Master[[#This Row],[Date Collected or Developed]], "MM/DD/YYYY")</f>
        <v xml:space="preserve">  COLLECTED 01/00/1900</v>
      </c>
      <c r="C175" t="str">
        <f t="shared" si="5"/>
        <v>SOIL TEXTURE</v>
      </c>
      <c r="D175" s="17" t="str">
        <f>IF(Master[[#This Row],[SOIL TEXTURE - lookup picker]]="","",Master[[#This Row],[SOIL TEXTURE - lookup picker]])</f>
        <v/>
      </c>
      <c r="E175" s="109"/>
      <c r="G175" s="76" t="str">
        <f>IF(Master[[#This Row],[SOIL TEXTURE - lookup picker]]="","",Master[[#This Row],[SOIL TEXTURE - lookup picker]])</f>
        <v/>
      </c>
      <c r="H175" t="str">
        <f>IF(Master[[#This Row],[Soil TEXTURE Original Value]]="","",Master[[#This Row],[Soil TEXTURE Original Value]])</f>
        <v/>
      </c>
    </row>
    <row r="176" spans="2:8" x14ac:dyDescent="0.25">
      <c r="B176" t="str">
        <f>Master[[#This Row],[Accession Prefix (NPGS)]]&amp;" "&amp;Master[[#This Row],[Accession Number -Assigned]]&amp;" COLLECTED "&amp;TEXT(Master[[#This Row],[Date Collected or Developed]], "MM/DD/YYYY")</f>
        <v xml:space="preserve">  COLLECTED 01/00/1900</v>
      </c>
      <c r="C176" t="str">
        <f t="shared" si="5"/>
        <v>SOIL TEXTURE</v>
      </c>
      <c r="D176" s="17" t="str">
        <f>IF(Master[[#This Row],[SOIL TEXTURE - lookup picker]]="","",Master[[#This Row],[SOIL TEXTURE - lookup picker]])</f>
        <v/>
      </c>
      <c r="E176" s="109"/>
      <c r="G176" s="76" t="str">
        <f>IF(Master[[#This Row],[SOIL TEXTURE - lookup picker]]="","",Master[[#This Row],[SOIL TEXTURE - lookup picker]])</f>
        <v/>
      </c>
      <c r="H176" t="str">
        <f>IF(Master[[#This Row],[Soil TEXTURE Original Value]]="","",Master[[#This Row],[Soil TEXTURE Original Value]])</f>
        <v/>
      </c>
    </row>
    <row r="177" spans="2:8" x14ac:dyDescent="0.25">
      <c r="B177" t="str">
        <f>Master[[#This Row],[Accession Prefix (NPGS)]]&amp;" "&amp;Master[[#This Row],[Accession Number -Assigned]]&amp;" COLLECTED "&amp;TEXT(Master[[#This Row],[Date Collected or Developed]], "MM/DD/YYYY")</f>
        <v xml:space="preserve">  COLLECTED 01/00/1900</v>
      </c>
      <c r="C177" t="str">
        <f t="shared" si="5"/>
        <v>SOIL TEXTURE</v>
      </c>
      <c r="D177" s="17" t="str">
        <f>IF(Master[[#This Row],[SOIL TEXTURE - lookup picker]]="","",Master[[#This Row],[SOIL TEXTURE - lookup picker]])</f>
        <v/>
      </c>
      <c r="E177" s="109"/>
      <c r="G177" s="76" t="str">
        <f>IF(Master[[#This Row],[SOIL TEXTURE - lookup picker]]="","",Master[[#This Row],[SOIL TEXTURE - lookup picker]])</f>
        <v/>
      </c>
      <c r="H177" t="str">
        <f>IF(Master[[#This Row],[Soil TEXTURE Original Value]]="","",Master[[#This Row],[Soil TEXTURE Original Value]])</f>
        <v/>
      </c>
    </row>
    <row r="178" spans="2:8" x14ac:dyDescent="0.25">
      <c r="B178" t="str">
        <f>Master[[#This Row],[Accession Prefix (NPGS)]]&amp;" "&amp;Master[[#This Row],[Accession Number -Assigned]]&amp;" COLLECTED "&amp;TEXT(Master[[#This Row],[Date Collected or Developed]], "MM/DD/YYYY")</f>
        <v xml:space="preserve">  COLLECTED 01/00/1900</v>
      </c>
      <c r="C178" t="str">
        <f t="shared" si="5"/>
        <v>SOIL TEXTURE</v>
      </c>
      <c r="D178" s="17" t="str">
        <f>IF(Master[[#This Row],[SOIL TEXTURE - lookup picker]]="","",Master[[#This Row],[SOIL TEXTURE - lookup picker]])</f>
        <v/>
      </c>
      <c r="E178" s="109"/>
      <c r="G178" s="76" t="str">
        <f>IF(Master[[#This Row],[SOIL TEXTURE - lookup picker]]="","",Master[[#This Row],[SOIL TEXTURE - lookup picker]])</f>
        <v/>
      </c>
      <c r="H178" t="str">
        <f>IF(Master[[#This Row],[Soil TEXTURE Original Value]]="","",Master[[#This Row],[Soil TEXTURE Original Value]])</f>
        <v/>
      </c>
    </row>
    <row r="179" spans="2:8" x14ac:dyDescent="0.25">
      <c r="B179" t="str">
        <f>Master[[#This Row],[Accession Prefix (NPGS)]]&amp;" "&amp;Master[[#This Row],[Accession Number -Assigned]]&amp;" COLLECTED "&amp;TEXT(Master[[#This Row],[Date Collected or Developed]], "MM/DD/YYYY")</f>
        <v xml:space="preserve">  COLLECTED 01/00/1900</v>
      </c>
      <c r="C179" t="str">
        <f t="shared" si="5"/>
        <v>SOIL TEXTURE</v>
      </c>
      <c r="D179" s="17" t="str">
        <f>IF(Master[[#This Row],[SOIL TEXTURE - lookup picker]]="","",Master[[#This Row],[SOIL TEXTURE - lookup picker]])</f>
        <v/>
      </c>
      <c r="E179" s="109"/>
      <c r="G179" s="76" t="str">
        <f>IF(Master[[#This Row],[SOIL TEXTURE - lookup picker]]="","",Master[[#This Row],[SOIL TEXTURE - lookup picker]])</f>
        <v/>
      </c>
      <c r="H179" t="str">
        <f>IF(Master[[#This Row],[Soil TEXTURE Original Value]]="","",Master[[#This Row],[Soil TEXTURE Original Value]])</f>
        <v/>
      </c>
    </row>
    <row r="180" spans="2:8" x14ac:dyDescent="0.25">
      <c r="B180" t="str">
        <f>Master[[#This Row],[Accession Prefix (NPGS)]]&amp;" "&amp;Master[[#This Row],[Accession Number -Assigned]]&amp;" COLLECTED "&amp;TEXT(Master[[#This Row],[Date Collected or Developed]], "MM/DD/YYYY")</f>
        <v xml:space="preserve">  COLLECTED 01/00/1900</v>
      </c>
      <c r="C180" t="str">
        <f t="shared" si="5"/>
        <v>SOIL TEXTURE</v>
      </c>
      <c r="D180" s="17" t="str">
        <f>IF(Master[[#This Row],[SOIL TEXTURE - lookup picker]]="","",Master[[#This Row],[SOIL TEXTURE - lookup picker]])</f>
        <v/>
      </c>
      <c r="E180" s="109"/>
      <c r="G180" s="76" t="str">
        <f>IF(Master[[#This Row],[SOIL TEXTURE - lookup picker]]="","",Master[[#This Row],[SOIL TEXTURE - lookup picker]])</f>
        <v/>
      </c>
      <c r="H180" t="str">
        <f>IF(Master[[#This Row],[Soil TEXTURE Original Value]]="","",Master[[#This Row],[Soil TEXTURE Original Value]])</f>
        <v/>
      </c>
    </row>
    <row r="181" spans="2:8" x14ac:dyDescent="0.25">
      <c r="B181" t="str">
        <f>Master[[#This Row],[Accession Prefix (NPGS)]]&amp;" "&amp;Master[[#This Row],[Accession Number -Assigned]]&amp;" COLLECTED "&amp;TEXT(Master[[#This Row],[Date Collected or Developed]], "MM/DD/YYYY")</f>
        <v xml:space="preserve">  COLLECTED 01/00/1900</v>
      </c>
      <c r="C181" t="str">
        <f t="shared" si="5"/>
        <v>SOIL TEXTURE</v>
      </c>
      <c r="D181" s="17" t="str">
        <f>IF(Master[[#This Row],[SOIL TEXTURE - lookup picker]]="","",Master[[#This Row],[SOIL TEXTURE - lookup picker]])</f>
        <v/>
      </c>
      <c r="E181" s="109"/>
      <c r="G181" s="76" t="str">
        <f>IF(Master[[#This Row],[SOIL TEXTURE - lookup picker]]="","",Master[[#This Row],[SOIL TEXTURE - lookup picker]])</f>
        <v/>
      </c>
      <c r="H181" t="str">
        <f>IF(Master[[#This Row],[Soil TEXTURE Original Value]]="","",Master[[#This Row],[Soil TEXTURE Original Value]])</f>
        <v/>
      </c>
    </row>
    <row r="182" spans="2:8" x14ac:dyDescent="0.25">
      <c r="B182" t="str">
        <f>Master[[#This Row],[Accession Prefix (NPGS)]]&amp;" "&amp;Master[[#This Row],[Accession Number -Assigned]]&amp;" COLLECTED "&amp;TEXT(Master[[#This Row],[Date Collected or Developed]], "MM/DD/YYYY")</f>
        <v xml:space="preserve">  COLLECTED 01/00/1900</v>
      </c>
      <c r="C182" t="str">
        <f t="shared" ref="C182:C201" si="6">"SOIL TEXTURE"</f>
        <v>SOIL TEXTURE</v>
      </c>
      <c r="D182" s="17" t="str">
        <f>IF(Master[[#This Row],[SOIL TEXTURE - lookup picker]]="","",Master[[#This Row],[SOIL TEXTURE - lookup picker]])</f>
        <v/>
      </c>
      <c r="E182" s="109"/>
      <c r="G182" s="76" t="str">
        <f>IF(Master[[#This Row],[SOIL TEXTURE - lookup picker]]="","",Master[[#This Row],[SOIL TEXTURE - lookup picker]])</f>
        <v/>
      </c>
      <c r="H182" t="str">
        <f>IF(Master[[#This Row],[Soil TEXTURE Original Value]]="","",Master[[#This Row],[Soil TEXTURE Original Value]])</f>
        <v/>
      </c>
    </row>
    <row r="183" spans="2:8" x14ac:dyDescent="0.25">
      <c r="B183" t="str">
        <f>Master[[#This Row],[Accession Prefix (NPGS)]]&amp;" "&amp;Master[[#This Row],[Accession Number -Assigned]]&amp;" COLLECTED "&amp;TEXT(Master[[#This Row],[Date Collected or Developed]], "MM/DD/YYYY")</f>
        <v xml:space="preserve">  COLLECTED 01/00/1900</v>
      </c>
      <c r="C183" t="str">
        <f t="shared" si="6"/>
        <v>SOIL TEXTURE</v>
      </c>
      <c r="D183" s="17" t="str">
        <f>IF(Master[[#This Row],[SOIL TEXTURE - lookup picker]]="","",Master[[#This Row],[SOIL TEXTURE - lookup picker]])</f>
        <v/>
      </c>
      <c r="E183" s="109"/>
      <c r="G183" s="76" t="str">
        <f>IF(Master[[#This Row],[SOIL TEXTURE - lookup picker]]="","",Master[[#This Row],[SOIL TEXTURE - lookup picker]])</f>
        <v/>
      </c>
      <c r="H183" t="str">
        <f>IF(Master[[#This Row],[Soil TEXTURE Original Value]]="","",Master[[#This Row],[Soil TEXTURE Original Value]])</f>
        <v/>
      </c>
    </row>
    <row r="184" spans="2:8" x14ac:dyDescent="0.25">
      <c r="B184" t="str">
        <f>Master[[#This Row],[Accession Prefix (NPGS)]]&amp;" "&amp;Master[[#This Row],[Accession Number -Assigned]]&amp;" COLLECTED "&amp;TEXT(Master[[#This Row],[Date Collected or Developed]], "MM/DD/YYYY")</f>
        <v xml:space="preserve">  COLLECTED 01/00/1900</v>
      </c>
      <c r="C184" t="str">
        <f t="shared" si="6"/>
        <v>SOIL TEXTURE</v>
      </c>
      <c r="D184" s="17" t="str">
        <f>IF(Master[[#This Row],[SOIL TEXTURE - lookup picker]]="","",Master[[#This Row],[SOIL TEXTURE - lookup picker]])</f>
        <v/>
      </c>
      <c r="E184" s="109"/>
      <c r="G184" s="76" t="str">
        <f>IF(Master[[#This Row],[SOIL TEXTURE - lookup picker]]="","",Master[[#This Row],[SOIL TEXTURE - lookup picker]])</f>
        <v/>
      </c>
      <c r="H184" t="str">
        <f>IF(Master[[#This Row],[Soil TEXTURE Original Value]]="","",Master[[#This Row],[Soil TEXTURE Original Value]])</f>
        <v/>
      </c>
    </row>
    <row r="185" spans="2:8" x14ac:dyDescent="0.25">
      <c r="B185" t="str">
        <f>Master[[#This Row],[Accession Prefix (NPGS)]]&amp;" "&amp;Master[[#This Row],[Accession Number -Assigned]]&amp;" COLLECTED "&amp;TEXT(Master[[#This Row],[Date Collected or Developed]], "MM/DD/YYYY")</f>
        <v xml:space="preserve">  COLLECTED 01/00/1900</v>
      </c>
      <c r="C185" t="str">
        <f t="shared" si="6"/>
        <v>SOIL TEXTURE</v>
      </c>
      <c r="D185" s="17" t="str">
        <f>IF(Master[[#This Row],[SOIL TEXTURE - lookup picker]]="","",Master[[#This Row],[SOIL TEXTURE - lookup picker]])</f>
        <v/>
      </c>
      <c r="E185" s="109"/>
      <c r="G185" s="76" t="str">
        <f>IF(Master[[#This Row],[SOIL TEXTURE - lookup picker]]="","",Master[[#This Row],[SOIL TEXTURE - lookup picker]])</f>
        <v/>
      </c>
      <c r="H185" t="str">
        <f>IF(Master[[#This Row],[Soil TEXTURE Original Value]]="","",Master[[#This Row],[Soil TEXTURE Original Value]])</f>
        <v/>
      </c>
    </row>
    <row r="186" spans="2:8" x14ac:dyDescent="0.25">
      <c r="B186" t="str">
        <f>Master[[#This Row],[Accession Prefix (NPGS)]]&amp;" "&amp;Master[[#This Row],[Accession Number -Assigned]]&amp;" COLLECTED "&amp;TEXT(Master[[#This Row],[Date Collected or Developed]], "MM/DD/YYYY")</f>
        <v xml:space="preserve">  COLLECTED 01/00/1900</v>
      </c>
      <c r="C186" t="str">
        <f t="shared" si="6"/>
        <v>SOIL TEXTURE</v>
      </c>
      <c r="D186" s="17" t="str">
        <f>IF(Master[[#This Row],[SOIL TEXTURE - lookup picker]]="","",Master[[#This Row],[SOIL TEXTURE - lookup picker]])</f>
        <v/>
      </c>
      <c r="E186" s="109"/>
      <c r="G186" s="76" t="str">
        <f>IF(Master[[#This Row],[SOIL TEXTURE - lookup picker]]="","",Master[[#This Row],[SOIL TEXTURE - lookup picker]])</f>
        <v/>
      </c>
      <c r="H186" t="str">
        <f>IF(Master[[#This Row],[Soil TEXTURE Original Value]]="","",Master[[#This Row],[Soil TEXTURE Original Value]])</f>
        <v/>
      </c>
    </row>
    <row r="187" spans="2:8" x14ac:dyDescent="0.25">
      <c r="B187" t="str">
        <f>Master[[#This Row],[Accession Prefix (NPGS)]]&amp;" "&amp;Master[[#This Row],[Accession Number -Assigned]]&amp;" COLLECTED "&amp;TEXT(Master[[#This Row],[Date Collected or Developed]], "MM/DD/YYYY")</f>
        <v xml:space="preserve">  COLLECTED 01/00/1900</v>
      </c>
      <c r="C187" t="str">
        <f t="shared" si="6"/>
        <v>SOIL TEXTURE</v>
      </c>
      <c r="D187" s="17" t="str">
        <f>IF(Master[[#This Row],[SOIL TEXTURE - lookup picker]]="","",Master[[#This Row],[SOIL TEXTURE - lookup picker]])</f>
        <v/>
      </c>
      <c r="E187" s="109"/>
      <c r="G187" s="76" t="str">
        <f>IF(Master[[#This Row],[SOIL TEXTURE - lookup picker]]="","",Master[[#This Row],[SOIL TEXTURE - lookup picker]])</f>
        <v/>
      </c>
      <c r="H187" t="str">
        <f>IF(Master[[#This Row],[Soil TEXTURE Original Value]]="","",Master[[#This Row],[Soil TEXTURE Original Value]])</f>
        <v/>
      </c>
    </row>
    <row r="188" spans="2:8" x14ac:dyDescent="0.25">
      <c r="B188" t="str">
        <f>Master[[#This Row],[Accession Prefix (NPGS)]]&amp;" "&amp;Master[[#This Row],[Accession Number -Assigned]]&amp;" COLLECTED "&amp;TEXT(Master[[#This Row],[Date Collected or Developed]], "MM/DD/YYYY")</f>
        <v xml:space="preserve">  COLLECTED 01/00/1900</v>
      </c>
      <c r="C188" t="str">
        <f t="shared" si="6"/>
        <v>SOIL TEXTURE</v>
      </c>
      <c r="D188" s="17" t="str">
        <f>IF(Master[[#This Row],[SOIL TEXTURE - lookup picker]]="","",Master[[#This Row],[SOIL TEXTURE - lookup picker]])</f>
        <v/>
      </c>
      <c r="E188" s="109"/>
      <c r="G188" s="76" t="str">
        <f>IF(Master[[#This Row],[SOIL TEXTURE - lookup picker]]="","",Master[[#This Row],[SOIL TEXTURE - lookup picker]])</f>
        <v/>
      </c>
      <c r="H188" t="str">
        <f>IF(Master[[#This Row],[Soil TEXTURE Original Value]]="","",Master[[#This Row],[Soil TEXTURE Original Value]])</f>
        <v/>
      </c>
    </row>
    <row r="189" spans="2:8" x14ac:dyDescent="0.25">
      <c r="B189" t="str">
        <f>Master[[#This Row],[Accession Prefix (NPGS)]]&amp;" "&amp;Master[[#This Row],[Accession Number -Assigned]]&amp;" COLLECTED "&amp;TEXT(Master[[#This Row],[Date Collected or Developed]], "MM/DD/YYYY")</f>
        <v xml:space="preserve">  COLLECTED 01/00/1900</v>
      </c>
      <c r="C189" t="str">
        <f t="shared" si="6"/>
        <v>SOIL TEXTURE</v>
      </c>
      <c r="D189" s="17" t="str">
        <f>IF(Master[[#This Row],[SOIL TEXTURE - lookup picker]]="","",Master[[#This Row],[SOIL TEXTURE - lookup picker]])</f>
        <v/>
      </c>
      <c r="E189" s="109"/>
      <c r="G189" s="76" t="str">
        <f>IF(Master[[#This Row],[SOIL TEXTURE - lookup picker]]="","",Master[[#This Row],[SOIL TEXTURE - lookup picker]])</f>
        <v/>
      </c>
      <c r="H189" t="str">
        <f>IF(Master[[#This Row],[Soil TEXTURE Original Value]]="","",Master[[#This Row],[Soil TEXTURE Original Value]])</f>
        <v/>
      </c>
    </row>
    <row r="190" spans="2:8" x14ac:dyDescent="0.25">
      <c r="B190" t="str">
        <f>Master[[#This Row],[Accession Prefix (NPGS)]]&amp;" "&amp;Master[[#This Row],[Accession Number -Assigned]]&amp;" COLLECTED "&amp;TEXT(Master[[#This Row],[Date Collected or Developed]], "MM/DD/YYYY")</f>
        <v xml:space="preserve">  COLLECTED 01/00/1900</v>
      </c>
      <c r="C190" t="str">
        <f t="shared" si="6"/>
        <v>SOIL TEXTURE</v>
      </c>
      <c r="D190" s="17" t="str">
        <f>IF(Master[[#This Row],[SOIL TEXTURE - lookup picker]]="","",Master[[#This Row],[SOIL TEXTURE - lookup picker]])</f>
        <v/>
      </c>
      <c r="E190" s="109"/>
      <c r="G190" s="76" t="str">
        <f>IF(Master[[#This Row],[SOIL TEXTURE - lookup picker]]="","",Master[[#This Row],[SOIL TEXTURE - lookup picker]])</f>
        <v/>
      </c>
      <c r="H190" t="str">
        <f>IF(Master[[#This Row],[Soil TEXTURE Original Value]]="","",Master[[#This Row],[Soil TEXTURE Original Value]])</f>
        <v/>
      </c>
    </row>
    <row r="191" spans="2:8" x14ac:dyDescent="0.25">
      <c r="B191" t="str">
        <f>Master[[#This Row],[Accession Prefix (NPGS)]]&amp;" "&amp;Master[[#This Row],[Accession Number -Assigned]]&amp;" COLLECTED "&amp;TEXT(Master[[#This Row],[Date Collected or Developed]], "MM/DD/YYYY")</f>
        <v xml:space="preserve">  COLLECTED 01/00/1900</v>
      </c>
      <c r="C191" t="str">
        <f t="shared" si="6"/>
        <v>SOIL TEXTURE</v>
      </c>
      <c r="D191" s="17" t="str">
        <f>IF(Master[[#This Row],[SOIL TEXTURE - lookup picker]]="","",Master[[#This Row],[SOIL TEXTURE - lookup picker]])</f>
        <v/>
      </c>
      <c r="E191" s="109"/>
      <c r="G191" s="76" t="str">
        <f>IF(Master[[#This Row],[SOIL TEXTURE - lookup picker]]="","",Master[[#This Row],[SOIL TEXTURE - lookup picker]])</f>
        <v/>
      </c>
      <c r="H191" t="str">
        <f>IF(Master[[#This Row],[Soil TEXTURE Original Value]]="","",Master[[#This Row],[Soil TEXTURE Original Value]])</f>
        <v/>
      </c>
    </row>
    <row r="192" spans="2:8" x14ac:dyDescent="0.25">
      <c r="B192" t="str">
        <f>Master[[#This Row],[Accession Prefix (NPGS)]]&amp;" "&amp;Master[[#This Row],[Accession Number -Assigned]]&amp;" COLLECTED "&amp;TEXT(Master[[#This Row],[Date Collected or Developed]], "MM/DD/YYYY")</f>
        <v xml:space="preserve">  COLLECTED 01/00/1900</v>
      </c>
      <c r="C192" t="str">
        <f t="shared" si="6"/>
        <v>SOIL TEXTURE</v>
      </c>
      <c r="D192" s="17" t="str">
        <f>IF(Master[[#This Row],[SOIL TEXTURE - lookup picker]]="","",Master[[#This Row],[SOIL TEXTURE - lookup picker]])</f>
        <v/>
      </c>
      <c r="E192" s="109"/>
      <c r="G192" s="76" t="str">
        <f>IF(Master[[#This Row],[SOIL TEXTURE - lookup picker]]="","",Master[[#This Row],[SOIL TEXTURE - lookup picker]])</f>
        <v/>
      </c>
      <c r="H192" t="str">
        <f>IF(Master[[#This Row],[Soil TEXTURE Original Value]]="","",Master[[#This Row],[Soil TEXTURE Original Value]])</f>
        <v/>
      </c>
    </row>
    <row r="193" spans="2:8" x14ac:dyDescent="0.25">
      <c r="B193" t="str">
        <f>Master[[#This Row],[Accession Prefix (NPGS)]]&amp;" "&amp;Master[[#This Row],[Accession Number -Assigned]]&amp;" COLLECTED "&amp;TEXT(Master[[#This Row],[Date Collected or Developed]], "MM/DD/YYYY")</f>
        <v xml:space="preserve">  COLLECTED 01/00/1900</v>
      </c>
      <c r="C193" t="str">
        <f t="shared" si="6"/>
        <v>SOIL TEXTURE</v>
      </c>
      <c r="D193" s="17" t="str">
        <f>IF(Master[[#This Row],[SOIL TEXTURE - lookup picker]]="","",Master[[#This Row],[SOIL TEXTURE - lookup picker]])</f>
        <v/>
      </c>
      <c r="E193" s="109"/>
      <c r="G193" s="76" t="str">
        <f>IF(Master[[#This Row],[SOIL TEXTURE - lookup picker]]="","",Master[[#This Row],[SOIL TEXTURE - lookup picker]])</f>
        <v/>
      </c>
      <c r="H193" t="str">
        <f>IF(Master[[#This Row],[Soil TEXTURE Original Value]]="","",Master[[#This Row],[Soil TEXTURE Original Value]])</f>
        <v/>
      </c>
    </row>
    <row r="194" spans="2:8" x14ac:dyDescent="0.25">
      <c r="B194" t="str">
        <f>Master[[#This Row],[Accession Prefix (NPGS)]]&amp;" "&amp;Master[[#This Row],[Accession Number -Assigned]]&amp;" COLLECTED "&amp;TEXT(Master[[#This Row],[Date Collected or Developed]], "MM/DD/YYYY")</f>
        <v xml:space="preserve">  COLLECTED 01/00/1900</v>
      </c>
      <c r="C194" t="str">
        <f t="shared" si="6"/>
        <v>SOIL TEXTURE</v>
      </c>
      <c r="D194" s="17" t="str">
        <f>IF(Master[[#This Row],[SOIL TEXTURE - lookup picker]]="","",Master[[#This Row],[SOIL TEXTURE - lookup picker]])</f>
        <v/>
      </c>
      <c r="E194" s="109"/>
      <c r="G194" s="76" t="str">
        <f>IF(Master[[#This Row],[SOIL TEXTURE - lookup picker]]="","",Master[[#This Row],[SOIL TEXTURE - lookup picker]])</f>
        <v/>
      </c>
      <c r="H194" t="str">
        <f>IF(Master[[#This Row],[Soil TEXTURE Original Value]]="","",Master[[#This Row],[Soil TEXTURE Original Value]])</f>
        <v/>
      </c>
    </row>
    <row r="195" spans="2:8" x14ac:dyDescent="0.25">
      <c r="B195" t="str">
        <f>Master[[#This Row],[Accession Prefix (NPGS)]]&amp;" "&amp;Master[[#This Row],[Accession Number -Assigned]]&amp;" COLLECTED "&amp;TEXT(Master[[#This Row],[Date Collected or Developed]], "MM/DD/YYYY")</f>
        <v xml:space="preserve">  COLLECTED 01/00/1900</v>
      </c>
      <c r="C195" t="str">
        <f t="shared" si="6"/>
        <v>SOIL TEXTURE</v>
      </c>
      <c r="D195" s="17" t="str">
        <f>IF(Master[[#This Row],[SOIL TEXTURE - lookup picker]]="","",Master[[#This Row],[SOIL TEXTURE - lookup picker]])</f>
        <v/>
      </c>
      <c r="E195" s="109"/>
      <c r="G195" s="76" t="str">
        <f>IF(Master[[#This Row],[SOIL TEXTURE - lookup picker]]="","",Master[[#This Row],[SOIL TEXTURE - lookup picker]])</f>
        <v/>
      </c>
      <c r="H195" t="str">
        <f>IF(Master[[#This Row],[Soil TEXTURE Original Value]]="","",Master[[#This Row],[Soil TEXTURE Original Value]])</f>
        <v/>
      </c>
    </row>
    <row r="196" spans="2:8" x14ac:dyDescent="0.25">
      <c r="B196" t="str">
        <f>Master[[#This Row],[Accession Prefix (NPGS)]]&amp;" "&amp;Master[[#This Row],[Accession Number -Assigned]]&amp;" COLLECTED "&amp;TEXT(Master[[#This Row],[Date Collected or Developed]], "MM/DD/YYYY")</f>
        <v xml:space="preserve">  COLLECTED 01/00/1900</v>
      </c>
      <c r="C196" t="str">
        <f t="shared" si="6"/>
        <v>SOIL TEXTURE</v>
      </c>
      <c r="D196" s="17" t="str">
        <f>IF(Master[[#This Row],[SOIL TEXTURE - lookup picker]]="","",Master[[#This Row],[SOIL TEXTURE - lookup picker]])</f>
        <v/>
      </c>
      <c r="E196" s="109"/>
      <c r="G196" s="76" t="str">
        <f>IF(Master[[#This Row],[SOIL TEXTURE - lookup picker]]="","",Master[[#This Row],[SOIL TEXTURE - lookup picker]])</f>
        <v/>
      </c>
      <c r="H196" t="str">
        <f>IF(Master[[#This Row],[Soil TEXTURE Original Value]]="","",Master[[#This Row],[Soil TEXTURE Original Value]])</f>
        <v/>
      </c>
    </row>
    <row r="197" spans="2:8" x14ac:dyDescent="0.25">
      <c r="B197" t="str">
        <f>Master[[#This Row],[Accession Prefix (NPGS)]]&amp;" "&amp;Master[[#This Row],[Accession Number -Assigned]]&amp;" COLLECTED "&amp;TEXT(Master[[#This Row],[Date Collected or Developed]], "MM/DD/YYYY")</f>
        <v xml:space="preserve">  COLLECTED 01/00/1900</v>
      </c>
      <c r="C197" t="str">
        <f t="shared" si="6"/>
        <v>SOIL TEXTURE</v>
      </c>
      <c r="D197" s="17" t="str">
        <f>IF(Master[[#This Row],[SOIL TEXTURE - lookup picker]]="","",Master[[#This Row],[SOIL TEXTURE - lookup picker]])</f>
        <v/>
      </c>
      <c r="E197" s="109"/>
      <c r="G197" s="76" t="str">
        <f>IF(Master[[#This Row],[SOIL TEXTURE - lookup picker]]="","",Master[[#This Row],[SOIL TEXTURE - lookup picker]])</f>
        <v/>
      </c>
      <c r="H197" t="str">
        <f>IF(Master[[#This Row],[Soil TEXTURE Original Value]]="","",Master[[#This Row],[Soil TEXTURE Original Value]])</f>
        <v/>
      </c>
    </row>
    <row r="198" spans="2:8" x14ac:dyDescent="0.25">
      <c r="B198" t="str">
        <f>Master[[#This Row],[Accession Prefix (NPGS)]]&amp;" "&amp;Master[[#This Row],[Accession Number -Assigned]]&amp;" COLLECTED "&amp;TEXT(Master[[#This Row],[Date Collected or Developed]], "MM/DD/YYYY")</f>
        <v xml:space="preserve">  COLLECTED 01/00/1900</v>
      </c>
      <c r="C198" t="str">
        <f t="shared" si="6"/>
        <v>SOIL TEXTURE</v>
      </c>
      <c r="D198" s="17" t="str">
        <f>IF(Master[[#This Row],[SOIL TEXTURE - lookup picker]]="","",Master[[#This Row],[SOIL TEXTURE - lookup picker]])</f>
        <v/>
      </c>
      <c r="E198" s="109"/>
      <c r="G198" s="76" t="str">
        <f>IF(Master[[#This Row],[SOIL TEXTURE - lookup picker]]="","",Master[[#This Row],[SOIL TEXTURE - lookup picker]])</f>
        <v/>
      </c>
      <c r="H198" t="str">
        <f>IF(Master[[#This Row],[Soil TEXTURE Original Value]]="","",Master[[#This Row],[Soil TEXTURE Original Value]])</f>
        <v/>
      </c>
    </row>
    <row r="199" spans="2:8" x14ac:dyDescent="0.25">
      <c r="B199" t="str">
        <f>Master[[#This Row],[Accession Prefix (NPGS)]]&amp;" "&amp;Master[[#This Row],[Accession Number -Assigned]]&amp;" COLLECTED "&amp;TEXT(Master[[#This Row],[Date Collected or Developed]], "MM/DD/YYYY")</f>
        <v xml:space="preserve">  COLLECTED 01/00/1900</v>
      </c>
      <c r="C199" t="str">
        <f t="shared" si="6"/>
        <v>SOIL TEXTURE</v>
      </c>
      <c r="D199" s="17" t="str">
        <f>IF(Master[[#This Row],[SOIL TEXTURE - lookup picker]]="","",Master[[#This Row],[SOIL TEXTURE - lookup picker]])</f>
        <v/>
      </c>
      <c r="E199" s="109"/>
      <c r="G199" s="76" t="str">
        <f>IF(Master[[#This Row],[SOIL TEXTURE - lookup picker]]="","",Master[[#This Row],[SOIL TEXTURE - lookup picker]])</f>
        <v/>
      </c>
      <c r="H199" t="str">
        <f>IF(Master[[#This Row],[Soil TEXTURE Original Value]]="","",Master[[#This Row],[Soil TEXTURE Original Value]])</f>
        <v/>
      </c>
    </row>
    <row r="200" spans="2:8" x14ac:dyDescent="0.25">
      <c r="B200" t="str">
        <f>Master[[#This Row],[Accession Prefix (NPGS)]]&amp;" "&amp;Master[[#This Row],[Accession Number -Assigned]]&amp;" COLLECTED "&amp;TEXT(Master[[#This Row],[Date Collected or Developed]], "MM/DD/YYYY")</f>
        <v xml:space="preserve">  COLLECTED 01/00/1900</v>
      </c>
      <c r="C200" t="str">
        <f t="shared" si="6"/>
        <v>SOIL TEXTURE</v>
      </c>
      <c r="D200" s="17" t="str">
        <f>IF(Master[[#This Row],[SOIL TEXTURE - lookup picker]]="","",Master[[#This Row],[SOIL TEXTURE - lookup picker]])</f>
        <v/>
      </c>
      <c r="E200" s="109"/>
      <c r="G200" s="76" t="str">
        <f>IF(Master[[#This Row],[SOIL TEXTURE - lookup picker]]="","",Master[[#This Row],[SOIL TEXTURE - lookup picker]])</f>
        <v/>
      </c>
      <c r="H200" t="str">
        <f>IF(Master[[#This Row],[Soil TEXTURE Original Value]]="","",Master[[#This Row],[Soil TEXTURE Original Value]])</f>
        <v/>
      </c>
    </row>
    <row r="201" spans="2:8" x14ac:dyDescent="0.25">
      <c r="B201" t="str">
        <f>Master[[#This Row],[Accession Prefix (NPGS)]]&amp;" "&amp;Master[[#This Row],[Accession Number -Assigned]]&amp;" COLLECTED "&amp;TEXT(Master[[#This Row],[Date Collected or Developed]], "MM/DD/YYYY")</f>
        <v xml:space="preserve">  COLLECTED 01/00/1900</v>
      </c>
      <c r="C201" t="str">
        <f t="shared" si="6"/>
        <v>SOIL TEXTURE</v>
      </c>
      <c r="D201" s="17" t="str">
        <f>IF(Master[[#This Row],[SOIL TEXTURE - lookup picker]]="","",Master[[#This Row],[SOIL TEXTURE - lookup picker]])</f>
        <v/>
      </c>
      <c r="E201" s="109"/>
      <c r="G201" s="76" t="str">
        <f>IF(Master[[#This Row],[SOIL TEXTURE - lookup picker]]="","",Master[[#This Row],[SOIL TEXTURE - lookup picker]])</f>
        <v/>
      </c>
      <c r="H201" t="str">
        <f>IF(Master[[#This Row],[Soil TEXTURE Original Value]]="","",Master[[#This Row],[Soil TEXTURE Original Value]])</f>
        <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8D7DD-797C-4ECC-8169-E27B68A07D0C}">
  <sheetPr>
    <tabColor theme="4" tint="0.59999389629810485"/>
  </sheetPr>
  <dimension ref="A1:O201"/>
  <sheetViews>
    <sheetView workbookViewId="0">
      <selection activeCell="H30" sqref="H30"/>
    </sheetView>
  </sheetViews>
  <sheetFormatPr defaultColWidth="9.140625" defaultRowHeight="15" x14ac:dyDescent="0.25"/>
  <cols>
    <col min="1" max="1" width="16.140625" style="141" customWidth="1"/>
    <col min="2" max="2" width="32.42578125" style="141" bestFit="1" customWidth="1"/>
    <col min="3" max="3" width="18.7109375" style="141" customWidth="1"/>
    <col min="4" max="4" width="27.28515625" style="141" customWidth="1"/>
    <col min="5" max="5" width="10.140625" style="141" bestFit="1" customWidth="1"/>
    <col min="6" max="6" width="16.28515625" style="141" customWidth="1"/>
    <col min="7" max="7" width="26.42578125" style="141" customWidth="1"/>
    <col min="8" max="8" width="60" style="141" bestFit="1" customWidth="1"/>
    <col min="9" max="9" width="47.7109375" style="141" customWidth="1"/>
    <col min="10" max="16384" width="9.140625" style="141"/>
  </cols>
  <sheetData>
    <row r="1" spans="1:15" s="82" customFormat="1" ht="45.75" customHeight="1" x14ac:dyDescent="0.25">
      <c r="A1" s="82" t="s">
        <v>80</v>
      </c>
      <c r="B1" s="120" t="s">
        <v>74</v>
      </c>
      <c r="C1" s="120" t="s">
        <v>81</v>
      </c>
      <c r="D1" s="82" t="s">
        <v>82</v>
      </c>
      <c r="E1" s="123" t="s">
        <v>83</v>
      </c>
      <c r="F1" s="82" t="s">
        <v>84</v>
      </c>
      <c r="G1" s="82" t="s">
        <v>85</v>
      </c>
      <c r="H1" s="82" t="s">
        <v>787</v>
      </c>
      <c r="I1" s="82" t="s">
        <v>9</v>
      </c>
    </row>
    <row r="2" spans="1:15" ht="15.75" x14ac:dyDescent="0.25">
      <c r="A2" s="1"/>
      <c r="B2" s="141" t="str">
        <f>Master[[#This Row],[Accession Prefix (NPGS)]]&amp;" "&amp;Master[[#This Row],[Accession Number -Assigned]]&amp;" COLLECTED "&amp;TEXT(Master[[#This Row],[Date Collected or Developed]], "MM/DD/YYYY")</f>
        <v>W6 57036 COLLECTED 07/09/2018</v>
      </c>
      <c r="C2" s="141" t="str">
        <f t="shared" ref="C2:C33" si="0">"ECOREGION"</f>
        <v>ECOREGION</v>
      </c>
      <c r="D2" s="17" t="str">
        <f>IF(Master[[#This Row],[ECOREGION - Lookup picker]]="","",Master[[#This Row],[ECOREGION - Lookup picker]])</f>
        <v/>
      </c>
      <c r="E2" s="109"/>
      <c r="G2" s="17" t="str">
        <f>IF(Master[[#This Row],[ECOREGION - Lookup picker]]="","",Master[[#This Row],[ECOREGION - Lookup picker]])</f>
        <v/>
      </c>
      <c r="H2" s="141" t="str">
        <f>IF(Master[[#This Row],[Ecoregion Original Value]]="","",Master[[#This Row],[Ecoregion Original Value]])</f>
        <v/>
      </c>
      <c r="K2" s="8"/>
      <c r="O2" s="8"/>
    </row>
    <row r="3" spans="1:15" x14ac:dyDescent="0.25">
      <c r="B3" s="141" t="str">
        <f>Master[[#This Row],[Accession Prefix (NPGS)]]&amp;" "&amp;Master[[#This Row],[Accession Number -Assigned]]&amp;" COLLECTED "&amp;TEXT(Master[[#This Row],[Date Collected or Developed]], "MM/DD/YYYY")</f>
        <v>W6  COLLECTED COLL_DT</v>
      </c>
      <c r="C3" s="141" t="str">
        <f t="shared" si="0"/>
        <v>ECOREGION</v>
      </c>
      <c r="D3" s="17" t="str">
        <f>IF(Master[[#This Row],[ECOREGION - Lookup picker]]="","",Master[[#This Row],[ECOREGION - Lookup picker]])</f>
        <v/>
      </c>
      <c r="E3" s="109"/>
      <c r="G3" s="17" t="str">
        <f>IF(Master[[#This Row],[ECOREGION - Lookup picker]]="","",Master[[#This Row],[ECOREGION - Lookup picker]])</f>
        <v/>
      </c>
      <c r="H3" s="141" t="str">
        <f>IF(Master[[#This Row],[Ecoregion Original Value]]="","",Master[[#This Row],[Ecoregion Original Value]])</f>
        <v>PHYTOREGION: PHYTOREGION_FULL</v>
      </c>
      <c r="K3" s="8"/>
      <c r="O3" s="8"/>
    </row>
    <row r="4" spans="1:15" x14ac:dyDescent="0.25">
      <c r="B4" s="141" t="str">
        <f>Master[[#This Row],[Accession Prefix (NPGS)]]&amp;" "&amp;Master[[#This Row],[Accession Number -Assigned]]&amp;" COLLECTED "&amp;TEXT(Master[[#This Row],[Date Collected or Developed]], "MM/DD/YYYY")</f>
        <v>W6 59590 COLLECTED 07/01/2020</v>
      </c>
      <c r="C4" s="141" t="str">
        <f t="shared" si="0"/>
        <v>ECOREGION</v>
      </c>
      <c r="D4" s="17" t="str">
        <f>IF(Master[[#This Row],[ECOREGION - Lookup picker]]="","",Master[[#This Row],[ECOREGION - Lookup picker]])</f>
        <v>Southern Rockies</v>
      </c>
      <c r="E4" s="109"/>
      <c r="G4" s="17" t="str">
        <f>IF(Master[[#This Row],[ECOREGION - Lookup picker]]="","",Master[[#This Row],[ECOREGION - Lookup picker]])</f>
        <v>Southern Rockies</v>
      </c>
      <c r="H4" s="141" t="str">
        <f>IF(Master[[#This Row],[Ecoregion Original Value]]="","",Master[[#This Row],[Ecoregion Original Value]])</f>
        <v>21E:Southern Rockies (Omernik)</v>
      </c>
      <c r="K4" s="8"/>
      <c r="O4" s="8"/>
    </row>
    <row r="5" spans="1:15" x14ac:dyDescent="0.25">
      <c r="B5" s="141" t="str">
        <f>Master[[#This Row],[Accession Prefix (NPGS)]]&amp;" "&amp;Master[[#This Row],[Accession Number -Assigned]]&amp;" COLLECTED "&amp;TEXT(Master[[#This Row],[Date Collected or Developed]], "MM/DD/YYYY")</f>
        <v>W6 59591 COLLECTED 07/14/2020</v>
      </c>
      <c r="C5" s="141" t="str">
        <f t="shared" si="0"/>
        <v>ECOREGION</v>
      </c>
      <c r="D5" s="17" t="str">
        <f>IF(Master[[#This Row],[ECOREGION - Lookup picker]]="","",Master[[#This Row],[ECOREGION - Lookup picker]])</f>
        <v>Southern Rockies</v>
      </c>
      <c r="E5" s="109"/>
      <c r="G5" s="17" t="str">
        <f>IF(Master[[#This Row],[ECOREGION - Lookup picker]]="","",Master[[#This Row],[ECOREGION - Lookup picker]])</f>
        <v>Southern Rockies</v>
      </c>
      <c r="H5" s="141" t="str">
        <f>IF(Master[[#This Row],[Ecoregion Original Value]]="","",Master[[#This Row],[Ecoregion Original Value]])</f>
        <v>21E:Southern Rockies (Omernik)</v>
      </c>
      <c r="K5" s="8"/>
      <c r="O5" s="8"/>
    </row>
    <row r="6" spans="1:15" x14ac:dyDescent="0.25">
      <c r="B6" s="141" t="str">
        <f>Master[[#This Row],[Accession Prefix (NPGS)]]&amp;" "&amp;Master[[#This Row],[Accession Number -Assigned]]&amp;" COLLECTED "&amp;TEXT(Master[[#This Row],[Date Collected or Developed]], "MM/DD/YYYY")</f>
        <v>W6 59592 COLLECTED 07/29/2020</v>
      </c>
      <c r="C6" s="141" t="str">
        <f t="shared" si="0"/>
        <v>ECOREGION</v>
      </c>
      <c r="D6" s="17" t="str">
        <f>IF(Master[[#This Row],[ECOREGION - Lookup picker]]="","",Master[[#This Row],[ECOREGION - Lookup picker]])</f>
        <v>Southern Rockies</v>
      </c>
      <c r="E6" s="109"/>
      <c r="G6" s="17" t="str">
        <f>IF(Master[[#This Row],[ECOREGION - Lookup picker]]="","",Master[[#This Row],[ECOREGION - Lookup picker]])</f>
        <v>Southern Rockies</v>
      </c>
      <c r="H6" s="141" t="str">
        <f>IF(Master[[#This Row],[Ecoregion Original Value]]="","",Master[[#This Row],[Ecoregion Original Value]])</f>
        <v>21E:Southern Rockies (Omernik)</v>
      </c>
      <c r="K6" s="8"/>
      <c r="O6" s="8"/>
    </row>
    <row r="7" spans="1:15" x14ac:dyDescent="0.25">
      <c r="B7" s="141" t="str">
        <f>Master[[#This Row],[Accession Prefix (NPGS)]]&amp;" "&amp;Master[[#This Row],[Accession Number -Assigned]]&amp;" COLLECTED "&amp;TEXT(Master[[#This Row],[Date Collected or Developed]], "MM/DD/YYYY")</f>
        <v>W6 59593 COLLECTED 08/04/2020</v>
      </c>
      <c r="C7" s="141" t="str">
        <f t="shared" si="0"/>
        <v>ECOREGION</v>
      </c>
      <c r="D7" s="17" t="str">
        <f>IF(Master[[#This Row],[ECOREGION - Lookup picker]]="","",Master[[#This Row],[ECOREGION - Lookup picker]])</f>
        <v>Southern Rockies</v>
      </c>
      <c r="E7" s="109"/>
      <c r="G7" s="17" t="str">
        <f>IF(Master[[#This Row],[ECOREGION - Lookup picker]]="","",Master[[#This Row],[ECOREGION - Lookup picker]])</f>
        <v>Southern Rockies</v>
      </c>
      <c r="H7" s="141" t="str">
        <f>IF(Master[[#This Row],[Ecoregion Original Value]]="","",Master[[#This Row],[Ecoregion Original Value]])</f>
        <v>21E:Southern Rockies (Omernik)</v>
      </c>
      <c r="K7" s="8"/>
      <c r="O7" s="8"/>
    </row>
    <row r="8" spans="1:15" x14ac:dyDescent="0.25">
      <c r="B8" s="141" t="str">
        <f>Master[[#This Row],[Accession Prefix (NPGS)]]&amp;" "&amp;Master[[#This Row],[Accession Number -Assigned]]&amp;" COLLECTED "&amp;TEXT(Master[[#This Row],[Date Collected or Developed]], "MM/DD/YYYY")</f>
        <v>W6 59594 COLLECTED 08/10/2020</v>
      </c>
      <c r="C8" s="141" t="str">
        <f t="shared" si="0"/>
        <v>ECOREGION</v>
      </c>
      <c r="D8" s="17" t="str">
        <f>IF(Master[[#This Row],[ECOREGION - Lookup picker]]="","",Master[[#This Row],[ECOREGION - Lookup picker]])</f>
        <v>Southern Rockies</v>
      </c>
      <c r="E8" s="109"/>
      <c r="G8" s="17" t="str">
        <f>IF(Master[[#This Row],[ECOREGION - Lookup picker]]="","",Master[[#This Row],[ECOREGION - Lookup picker]])</f>
        <v>Southern Rockies</v>
      </c>
      <c r="H8" s="141" t="str">
        <f>IF(Master[[#This Row],[Ecoregion Original Value]]="","",Master[[#This Row],[Ecoregion Original Value]])</f>
        <v>21E:Southern Rockies (Omernik)</v>
      </c>
    </row>
    <row r="9" spans="1:15" x14ac:dyDescent="0.25">
      <c r="B9" s="141" t="str">
        <f>Master[[#This Row],[Accession Prefix (NPGS)]]&amp;" "&amp;Master[[#This Row],[Accession Number -Assigned]]&amp;" COLLECTED "&amp;TEXT(Master[[#This Row],[Date Collected or Developed]], "MM/DD/YYYY")</f>
        <v>W6 59595 COLLECTED 08/12/2020</v>
      </c>
      <c r="C9" s="141" t="str">
        <f t="shared" si="0"/>
        <v>ECOREGION</v>
      </c>
      <c r="D9" s="17" t="str">
        <f>IF(Master[[#This Row],[ECOREGION - Lookup picker]]="","",Master[[#This Row],[ECOREGION - Lookup picker]])</f>
        <v>Southern Rockies</v>
      </c>
      <c r="E9" s="109"/>
      <c r="G9" s="17" t="str">
        <f>IF(Master[[#This Row],[ECOREGION - Lookup picker]]="","",Master[[#This Row],[ECOREGION - Lookup picker]])</f>
        <v>Southern Rockies</v>
      </c>
      <c r="H9" s="141" t="str">
        <f>IF(Master[[#This Row],[Ecoregion Original Value]]="","",Master[[#This Row],[Ecoregion Original Value]])</f>
        <v>21E:Southern Rockies (Omernik)</v>
      </c>
    </row>
    <row r="10" spans="1:15" x14ac:dyDescent="0.25">
      <c r="B10" s="141" t="str">
        <f>Master[[#This Row],[Accession Prefix (NPGS)]]&amp;" "&amp;Master[[#This Row],[Accession Number -Assigned]]&amp;" COLLECTED "&amp;TEXT(Master[[#This Row],[Date Collected or Developed]], "MM/DD/YYYY")</f>
        <v>W6 59596 COLLECTED 08/13/2020</v>
      </c>
      <c r="C10" s="141" t="str">
        <f t="shared" si="0"/>
        <v>ECOREGION</v>
      </c>
      <c r="D10" s="17" t="str">
        <f>IF(Master[[#This Row],[ECOREGION - Lookup picker]]="","",Master[[#This Row],[ECOREGION - Lookup picker]])</f>
        <v>Southern Rockies</v>
      </c>
      <c r="E10" s="109"/>
      <c r="G10" s="17" t="str">
        <f>IF(Master[[#This Row],[ECOREGION - Lookup picker]]="","",Master[[#This Row],[ECOREGION - Lookup picker]])</f>
        <v>Southern Rockies</v>
      </c>
      <c r="H10" s="141" t="str">
        <f>IF(Master[[#This Row],[Ecoregion Original Value]]="","",Master[[#This Row],[Ecoregion Original Value]])</f>
        <v>21E:Southern Rockies (Omernik)</v>
      </c>
    </row>
    <row r="11" spans="1:15" x14ac:dyDescent="0.25">
      <c r="B11" s="141" t="str">
        <f>Master[[#This Row],[Accession Prefix (NPGS)]]&amp;" "&amp;Master[[#This Row],[Accession Number -Assigned]]&amp;" COLLECTED "&amp;TEXT(Master[[#This Row],[Date Collected or Developed]], "MM/DD/YYYY")</f>
        <v>W6 59597 COLLECTED 08/18/2020</v>
      </c>
      <c r="C11" s="141" t="str">
        <f t="shared" si="0"/>
        <v>ECOREGION</v>
      </c>
      <c r="D11" s="17" t="str">
        <f>IF(Master[[#This Row],[ECOREGION - Lookup picker]]="","",Master[[#This Row],[ECOREGION - Lookup picker]])</f>
        <v>Southern Rockies</v>
      </c>
      <c r="E11" s="109"/>
      <c r="G11" s="17" t="str">
        <f>IF(Master[[#This Row],[ECOREGION - Lookup picker]]="","",Master[[#This Row],[ECOREGION - Lookup picker]])</f>
        <v>Southern Rockies</v>
      </c>
      <c r="H11" s="141" t="str">
        <f>IF(Master[[#This Row],[Ecoregion Original Value]]="","",Master[[#This Row],[Ecoregion Original Value]])</f>
        <v>21E:Southern Rockies (Omernik)</v>
      </c>
    </row>
    <row r="12" spans="1:15" x14ac:dyDescent="0.25">
      <c r="B12" s="141" t="str">
        <f>Master[[#This Row],[Accession Prefix (NPGS)]]&amp;" "&amp;Master[[#This Row],[Accession Number -Assigned]]&amp;" COLLECTED "&amp;TEXT(Master[[#This Row],[Date Collected or Developed]], "MM/DD/YYYY")</f>
        <v>W6 59598 COLLECTED 08/18/2020</v>
      </c>
      <c r="C12" s="141" t="str">
        <f t="shared" si="0"/>
        <v>ECOREGION</v>
      </c>
      <c r="D12" s="17" t="str">
        <f>IF(Master[[#This Row],[ECOREGION - Lookup picker]]="","",Master[[#This Row],[ECOREGION - Lookup picker]])</f>
        <v>Southern Rockies</v>
      </c>
      <c r="E12" s="109"/>
      <c r="G12" s="17" t="str">
        <f>IF(Master[[#This Row],[ECOREGION - Lookup picker]]="","",Master[[#This Row],[ECOREGION - Lookup picker]])</f>
        <v>Southern Rockies</v>
      </c>
      <c r="H12" s="141" t="str">
        <f>IF(Master[[#This Row],[Ecoregion Original Value]]="","",Master[[#This Row],[Ecoregion Original Value]])</f>
        <v>21E:Southern Rockies (Omernik)</v>
      </c>
    </row>
    <row r="13" spans="1:15" x14ac:dyDescent="0.25">
      <c r="B13" s="141" t="str">
        <f>Master[[#This Row],[Accession Prefix (NPGS)]]&amp;" "&amp;Master[[#This Row],[Accession Number -Assigned]]&amp;" COLLECTED "&amp;TEXT(Master[[#This Row],[Date Collected or Developed]], "MM/DD/YYYY")</f>
        <v>W6 59599 COLLECTED 08/19/2020</v>
      </c>
      <c r="C13" s="141" t="str">
        <f t="shared" si="0"/>
        <v>ECOREGION</v>
      </c>
      <c r="D13" s="17" t="str">
        <f>IF(Master[[#This Row],[ECOREGION - Lookup picker]]="","",Master[[#This Row],[ECOREGION - Lookup picker]])</f>
        <v>Southern Rockies</v>
      </c>
      <c r="E13" s="109"/>
      <c r="G13" s="17" t="str">
        <f>IF(Master[[#This Row],[ECOREGION - Lookup picker]]="","",Master[[#This Row],[ECOREGION - Lookup picker]])</f>
        <v>Southern Rockies</v>
      </c>
      <c r="H13" s="141" t="str">
        <f>IF(Master[[#This Row],[Ecoregion Original Value]]="","",Master[[#This Row],[Ecoregion Original Value]])</f>
        <v>21E:Southern Rockies (Omernik)</v>
      </c>
    </row>
    <row r="14" spans="1:15" x14ac:dyDescent="0.25">
      <c r="B14" s="141" t="str">
        <f>Master[[#This Row],[Accession Prefix (NPGS)]]&amp;" "&amp;Master[[#This Row],[Accession Number -Assigned]]&amp;" COLLECTED "&amp;TEXT(Master[[#This Row],[Date Collected or Developed]], "MM/DD/YYYY")</f>
        <v>W6 59600 COLLECTED 08/20/2020</v>
      </c>
      <c r="C14" s="141" t="str">
        <f t="shared" si="0"/>
        <v>ECOREGION</v>
      </c>
      <c r="D14" s="17" t="str">
        <f>IF(Master[[#This Row],[ECOREGION - Lookup picker]]="","",Master[[#This Row],[ECOREGION - Lookup picker]])</f>
        <v>Southern Rockies</v>
      </c>
      <c r="E14" s="109"/>
      <c r="G14" s="17" t="str">
        <f>IF(Master[[#This Row],[ECOREGION - Lookup picker]]="","",Master[[#This Row],[ECOREGION - Lookup picker]])</f>
        <v>Southern Rockies</v>
      </c>
      <c r="H14" s="141" t="str">
        <f>IF(Master[[#This Row],[Ecoregion Original Value]]="","",Master[[#This Row],[Ecoregion Original Value]])</f>
        <v>21E:Southern Rockies (Omernik)</v>
      </c>
    </row>
    <row r="15" spans="1:15" x14ac:dyDescent="0.25">
      <c r="B15" s="141" t="str">
        <f>Master[[#This Row],[Accession Prefix (NPGS)]]&amp;" "&amp;Master[[#This Row],[Accession Number -Assigned]]&amp;" COLLECTED "&amp;TEXT(Master[[#This Row],[Date Collected or Developed]], "MM/DD/YYYY")</f>
        <v>W6 59601 COLLECTED 08/26/2020</v>
      </c>
      <c r="C15" s="141" t="str">
        <f t="shared" si="0"/>
        <v>ECOREGION</v>
      </c>
      <c r="D15" s="17" t="str">
        <f>IF(Master[[#This Row],[ECOREGION - Lookup picker]]="","",Master[[#This Row],[ECOREGION - Lookup picker]])</f>
        <v>Southern Rockies</v>
      </c>
      <c r="E15" s="109"/>
      <c r="G15" s="17" t="str">
        <f>IF(Master[[#This Row],[ECOREGION - Lookup picker]]="","",Master[[#This Row],[ECOREGION - Lookup picker]])</f>
        <v>Southern Rockies</v>
      </c>
      <c r="H15" s="141" t="str">
        <f>IF(Master[[#This Row],[Ecoregion Original Value]]="","",Master[[#This Row],[Ecoregion Original Value]])</f>
        <v>21E:Southern Rockies (Omernik)</v>
      </c>
    </row>
    <row r="16" spans="1:15" x14ac:dyDescent="0.25">
      <c r="B16" s="141" t="str">
        <f>Master[[#This Row],[Accession Prefix (NPGS)]]&amp;" "&amp;Master[[#This Row],[Accession Number -Assigned]]&amp;" COLLECTED "&amp;TEXT(Master[[#This Row],[Date Collected or Developed]], "MM/DD/YYYY")</f>
        <v>W6 59602 COLLECTED 08/27/2020</v>
      </c>
      <c r="C16" s="141" t="str">
        <f t="shared" si="0"/>
        <v>ECOREGION</v>
      </c>
      <c r="D16" s="17" t="str">
        <f>IF(Master[[#This Row],[ECOREGION - Lookup picker]]="","",Master[[#This Row],[ECOREGION - Lookup picker]])</f>
        <v>Southern Rockies</v>
      </c>
      <c r="E16" s="109"/>
      <c r="G16" s="17" t="str">
        <f>IF(Master[[#This Row],[ECOREGION - Lookup picker]]="","",Master[[#This Row],[ECOREGION - Lookup picker]])</f>
        <v>Southern Rockies</v>
      </c>
      <c r="H16" s="141" t="str">
        <f>IF(Master[[#This Row],[Ecoregion Original Value]]="","",Master[[#This Row],[Ecoregion Original Value]])</f>
        <v>21E:Southern Rockies (Omernik)</v>
      </c>
    </row>
    <row r="17" spans="2:8" x14ac:dyDescent="0.25">
      <c r="B17" s="141" t="str">
        <f>Master[[#This Row],[Accession Prefix (NPGS)]]&amp;" "&amp;Master[[#This Row],[Accession Number -Assigned]]&amp;" COLLECTED "&amp;TEXT(Master[[#This Row],[Date Collected or Developed]], "MM/DD/YYYY")</f>
        <v>W6 59603 COLLECTED 09/02/2020</v>
      </c>
      <c r="C17" s="141" t="str">
        <f t="shared" si="0"/>
        <v>ECOREGION</v>
      </c>
      <c r="D17" s="17" t="str">
        <f>IF(Master[[#This Row],[ECOREGION - Lookup picker]]="","",Master[[#This Row],[ECOREGION - Lookup picker]])</f>
        <v>Southern Rockies</v>
      </c>
      <c r="E17" s="109"/>
      <c r="G17" s="17" t="str">
        <f>IF(Master[[#This Row],[ECOREGION - Lookup picker]]="","",Master[[#This Row],[ECOREGION - Lookup picker]])</f>
        <v>Southern Rockies</v>
      </c>
      <c r="H17" s="141" t="str">
        <f>IF(Master[[#This Row],[Ecoregion Original Value]]="","",Master[[#This Row],[Ecoregion Original Value]])</f>
        <v>21E:Southern Rockies (Omernik)</v>
      </c>
    </row>
    <row r="18" spans="2:8" x14ac:dyDescent="0.25">
      <c r="B18" s="141" t="str">
        <f>Master[[#This Row],[Accession Prefix (NPGS)]]&amp;" "&amp;Master[[#This Row],[Accession Number -Assigned]]&amp;" COLLECTED "&amp;TEXT(Master[[#This Row],[Date Collected or Developed]], "MM/DD/YYYY")</f>
        <v>W6 59604 COLLECTED 09/03/2020</v>
      </c>
      <c r="C18" s="141" t="str">
        <f t="shared" si="0"/>
        <v>ECOREGION</v>
      </c>
      <c r="D18" s="17" t="str">
        <f>IF(Master[[#This Row],[ECOREGION - Lookup picker]]="","",Master[[#This Row],[ECOREGION - Lookup picker]])</f>
        <v>Southern Rockies</v>
      </c>
      <c r="E18" s="109"/>
      <c r="G18" s="17" t="str">
        <f>IF(Master[[#This Row],[ECOREGION - Lookup picker]]="","",Master[[#This Row],[ECOREGION - Lookup picker]])</f>
        <v>Southern Rockies</v>
      </c>
      <c r="H18" s="141" t="str">
        <f>IF(Master[[#This Row],[Ecoregion Original Value]]="","",Master[[#This Row],[Ecoregion Original Value]])</f>
        <v>21E:Southern Rockies (Omernik)</v>
      </c>
    </row>
    <row r="19" spans="2:8" x14ac:dyDescent="0.25">
      <c r="B19" s="141" t="str">
        <f>Master[[#This Row],[Accession Prefix (NPGS)]]&amp;" "&amp;Master[[#This Row],[Accession Number -Assigned]]&amp;" COLLECTED "&amp;TEXT(Master[[#This Row],[Date Collected or Developed]], "MM/DD/YYYY")</f>
        <v>W6 59605 COLLECTED 09/10/2020</v>
      </c>
      <c r="C19" s="141" t="str">
        <f t="shared" si="0"/>
        <v>ECOREGION</v>
      </c>
      <c r="D19" s="17" t="str">
        <f>IF(Master[[#This Row],[ECOREGION - Lookup picker]]="","",Master[[#This Row],[ECOREGION - Lookup picker]])</f>
        <v>Southern Rockies</v>
      </c>
      <c r="E19" s="109"/>
      <c r="G19" s="17" t="str">
        <f>IF(Master[[#This Row],[ECOREGION - Lookup picker]]="","",Master[[#This Row],[ECOREGION - Lookup picker]])</f>
        <v>Southern Rockies</v>
      </c>
      <c r="H19" s="141" t="str">
        <f>IF(Master[[#This Row],[Ecoregion Original Value]]="","",Master[[#This Row],[Ecoregion Original Value]])</f>
        <v>21E:Southern Rockies (Omernik)</v>
      </c>
    </row>
    <row r="20" spans="2:8" x14ac:dyDescent="0.25">
      <c r="B20" s="141" t="str">
        <f>Master[[#This Row],[Accession Prefix (NPGS)]]&amp;" "&amp;Master[[#This Row],[Accession Number -Assigned]]&amp;" COLLECTED "&amp;TEXT(Master[[#This Row],[Date Collected or Developed]], "MM/DD/YYYY")</f>
        <v>W6 59606 COLLECTED 09/15/2020</v>
      </c>
      <c r="C20" s="141" t="str">
        <f t="shared" si="0"/>
        <v>ECOREGION</v>
      </c>
      <c r="D20" s="17" t="str">
        <f>IF(Master[[#This Row],[ECOREGION - Lookup picker]]="","",Master[[#This Row],[ECOREGION - Lookup picker]])</f>
        <v>Southern Rockies</v>
      </c>
      <c r="E20" s="109"/>
      <c r="G20" s="17" t="str">
        <f>IF(Master[[#This Row],[ECOREGION - Lookup picker]]="","",Master[[#This Row],[ECOREGION - Lookup picker]])</f>
        <v>Southern Rockies</v>
      </c>
      <c r="H20" s="141" t="str">
        <f>IF(Master[[#This Row],[Ecoregion Original Value]]="","",Master[[#This Row],[Ecoregion Original Value]])</f>
        <v>21E:Southern Rockies (Omernik)</v>
      </c>
    </row>
    <row r="21" spans="2:8" x14ac:dyDescent="0.25">
      <c r="B21" s="141" t="str">
        <f>Master[[#This Row],[Accession Prefix (NPGS)]]&amp;" "&amp;Master[[#This Row],[Accession Number -Assigned]]&amp;" COLLECTED "&amp;TEXT(Master[[#This Row],[Date Collected or Developed]], "MM/DD/YYYY")</f>
        <v>W6 59607 COLLECTED 09/15/2020</v>
      </c>
      <c r="C21" s="141" t="str">
        <f t="shared" si="0"/>
        <v>ECOREGION</v>
      </c>
      <c r="D21" s="17" t="str">
        <f>IF(Master[[#This Row],[ECOREGION - Lookup picker]]="","",Master[[#This Row],[ECOREGION - Lookup picker]])</f>
        <v>Southern Rockies</v>
      </c>
      <c r="E21" s="109"/>
      <c r="G21" s="17" t="str">
        <f>IF(Master[[#This Row],[ECOREGION - Lookup picker]]="","",Master[[#This Row],[ECOREGION - Lookup picker]])</f>
        <v>Southern Rockies</v>
      </c>
      <c r="H21" s="141" t="str">
        <f>IF(Master[[#This Row],[Ecoregion Original Value]]="","",Master[[#This Row],[Ecoregion Original Value]])</f>
        <v>21E:Southern Rockies (Omernik)</v>
      </c>
    </row>
    <row r="22" spans="2:8" x14ac:dyDescent="0.25">
      <c r="B22" s="141" t="str">
        <f>Master[[#This Row],[Accession Prefix (NPGS)]]&amp;" "&amp;Master[[#This Row],[Accession Number -Assigned]]&amp;" COLLECTED "&amp;TEXT(Master[[#This Row],[Date Collected or Developed]], "MM/DD/YYYY")</f>
        <v>W6 59608 COLLECTED 09/16/2020</v>
      </c>
      <c r="C22" s="141" t="str">
        <f t="shared" si="0"/>
        <v>ECOREGION</v>
      </c>
      <c r="D22" s="17" t="str">
        <f>IF(Master[[#This Row],[ECOREGION - Lookup picker]]="","",Master[[#This Row],[ECOREGION - Lookup picker]])</f>
        <v>Southern Rockies</v>
      </c>
      <c r="E22" s="109"/>
      <c r="G22" s="76" t="str">
        <f>IF(Master[[#This Row],[ECOREGION - Lookup picker]]="","",Master[[#This Row],[ECOREGION - Lookup picker]])</f>
        <v>Southern Rockies</v>
      </c>
      <c r="H22" s="141" t="str">
        <f>IF(Master[[#This Row],[Ecoregion Original Value]]="","",Master[[#This Row],[Ecoregion Original Value]])</f>
        <v>21E:Southern Rockies (Omernik)</v>
      </c>
    </row>
    <row r="23" spans="2:8" x14ac:dyDescent="0.25">
      <c r="B23" s="141" t="str">
        <f>Master[[#This Row],[Accession Prefix (NPGS)]]&amp;" "&amp;Master[[#This Row],[Accession Number -Assigned]]&amp;" COLLECTED "&amp;TEXT(Master[[#This Row],[Date Collected or Developed]], "MM/DD/YYYY")</f>
        <v>W6 59609 COLLECTED 09/16/2020</v>
      </c>
      <c r="C23" s="141" t="str">
        <f t="shared" si="0"/>
        <v>ECOREGION</v>
      </c>
      <c r="D23" s="17" t="str">
        <f>IF(Master[[#This Row],[ECOREGION - Lookup picker]]="","",Master[[#This Row],[ECOREGION - Lookup picker]])</f>
        <v>Southern Rockies</v>
      </c>
      <c r="E23" s="109"/>
      <c r="G23" s="76" t="str">
        <f>IF(Master[[#This Row],[ECOREGION - Lookup picker]]="","",Master[[#This Row],[ECOREGION - Lookup picker]])</f>
        <v>Southern Rockies</v>
      </c>
      <c r="H23" s="141" t="str">
        <f>IF(Master[[#This Row],[Ecoregion Original Value]]="","",Master[[#This Row],[Ecoregion Original Value]])</f>
        <v>21E:Southern Rockies (Omernik)</v>
      </c>
    </row>
    <row r="24" spans="2:8" x14ac:dyDescent="0.25">
      <c r="B24" s="141" t="str">
        <f>Master[[#This Row],[Accession Prefix (NPGS)]]&amp;" "&amp;Master[[#This Row],[Accession Number -Assigned]]&amp;" COLLECTED "&amp;TEXT(Master[[#This Row],[Date Collected or Developed]], "MM/DD/YYYY")</f>
        <v>W6 59610 COLLECTED 09/17/2020</v>
      </c>
      <c r="C24" s="141" t="str">
        <f t="shared" si="0"/>
        <v>ECOREGION</v>
      </c>
      <c r="D24" s="17" t="str">
        <f>IF(Master[[#This Row],[ECOREGION - Lookup picker]]="","",Master[[#This Row],[ECOREGION - Lookup picker]])</f>
        <v>Southern Rockies</v>
      </c>
      <c r="E24" s="109"/>
      <c r="G24" s="76" t="str">
        <f>IF(Master[[#This Row],[ECOREGION - Lookup picker]]="","",Master[[#This Row],[ECOREGION - Lookup picker]])</f>
        <v>Southern Rockies</v>
      </c>
      <c r="H24" s="141" t="str">
        <f>IF(Master[[#This Row],[Ecoregion Original Value]]="","",Master[[#This Row],[Ecoregion Original Value]])</f>
        <v>21E:Southern Rockies (Omernik)</v>
      </c>
    </row>
    <row r="25" spans="2:8" x14ac:dyDescent="0.25">
      <c r="B25" s="141" t="str">
        <f>Master[[#This Row],[Accession Prefix (NPGS)]]&amp;" "&amp;Master[[#This Row],[Accession Number -Assigned]]&amp;" COLLECTED "&amp;TEXT(Master[[#This Row],[Date Collected or Developed]], "MM/DD/YYYY")</f>
        <v>W6 59611 COLLECTED 09/24/2020</v>
      </c>
      <c r="C25" s="141" t="str">
        <f t="shared" si="0"/>
        <v>ECOREGION</v>
      </c>
      <c r="D25" s="17" t="str">
        <f>IF(Master[[#This Row],[ECOREGION - Lookup picker]]="","",Master[[#This Row],[ECOREGION - Lookup picker]])</f>
        <v>Southern Rockies</v>
      </c>
      <c r="E25" s="109"/>
      <c r="G25" s="76" t="str">
        <f>IF(Master[[#This Row],[ECOREGION - Lookup picker]]="","",Master[[#This Row],[ECOREGION - Lookup picker]])</f>
        <v>Southern Rockies</v>
      </c>
      <c r="H25" s="141" t="str">
        <f>IF(Master[[#This Row],[Ecoregion Original Value]]="","",Master[[#This Row],[Ecoregion Original Value]])</f>
        <v>21E:Southern Rockies (Omernik)</v>
      </c>
    </row>
    <row r="26" spans="2:8" x14ac:dyDescent="0.25">
      <c r="B26" s="141" t="str">
        <f>Master[[#This Row],[Accession Prefix (NPGS)]]&amp;" "&amp;Master[[#This Row],[Accession Number -Assigned]]&amp;" COLLECTED "&amp;TEXT(Master[[#This Row],[Date Collected or Developed]], "MM/DD/YYYY")</f>
        <v>W6 59612 COLLECTED 09/24/2020</v>
      </c>
      <c r="C26" s="141" t="str">
        <f t="shared" si="0"/>
        <v>ECOREGION</v>
      </c>
      <c r="D26" s="17" t="str">
        <f>IF(Master[[#This Row],[ECOREGION - Lookup picker]]="","",Master[[#This Row],[ECOREGION - Lookup picker]])</f>
        <v>Southern Rockies</v>
      </c>
      <c r="E26" s="109"/>
      <c r="G26" s="76" t="str">
        <f>IF(Master[[#This Row],[ECOREGION - Lookup picker]]="","",Master[[#This Row],[ECOREGION - Lookup picker]])</f>
        <v>Southern Rockies</v>
      </c>
      <c r="H26" s="141" t="str">
        <f>IF(Master[[#This Row],[Ecoregion Original Value]]="","",Master[[#This Row],[Ecoregion Original Value]])</f>
        <v>21E:Southern Rockies (Omernik)</v>
      </c>
    </row>
    <row r="27" spans="2:8" x14ac:dyDescent="0.25">
      <c r="B27" s="141" t="str">
        <f>Master[[#This Row],[Accession Prefix (NPGS)]]&amp;" "&amp;Master[[#This Row],[Accession Number -Assigned]]&amp;" COLLECTED "&amp;TEXT(Master[[#This Row],[Date Collected or Developed]], "MM/DD/YYYY")</f>
        <v>W6 59613 COLLECTED 09/30/2020</v>
      </c>
      <c r="C27" s="141" t="str">
        <f t="shared" si="0"/>
        <v>ECOREGION</v>
      </c>
      <c r="D27" s="17" t="str">
        <f>IF(Master[[#This Row],[ECOREGION - Lookup picker]]="","",Master[[#This Row],[ECOREGION - Lookup picker]])</f>
        <v>Southern Rockies</v>
      </c>
      <c r="E27" s="109"/>
      <c r="G27" s="76" t="str">
        <f>IF(Master[[#This Row],[ECOREGION - Lookup picker]]="","",Master[[#This Row],[ECOREGION - Lookup picker]])</f>
        <v>Southern Rockies</v>
      </c>
      <c r="H27" s="141" t="str">
        <f>IF(Master[[#This Row],[Ecoregion Original Value]]="","",Master[[#This Row],[Ecoregion Original Value]])</f>
        <v>21E:Southern Rockies (Omernik)</v>
      </c>
    </row>
    <row r="28" spans="2:8" x14ac:dyDescent="0.25">
      <c r="B28" s="141" t="str">
        <f>Master[[#This Row],[Accession Prefix (NPGS)]]&amp;" "&amp;Master[[#This Row],[Accession Number -Assigned]]&amp;" COLLECTED "&amp;TEXT(Master[[#This Row],[Date Collected or Developed]], "MM/DD/YYYY")</f>
        <v>W6 59614 COLLECTED 09/30/2020</v>
      </c>
      <c r="C28" s="141" t="str">
        <f t="shared" si="0"/>
        <v>ECOREGION</v>
      </c>
      <c r="D28" s="17" t="str">
        <f>IF(Master[[#This Row],[ECOREGION - Lookup picker]]="","",Master[[#This Row],[ECOREGION - Lookup picker]])</f>
        <v>Southern Rockies</v>
      </c>
      <c r="E28" s="109"/>
      <c r="G28" s="76" t="str">
        <f>IF(Master[[#This Row],[ECOREGION - Lookup picker]]="","",Master[[#This Row],[ECOREGION - Lookup picker]])</f>
        <v>Southern Rockies</v>
      </c>
      <c r="H28" s="141" t="str">
        <f>IF(Master[[#This Row],[Ecoregion Original Value]]="","",Master[[#This Row],[Ecoregion Original Value]])</f>
        <v>21E:Southern Rockies (Omernik)</v>
      </c>
    </row>
    <row r="29" spans="2:8" x14ac:dyDescent="0.25">
      <c r="B29" s="141" t="str">
        <f>Master[[#This Row],[Accession Prefix (NPGS)]]&amp;" "&amp;Master[[#This Row],[Accession Number -Assigned]]&amp;" COLLECTED "&amp;TEXT(Master[[#This Row],[Date Collected or Developed]], "MM/DD/YYYY")</f>
        <v>W6 59615 COLLECTED 10/08/2020</v>
      </c>
      <c r="C29" s="141" t="str">
        <f t="shared" si="0"/>
        <v>ECOREGION</v>
      </c>
      <c r="D29" s="17" t="str">
        <f>IF(Master[[#This Row],[ECOREGION - Lookup picker]]="","",Master[[#This Row],[ECOREGION - Lookup picker]])</f>
        <v>Southern Rockies</v>
      </c>
      <c r="E29" s="109"/>
      <c r="G29" s="76" t="str">
        <f>IF(Master[[#This Row],[ECOREGION - Lookup picker]]="","",Master[[#This Row],[ECOREGION - Lookup picker]])</f>
        <v>Southern Rockies</v>
      </c>
      <c r="H29" s="141" t="str">
        <f>IF(Master[[#This Row],[Ecoregion Original Value]]="","",Master[[#This Row],[Ecoregion Original Value]])</f>
        <v>21E:Southern Rockies (Omernik)</v>
      </c>
    </row>
    <row r="30" spans="2:8" x14ac:dyDescent="0.25">
      <c r="B30" s="141" t="str">
        <f>Master[[#This Row],[Accession Prefix (NPGS)]]&amp;" "&amp;Master[[#This Row],[Accession Number -Assigned]]&amp;" COLLECTED "&amp;TEXT(Master[[#This Row],[Date Collected or Developed]], "MM/DD/YYYY")</f>
        <v>W6 59616 COLLECTED 10/22/2020</v>
      </c>
      <c r="C30" s="141" t="str">
        <f t="shared" si="0"/>
        <v>ECOREGION</v>
      </c>
      <c r="D30" s="17" t="str">
        <f>IF(Master[[#This Row],[ECOREGION - Lookup picker]]="","",Master[[#This Row],[ECOREGION - Lookup picker]])</f>
        <v>Southern Rockies</v>
      </c>
      <c r="E30" s="109"/>
      <c r="G30" s="76" t="str">
        <f>IF(Master[[#This Row],[ECOREGION - Lookup picker]]="","",Master[[#This Row],[ECOREGION - Lookup picker]])</f>
        <v>Southern Rockies</v>
      </c>
      <c r="H30" s="141" t="str">
        <f>IF(Master[[#This Row],[Ecoregion Original Value]]="","",Master[[#This Row],[Ecoregion Original Value]])</f>
        <v>21E:Southern Rockies (Omernik)</v>
      </c>
    </row>
    <row r="31" spans="2:8" x14ac:dyDescent="0.25">
      <c r="B31" s="141" t="str">
        <f>Master[[#This Row],[Accession Prefix (NPGS)]]&amp;" "&amp;Master[[#This Row],[Accession Number -Assigned]]&amp;" COLLECTED "&amp;TEXT(Master[[#This Row],[Date Collected or Developed]], "MM/DD/YYYY")</f>
        <v>W6 59617 COLLECTED 08/25/2020</v>
      </c>
      <c r="C31" s="141" t="str">
        <f t="shared" si="0"/>
        <v>ECOREGION</v>
      </c>
      <c r="D31" s="17" t="str">
        <f>IF(Master[[#This Row],[ECOREGION - Lookup picker]]="","",Master[[#This Row],[ECOREGION - Lookup picker]])</f>
        <v>Central Basin and Range</v>
      </c>
      <c r="E31" s="109"/>
      <c r="G31" s="76" t="str">
        <f>IF(Master[[#This Row],[ECOREGION - Lookup picker]]="","",Master[[#This Row],[ECOREGION - Lookup picker]])</f>
        <v>Central Basin and Range</v>
      </c>
      <c r="H31" s="141" t="str">
        <f>IF(Master[[#This Row],[Ecoregion Original Value]]="","",Master[[#This Row],[Ecoregion Original Value]])</f>
        <v>13E:Central Basin and Range (Omernik)</v>
      </c>
    </row>
    <row r="32" spans="2:8" x14ac:dyDescent="0.25">
      <c r="B32" s="141" t="str">
        <f>Master[[#This Row],[Accession Prefix (NPGS)]]&amp;" "&amp;Master[[#This Row],[Accession Number -Assigned]]&amp;" COLLECTED "&amp;TEXT(Master[[#This Row],[Date Collected or Developed]], "MM/DD/YYYY")</f>
        <v>W6 59618 COLLECTED 09/02/2020</v>
      </c>
      <c r="C32" s="141" t="str">
        <f t="shared" si="0"/>
        <v>ECOREGION</v>
      </c>
      <c r="D32" s="17" t="str">
        <f>IF(Master[[#This Row],[ECOREGION - Lookup picker]]="","",Master[[#This Row],[ECOREGION - Lookup picker]])</f>
        <v>Sierra Nevada</v>
      </c>
      <c r="E32" s="109"/>
      <c r="G32" s="76" t="str">
        <f>IF(Master[[#This Row],[ECOREGION - Lookup picker]]="","",Master[[#This Row],[ECOREGION - Lookup picker]])</f>
        <v>Sierra Nevada</v>
      </c>
      <c r="H32" s="141" t="str">
        <f>IF(Master[[#This Row],[Ecoregion Original Value]]="","",Master[[#This Row],[Ecoregion Original Value]])</f>
        <v>5E:Sierra Nevada (Omernik)</v>
      </c>
    </row>
    <row r="33" spans="2:8" x14ac:dyDescent="0.25">
      <c r="B33" s="141" t="str">
        <f>Master[[#This Row],[Accession Prefix (NPGS)]]&amp;" "&amp;Master[[#This Row],[Accession Number -Assigned]]&amp;" COLLECTED "&amp;TEXT(Master[[#This Row],[Date Collected or Developed]], "MM/DD/YYYY")</f>
        <v>W6 59619 COLLECTED 09/03/2020</v>
      </c>
      <c r="C33" s="141" t="str">
        <f t="shared" si="0"/>
        <v>ECOREGION</v>
      </c>
      <c r="D33" s="17" t="str">
        <f>IF(Master[[#This Row],[ECOREGION - Lookup picker]]="","",Master[[#This Row],[ECOREGION - Lookup picker]])</f>
        <v>Central Basin and Range</v>
      </c>
      <c r="E33" s="109"/>
      <c r="G33" s="76" t="str">
        <f>IF(Master[[#This Row],[ECOREGION - Lookup picker]]="","",Master[[#This Row],[ECOREGION - Lookup picker]])</f>
        <v>Central Basin and Range</v>
      </c>
      <c r="H33" s="141" t="str">
        <f>IF(Master[[#This Row],[Ecoregion Original Value]]="","",Master[[#This Row],[Ecoregion Original Value]])</f>
        <v>13E:Central Basin and Range (Omernik)</v>
      </c>
    </row>
    <row r="34" spans="2:8" x14ac:dyDescent="0.25">
      <c r="B34" s="141" t="str">
        <f>Master[[#This Row],[Accession Prefix (NPGS)]]&amp;" "&amp;Master[[#This Row],[Accession Number -Assigned]]&amp;" COLLECTED "&amp;TEXT(Master[[#This Row],[Date Collected or Developed]], "MM/DD/YYYY")</f>
        <v>W6 59620 COLLECTED 09/10/2020</v>
      </c>
      <c r="C34" s="141" t="str">
        <f t="shared" ref="C34:C65" si="1">"ECOREGION"</f>
        <v>ECOREGION</v>
      </c>
      <c r="D34" s="17" t="str">
        <f>IF(Master[[#This Row],[ECOREGION - Lookup picker]]="","",Master[[#This Row],[ECOREGION - Lookup picker]])</f>
        <v>Central Basin and Range</v>
      </c>
      <c r="E34" s="109"/>
      <c r="G34" s="76" t="str">
        <f>IF(Master[[#This Row],[ECOREGION - Lookup picker]]="","",Master[[#This Row],[ECOREGION - Lookup picker]])</f>
        <v>Central Basin and Range</v>
      </c>
      <c r="H34" s="141" t="str">
        <f>IF(Master[[#This Row],[Ecoregion Original Value]]="","",Master[[#This Row],[Ecoregion Original Value]])</f>
        <v>13E:Central Basin and Range (Omernik)</v>
      </c>
    </row>
    <row r="35" spans="2:8" x14ac:dyDescent="0.25">
      <c r="B35" s="141" t="str">
        <f>Master[[#This Row],[Accession Prefix (NPGS)]]&amp;" "&amp;Master[[#This Row],[Accession Number -Assigned]]&amp;" COLLECTED "&amp;TEXT(Master[[#This Row],[Date Collected or Developed]], "MM/DD/YYYY")</f>
        <v>W6 59621 COLLECTED 09/22/2020</v>
      </c>
      <c r="C35" s="141" t="str">
        <f t="shared" si="1"/>
        <v>ECOREGION</v>
      </c>
      <c r="D35" s="17" t="str">
        <f>IF(Master[[#This Row],[ECOREGION - Lookup picker]]="","",Master[[#This Row],[ECOREGION - Lookup picker]])</f>
        <v>Central Basin and Range</v>
      </c>
      <c r="E35" s="109"/>
      <c r="G35" s="76" t="str">
        <f>IF(Master[[#This Row],[ECOREGION - Lookup picker]]="","",Master[[#This Row],[ECOREGION - Lookup picker]])</f>
        <v>Central Basin and Range</v>
      </c>
      <c r="H35" s="141" t="str">
        <f>IF(Master[[#This Row],[Ecoregion Original Value]]="","",Master[[#This Row],[Ecoregion Original Value]])</f>
        <v>13E:Central Basin and Range (Omernik)</v>
      </c>
    </row>
    <row r="36" spans="2:8" x14ac:dyDescent="0.25">
      <c r="B36" s="141" t="str">
        <f>Master[[#This Row],[Accession Prefix (NPGS)]]&amp;" "&amp;Master[[#This Row],[Accession Number -Assigned]]&amp;" COLLECTED "&amp;TEXT(Master[[#This Row],[Date Collected or Developed]], "MM/DD/YYYY")</f>
        <v>W6 59622 COLLECTED 09/22/2020</v>
      </c>
      <c r="C36" s="141" t="str">
        <f t="shared" si="1"/>
        <v>ECOREGION</v>
      </c>
      <c r="D36" s="17" t="str">
        <f>IF(Master[[#This Row],[ECOREGION - Lookup picker]]="","",Master[[#This Row],[ECOREGION - Lookup picker]])</f>
        <v>Central Basin and Range</v>
      </c>
      <c r="E36" s="109"/>
      <c r="G36" s="76" t="str">
        <f>IF(Master[[#This Row],[ECOREGION - Lookup picker]]="","",Master[[#This Row],[ECOREGION - Lookup picker]])</f>
        <v>Central Basin and Range</v>
      </c>
      <c r="H36" s="141" t="str">
        <f>IF(Master[[#This Row],[Ecoregion Original Value]]="","",Master[[#This Row],[Ecoregion Original Value]])</f>
        <v>13E:Central Basin and Range (Omernik)</v>
      </c>
    </row>
    <row r="37" spans="2:8" x14ac:dyDescent="0.25">
      <c r="B37" s="141" t="str">
        <f>Master[[#This Row],[Accession Prefix (NPGS)]]&amp;" "&amp;Master[[#This Row],[Accession Number -Assigned]]&amp;" COLLECTED "&amp;TEXT(Master[[#This Row],[Date Collected or Developed]], "MM/DD/YYYY")</f>
        <v>W6 59623 COLLECTED 10/10/2020</v>
      </c>
      <c r="C37" s="141" t="str">
        <f t="shared" si="1"/>
        <v>ECOREGION</v>
      </c>
      <c r="D37" s="17" t="str">
        <f>IF(Master[[#This Row],[ECOREGION - Lookup picker]]="","",Master[[#This Row],[ECOREGION - Lookup picker]])</f>
        <v>Central Basin and Range</v>
      </c>
      <c r="E37" s="109"/>
      <c r="G37" s="76" t="str">
        <f>IF(Master[[#This Row],[ECOREGION - Lookup picker]]="","",Master[[#This Row],[ECOREGION - Lookup picker]])</f>
        <v>Central Basin and Range</v>
      </c>
      <c r="H37" s="141" t="str">
        <f>IF(Master[[#This Row],[Ecoregion Original Value]]="","",Master[[#This Row],[Ecoregion Original Value]])</f>
        <v>13E:Central Basin and Range (Omernik)</v>
      </c>
    </row>
    <row r="38" spans="2:8" x14ac:dyDescent="0.25">
      <c r="B38" s="141" t="str">
        <f>Master[[#This Row],[Accession Prefix (NPGS)]]&amp;" "&amp;Master[[#This Row],[Accession Number -Assigned]]&amp;" COLLECTED "&amp;TEXT(Master[[#This Row],[Date Collected or Developed]], "MM/DD/YYYY")</f>
        <v>W6 59624 COLLECTED 10/10/2020</v>
      </c>
      <c r="C38" s="141" t="str">
        <f t="shared" si="1"/>
        <v>ECOREGION</v>
      </c>
      <c r="D38" s="17" t="str">
        <f>IF(Master[[#This Row],[ECOREGION - Lookup picker]]="","",Master[[#This Row],[ECOREGION - Lookup picker]])</f>
        <v>Central Basin and Range</v>
      </c>
      <c r="E38" s="109"/>
      <c r="G38" s="76" t="str">
        <f>IF(Master[[#This Row],[ECOREGION - Lookup picker]]="","",Master[[#This Row],[ECOREGION - Lookup picker]])</f>
        <v>Central Basin and Range</v>
      </c>
      <c r="H38" s="141" t="str">
        <f>IF(Master[[#This Row],[Ecoregion Original Value]]="","",Master[[#This Row],[Ecoregion Original Value]])</f>
        <v>13E:Central Basin and Range (Omernik)</v>
      </c>
    </row>
    <row r="39" spans="2:8" x14ac:dyDescent="0.25">
      <c r="B39" s="141" t="str">
        <f>Master[[#This Row],[Accession Prefix (NPGS)]]&amp;" "&amp;Master[[#This Row],[Accession Number -Assigned]]&amp;" COLLECTED "&amp;TEXT(Master[[#This Row],[Date Collected or Developed]], "MM/DD/YYYY")</f>
        <v>W6 59625 COLLECTED 10/10/2020</v>
      </c>
      <c r="C39" s="141" t="str">
        <f t="shared" si="1"/>
        <v>ECOREGION</v>
      </c>
      <c r="D39" s="17" t="str">
        <f>IF(Master[[#This Row],[ECOREGION - Lookup picker]]="","",Master[[#This Row],[ECOREGION - Lookup picker]])</f>
        <v>Central Basin and Range</v>
      </c>
      <c r="E39" s="109"/>
      <c r="G39" s="76" t="str">
        <f>IF(Master[[#This Row],[ECOREGION - Lookup picker]]="","",Master[[#This Row],[ECOREGION - Lookup picker]])</f>
        <v>Central Basin and Range</v>
      </c>
      <c r="H39" s="141" t="str">
        <f>IF(Master[[#This Row],[Ecoregion Original Value]]="","",Master[[#This Row],[Ecoregion Original Value]])</f>
        <v>13E:Central Basin and Range (Omernik)</v>
      </c>
    </row>
    <row r="40" spans="2:8" x14ac:dyDescent="0.25">
      <c r="B40" s="141" t="str">
        <f>Master[[#This Row],[Accession Prefix (NPGS)]]&amp;" "&amp;Master[[#This Row],[Accession Number -Assigned]]&amp;" COLLECTED "&amp;TEXT(Master[[#This Row],[Date Collected or Developed]], "MM/DD/YYYY")</f>
        <v>W6 59626 COLLECTED 10/14/2020</v>
      </c>
      <c r="C40" s="141" t="str">
        <f t="shared" si="1"/>
        <v>ECOREGION</v>
      </c>
      <c r="D40" s="17" t="str">
        <f>IF(Master[[#This Row],[ECOREGION - Lookup picker]]="","",Master[[#This Row],[ECOREGION - Lookup picker]])</f>
        <v>Central Basin and Range</v>
      </c>
      <c r="E40" s="109"/>
      <c r="G40" s="76" t="str">
        <f>IF(Master[[#This Row],[ECOREGION - Lookup picker]]="","",Master[[#This Row],[ECOREGION - Lookup picker]])</f>
        <v>Central Basin and Range</v>
      </c>
      <c r="H40" s="141" t="str">
        <f>IF(Master[[#This Row],[Ecoregion Original Value]]="","",Master[[#This Row],[Ecoregion Original Value]])</f>
        <v>13E:Central Basin and Range (Omernik)</v>
      </c>
    </row>
    <row r="41" spans="2:8" x14ac:dyDescent="0.25">
      <c r="B41" s="141" t="str">
        <f>Master[[#This Row],[Accession Prefix (NPGS)]]&amp;" "&amp;Master[[#This Row],[Accession Number -Assigned]]&amp;" COLLECTED "&amp;TEXT(Master[[#This Row],[Date Collected or Developed]], "MM/DD/YYYY")</f>
        <v>W6 59627 COLLECTED 10/14/2020</v>
      </c>
      <c r="C41" s="141" t="str">
        <f t="shared" si="1"/>
        <v>ECOREGION</v>
      </c>
      <c r="D41" s="17" t="str">
        <f>IF(Master[[#This Row],[ECOREGION - Lookup picker]]="","",Master[[#This Row],[ECOREGION - Lookup picker]])</f>
        <v>Central Basin and Range</v>
      </c>
      <c r="E41" s="109"/>
      <c r="G41" s="76" t="str">
        <f>IF(Master[[#This Row],[ECOREGION - Lookup picker]]="","",Master[[#This Row],[ECOREGION - Lookup picker]])</f>
        <v>Central Basin and Range</v>
      </c>
      <c r="H41" s="141" t="str">
        <f>IF(Master[[#This Row],[Ecoregion Original Value]]="","",Master[[#This Row],[Ecoregion Original Value]])</f>
        <v>13E:Central Basin and Range (Omernik)</v>
      </c>
    </row>
    <row r="42" spans="2:8" x14ac:dyDescent="0.25">
      <c r="B42" s="141" t="str">
        <f>Master[[#This Row],[Accession Prefix (NPGS)]]&amp;" "&amp;Master[[#This Row],[Accession Number -Assigned]]&amp;" COLLECTED "&amp;TEXT(Master[[#This Row],[Date Collected or Developed]], "MM/DD/YYYY")</f>
        <v>W6 59628 COLLECTED 10/14/2020</v>
      </c>
      <c r="C42" s="141" t="str">
        <f t="shared" si="1"/>
        <v>ECOREGION</v>
      </c>
      <c r="D42" s="17" t="str">
        <f>IF(Master[[#This Row],[ECOREGION - Lookup picker]]="","",Master[[#This Row],[ECOREGION - Lookup picker]])</f>
        <v>Central Basin and Range</v>
      </c>
      <c r="E42" s="109"/>
      <c r="G42" s="76" t="str">
        <f>IF(Master[[#This Row],[ECOREGION - Lookup picker]]="","",Master[[#This Row],[ECOREGION - Lookup picker]])</f>
        <v>Central Basin and Range</v>
      </c>
      <c r="H42" s="141" t="str">
        <f>IF(Master[[#This Row],[Ecoregion Original Value]]="","",Master[[#This Row],[Ecoregion Original Value]])</f>
        <v>13E:Central Basin and Range (Omernik)</v>
      </c>
    </row>
    <row r="43" spans="2:8" x14ac:dyDescent="0.25">
      <c r="B43" s="141" t="str">
        <f>Master[[#This Row],[Accession Prefix (NPGS)]]&amp;" "&amp;Master[[#This Row],[Accession Number -Assigned]]&amp;" COLLECTED "&amp;TEXT(Master[[#This Row],[Date Collected or Developed]], "MM/DD/YYYY")</f>
        <v>W6 59629 COLLECTED 10/15/2020</v>
      </c>
      <c r="C43" s="141" t="str">
        <f t="shared" si="1"/>
        <v>ECOREGION</v>
      </c>
      <c r="D43" s="17" t="str">
        <f>IF(Master[[#This Row],[ECOREGION - Lookup picker]]="","",Master[[#This Row],[ECOREGION - Lookup picker]])</f>
        <v>Central Basin and Range</v>
      </c>
      <c r="E43" s="109"/>
      <c r="G43" s="76" t="str">
        <f>IF(Master[[#This Row],[ECOREGION - Lookup picker]]="","",Master[[#This Row],[ECOREGION - Lookup picker]])</f>
        <v>Central Basin and Range</v>
      </c>
      <c r="H43" s="141" t="str">
        <f>IF(Master[[#This Row],[Ecoregion Original Value]]="","",Master[[#This Row],[Ecoregion Original Value]])</f>
        <v>13E:Central Basin and Range (Omernik)</v>
      </c>
    </row>
    <row r="44" spans="2:8" x14ac:dyDescent="0.25">
      <c r="B44" s="141" t="str">
        <f>Master[[#This Row],[Accession Prefix (NPGS)]]&amp;" "&amp;Master[[#This Row],[Accession Number -Assigned]]&amp;" COLLECTED "&amp;TEXT(Master[[#This Row],[Date Collected or Developed]], "MM/DD/YYYY")</f>
        <v>W6 59630 COLLECTED 10/15/2020</v>
      </c>
      <c r="C44" s="141" t="str">
        <f t="shared" si="1"/>
        <v>ECOREGION</v>
      </c>
      <c r="D44" s="17" t="str">
        <f>IF(Master[[#This Row],[ECOREGION - Lookup picker]]="","",Master[[#This Row],[ECOREGION - Lookup picker]])</f>
        <v>Central Basin and Range</v>
      </c>
      <c r="E44" s="109"/>
      <c r="G44" s="76" t="str">
        <f>IF(Master[[#This Row],[ECOREGION - Lookup picker]]="","",Master[[#This Row],[ECOREGION - Lookup picker]])</f>
        <v>Central Basin and Range</v>
      </c>
      <c r="H44" s="141" t="str">
        <f>IF(Master[[#This Row],[Ecoregion Original Value]]="","",Master[[#This Row],[Ecoregion Original Value]])</f>
        <v>13E:Central Basin and Range (Omernik)</v>
      </c>
    </row>
    <row r="45" spans="2:8" x14ac:dyDescent="0.25">
      <c r="B45" s="141" t="str">
        <f>Master[[#This Row],[Accession Prefix (NPGS)]]&amp;" "&amp;Master[[#This Row],[Accession Number -Assigned]]&amp;" COLLECTED "&amp;TEXT(Master[[#This Row],[Date Collected or Developed]], "MM/DD/YYYY")</f>
        <v>W6 59631 COLLECTED 10/20/2020</v>
      </c>
      <c r="C45" s="141" t="str">
        <f t="shared" si="1"/>
        <v>ECOREGION</v>
      </c>
      <c r="D45" s="17" t="str">
        <f>IF(Master[[#This Row],[ECOREGION - Lookup picker]]="","",Master[[#This Row],[ECOREGION - Lookup picker]])</f>
        <v>Central Basin and Range</v>
      </c>
      <c r="E45" s="109"/>
      <c r="G45" s="76" t="str">
        <f>IF(Master[[#This Row],[ECOREGION - Lookup picker]]="","",Master[[#This Row],[ECOREGION - Lookup picker]])</f>
        <v>Central Basin and Range</v>
      </c>
      <c r="H45" s="141" t="str">
        <f>IF(Master[[#This Row],[Ecoregion Original Value]]="","",Master[[#This Row],[Ecoregion Original Value]])</f>
        <v>13E:Central Basin and Range (Omernik)</v>
      </c>
    </row>
    <row r="46" spans="2:8" x14ac:dyDescent="0.25">
      <c r="B46" s="141" t="str">
        <f>Master[[#This Row],[Accession Prefix (NPGS)]]&amp;" "&amp;Master[[#This Row],[Accession Number -Assigned]]&amp;" COLLECTED "&amp;TEXT(Master[[#This Row],[Date Collected or Developed]], "MM/DD/YYYY")</f>
        <v>W6 59632 COLLECTED 10/27/2020</v>
      </c>
      <c r="C46" s="141" t="str">
        <f t="shared" si="1"/>
        <v>ECOREGION</v>
      </c>
      <c r="D46" s="17" t="str">
        <f>IF(Master[[#This Row],[ECOREGION - Lookup picker]]="","",Master[[#This Row],[ECOREGION - Lookup picker]])</f>
        <v>Central Basin and Range</v>
      </c>
      <c r="E46" s="109"/>
      <c r="G46" s="76" t="str">
        <f>IF(Master[[#This Row],[ECOREGION - Lookup picker]]="","",Master[[#This Row],[ECOREGION - Lookup picker]])</f>
        <v>Central Basin and Range</v>
      </c>
      <c r="H46" s="141" t="str">
        <f>IF(Master[[#This Row],[Ecoregion Original Value]]="","",Master[[#This Row],[Ecoregion Original Value]])</f>
        <v>13E:Central Basin and Range (Omernik)</v>
      </c>
    </row>
    <row r="47" spans="2:8" x14ac:dyDescent="0.25">
      <c r="B47" s="141" t="str">
        <f>Master[[#This Row],[Accession Prefix (NPGS)]]&amp;" "&amp;Master[[#This Row],[Accession Number -Assigned]]&amp;" COLLECTED "&amp;TEXT(Master[[#This Row],[Date Collected or Developed]], "MM/DD/YYYY")</f>
        <v>W6 59633 COLLECTED 11/10/2020</v>
      </c>
      <c r="C47" s="141" t="str">
        <f t="shared" si="1"/>
        <v>ECOREGION</v>
      </c>
      <c r="D47" s="17" t="str">
        <f>IF(Master[[#This Row],[ECOREGION - Lookup picker]]="","",Master[[#This Row],[ECOREGION - Lookup picker]])</f>
        <v>Central Basin and Range</v>
      </c>
      <c r="E47" s="109"/>
      <c r="G47" s="76" t="str">
        <f>IF(Master[[#This Row],[ECOREGION - Lookup picker]]="","",Master[[#This Row],[ECOREGION - Lookup picker]])</f>
        <v>Central Basin and Range</v>
      </c>
      <c r="H47" s="141" t="str">
        <f>IF(Master[[#This Row],[Ecoregion Original Value]]="","",Master[[#This Row],[Ecoregion Original Value]])</f>
        <v>13E:Central Basin and Range (Omernik)</v>
      </c>
    </row>
    <row r="48" spans="2:8" x14ac:dyDescent="0.25">
      <c r="B48" s="141" t="str">
        <f>Master[[#This Row],[Accession Prefix (NPGS)]]&amp;" "&amp;Master[[#This Row],[Accession Number -Assigned]]&amp;" COLLECTED "&amp;TEXT(Master[[#This Row],[Date Collected or Developed]], "MM/DD/YYYY")</f>
        <v>W6 59634 COLLECTED 11/10/2020</v>
      </c>
      <c r="C48" s="141" t="str">
        <f t="shared" si="1"/>
        <v>ECOREGION</v>
      </c>
      <c r="D48" s="17" t="str">
        <f>IF(Master[[#This Row],[ECOREGION - Lookup picker]]="","",Master[[#This Row],[ECOREGION - Lookup picker]])</f>
        <v>Central Basin and Range</v>
      </c>
      <c r="E48" s="109"/>
      <c r="G48" s="76" t="str">
        <f>IF(Master[[#This Row],[ECOREGION - Lookup picker]]="","",Master[[#This Row],[ECOREGION - Lookup picker]])</f>
        <v>Central Basin and Range</v>
      </c>
      <c r="H48" s="141" t="str">
        <f>IF(Master[[#This Row],[Ecoregion Original Value]]="","",Master[[#This Row],[Ecoregion Original Value]])</f>
        <v>13E:Central Basin and Range (Omernik)</v>
      </c>
    </row>
    <row r="49" spans="2:8" x14ac:dyDescent="0.25">
      <c r="B49" s="141" t="str">
        <f>Master[[#This Row],[Accession Prefix (NPGS)]]&amp;" "&amp;Master[[#This Row],[Accession Number -Assigned]]&amp;" COLLECTED "&amp;TEXT(Master[[#This Row],[Date Collected or Developed]], "MM/DD/YYYY")</f>
        <v>W6 59635 COLLECTED 11/19/2020</v>
      </c>
      <c r="C49" s="141" t="str">
        <f t="shared" si="1"/>
        <v>ECOREGION</v>
      </c>
      <c r="D49" s="17" t="str">
        <f>IF(Master[[#This Row],[ECOREGION - Lookup picker]]="","",Master[[#This Row],[ECOREGION - Lookup picker]])</f>
        <v>Central Basin and Range</v>
      </c>
      <c r="E49" s="109"/>
      <c r="G49" s="76" t="str">
        <f>IF(Master[[#This Row],[ECOREGION - Lookup picker]]="","",Master[[#This Row],[ECOREGION - Lookup picker]])</f>
        <v>Central Basin and Range</v>
      </c>
      <c r="H49" s="141" t="str">
        <f>IF(Master[[#This Row],[Ecoregion Original Value]]="","",Master[[#This Row],[Ecoregion Original Value]])</f>
        <v>13E:Central Basin and Range (Omernik)</v>
      </c>
    </row>
    <row r="50" spans="2:8" x14ac:dyDescent="0.25">
      <c r="B50" s="141" t="str">
        <f>Master[[#This Row],[Accession Prefix (NPGS)]]&amp;" "&amp;Master[[#This Row],[Accession Number -Assigned]]&amp;" COLLECTED "&amp;TEXT(Master[[#This Row],[Date Collected or Developed]], "MM/DD/YYYY")</f>
        <v>W6 59636 COLLECTED 11/23/2020</v>
      </c>
      <c r="C50" s="141" t="str">
        <f t="shared" si="1"/>
        <v>ECOREGION</v>
      </c>
      <c r="D50" s="17" t="str">
        <f>IF(Master[[#This Row],[ECOREGION - Lookup picker]]="","",Master[[#This Row],[ECOREGION - Lookup picker]])</f>
        <v>Central Basin and Range</v>
      </c>
      <c r="E50" s="109"/>
      <c r="G50" s="76" t="str">
        <f>IF(Master[[#This Row],[ECOREGION - Lookup picker]]="","",Master[[#This Row],[ECOREGION - Lookup picker]])</f>
        <v>Central Basin and Range</v>
      </c>
      <c r="H50" s="141" t="str">
        <f>IF(Master[[#This Row],[Ecoregion Original Value]]="","",Master[[#This Row],[Ecoregion Original Value]])</f>
        <v>13E:Central Basin and Range (Omernik)</v>
      </c>
    </row>
    <row r="51" spans="2:8" x14ac:dyDescent="0.25">
      <c r="B51" s="141" t="str">
        <f>Master[[#This Row],[Accession Prefix (NPGS)]]&amp;" "&amp;Master[[#This Row],[Accession Number -Assigned]]&amp;" COLLECTED "&amp;TEXT(Master[[#This Row],[Date Collected or Developed]], "MM/DD/YYYY")</f>
        <v>W6 59637 COLLECTED 12/03/2020</v>
      </c>
      <c r="C51" s="141" t="str">
        <f t="shared" si="1"/>
        <v>ECOREGION</v>
      </c>
      <c r="D51" s="17" t="str">
        <f>IF(Master[[#This Row],[ECOREGION - Lookup picker]]="","",Master[[#This Row],[ECOREGION - Lookup picker]])</f>
        <v>Central Basin and Range</v>
      </c>
      <c r="E51" s="109"/>
      <c r="G51" s="76" t="str">
        <f>IF(Master[[#This Row],[ECOREGION - Lookup picker]]="","",Master[[#This Row],[ECOREGION - Lookup picker]])</f>
        <v>Central Basin and Range</v>
      </c>
      <c r="H51" s="141" t="str">
        <f>IF(Master[[#This Row],[Ecoregion Original Value]]="","",Master[[#This Row],[Ecoregion Original Value]])</f>
        <v>13E:Central Basin and Range (Omernik)</v>
      </c>
    </row>
    <row r="52" spans="2:8" x14ac:dyDescent="0.25">
      <c r="B52" s="141" t="str">
        <f>Master[[#This Row],[Accession Prefix (NPGS)]]&amp;" "&amp;Master[[#This Row],[Accession Number -Assigned]]&amp;" COLLECTED "&amp;TEXT(Master[[#This Row],[Date Collected or Developed]], "MM/DD/YYYY")</f>
        <v>W6 59638 COLLECTED 12/03/2020</v>
      </c>
      <c r="C52" s="141" t="str">
        <f t="shared" si="1"/>
        <v>ECOREGION</v>
      </c>
      <c r="D52" s="17" t="str">
        <f>IF(Master[[#This Row],[ECOREGION - Lookup picker]]="","",Master[[#This Row],[ECOREGION - Lookup picker]])</f>
        <v>Central Basin and Range</v>
      </c>
      <c r="E52" s="109"/>
      <c r="G52" s="76" t="str">
        <f>IF(Master[[#This Row],[ECOREGION - Lookup picker]]="","",Master[[#This Row],[ECOREGION - Lookup picker]])</f>
        <v>Central Basin and Range</v>
      </c>
      <c r="H52" s="141" t="str">
        <f>IF(Master[[#This Row],[Ecoregion Original Value]]="","",Master[[#This Row],[Ecoregion Original Value]])</f>
        <v>13E:Central Basin and Range (Omernik)</v>
      </c>
    </row>
    <row r="53" spans="2:8" x14ac:dyDescent="0.25">
      <c r="B53" s="141" t="str">
        <f>Master[[#This Row],[Accession Prefix (NPGS)]]&amp;" "&amp;Master[[#This Row],[Accession Number -Assigned]]&amp;" COLLECTED "&amp;TEXT(Master[[#This Row],[Date Collected or Developed]], "MM/DD/YYYY")</f>
        <v>W6 59639 COLLECTED 12/03/2020</v>
      </c>
      <c r="C53" s="141" t="str">
        <f t="shared" si="1"/>
        <v>ECOREGION</v>
      </c>
      <c r="D53" s="17" t="str">
        <f>IF(Master[[#This Row],[ECOREGION - Lookup picker]]="","",Master[[#This Row],[ECOREGION - Lookup picker]])</f>
        <v>Central Basin and Range</v>
      </c>
      <c r="E53" s="109"/>
      <c r="G53" s="76" t="str">
        <f>IF(Master[[#This Row],[ECOREGION - Lookup picker]]="","",Master[[#This Row],[ECOREGION - Lookup picker]])</f>
        <v>Central Basin and Range</v>
      </c>
      <c r="H53" s="141" t="str">
        <f>IF(Master[[#This Row],[Ecoregion Original Value]]="","",Master[[#This Row],[Ecoregion Original Value]])</f>
        <v>13E:Central Basin and Range (Omernik)</v>
      </c>
    </row>
    <row r="54" spans="2:8" x14ac:dyDescent="0.25">
      <c r="B54" s="141" t="str">
        <f>Master[[#This Row],[Accession Prefix (NPGS)]]&amp;" "&amp;Master[[#This Row],[Accession Number -Assigned]]&amp;" COLLECTED "&amp;TEXT(Master[[#This Row],[Date Collected or Developed]], "MM/DD/YYYY")</f>
        <v>W6 59640 COLLECTED 12/15/2020</v>
      </c>
      <c r="C54" s="141" t="str">
        <f t="shared" si="1"/>
        <v>ECOREGION</v>
      </c>
      <c r="D54" s="17" t="str">
        <f>IF(Master[[#This Row],[ECOREGION - Lookup picker]]="","",Master[[#This Row],[ECOREGION - Lookup picker]])</f>
        <v>Central Basin and Range</v>
      </c>
      <c r="E54" s="109"/>
      <c r="G54" s="76" t="str">
        <f>IF(Master[[#This Row],[ECOREGION - Lookup picker]]="","",Master[[#This Row],[ECOREGION - Lookup picker]])</f>
        <v>Central Basin and Range</v>
      </c>
      <c r="H54" s="141" t="str">
        <f>IF(Master[[#This Row],[Ecoregion Original Value]]="","",Master[[#This Row],[Ecoregion Original Value]])</f>
        <v>13E:Central Basin and Range (Omernik)</v>
      </c>
    </row>
    <row r="55" spans="2:8" x14ac:dyDescent="0.25">
      <c r="B55" s="141" t="str">
        <f>Master[[#This Row],[Accession Prefix (NPGS)]]&amp;" "&amp;Master[[#This Row],[Accession Number -Assigned]]&amp;" COLLECTED "&amp;TEXT(Master[[#This Row],[Date Collected or Developed]], "MM/DD/YYYY")</f>
        <v>W6 59641 COLLECTED 08/17/2020</v>
      </c>
      <c r="C55" s="141" t="str">
        <f t="shared" si="1"/>
        <v>ECOREGION</v>
      </c>
      <c r="D55" s="17" t="str">
        <f>IF(Master[[#This Row],[ECOREGION - Lookup picker]]="","",Master[[#This Row],[ECOREGION - Lookup picker]])</f>
        <v>Central Basin and Range</v>
      </c>
      <c r="E55" s="109"/>
      <c r="G55" s="76" t="str">
        <f>IF(Master[[#This Row],[ECOREGION - Lookup picker]]="","",Master[[#This Row],[ECOREGION - Lookup picker]])</f>
        <v>Central Basin and Range</v>
      </c>
      <c r="H55" s="141" t="str">
        <f>IF(Master[[#This Row],[Ecoregion Original Value]]="","",Master[[#This Row],[Ecoregion Original Value]])</f>
        <v>13E:Central Basin and Range (Omernik)</v>
      </c>
    </row>
    <row r="56" spans="2:8" x14ac:dyDescent="0.25">
      <c r="B56" s="141" t="str">
        <f>Master[[#This Row],[Accession Prefix (NPGS)]]&amp;" "&amp;Master[[#This Row],[Accession Number -Assigned]]&amp;" COLLECTED "&amp;TEXT(Master[[#This Row],[Date Collected or Developed]], "MM/DD/YYYY")</f>
        <v>W6 59642 COLLECTED 08/25/2020</v>
      </c>
      <c r="C56" s="141" t="str">
        <f t="shared" si="1"/>
        <v>ECOREGION</v>
      </c>
      <c r="D56" s="17" t="str">
        <f>IF(Master[[#This Row],[ECOREGION - Lookup picker]]="","",Master[[#This Row],[ECOREGION - Lookup picker]])</f>
        <v>Central Basin and Range</v>
      </c>
      <c r="E56" s="109"/>
      <c r="G56" s="76" t="str">
        <f>IF(Master[[#This Row],[ECOREGION - Lookup picker]]="","",Master[[#This Row],[ECOREGION - Lookup picker]])</f>
        <v>Central Basin and Range</v>
      </c>
      <c r="H56" s="141" t="str">
        <f>IF(Master[[#This Row],[Ecoregion Original Value]]="","",Master[[#This Row],[Ecoregion Original Value]])</f>
        <v>13E:Central Basin and Range (Omernik)</v>
      </c>
    </row>
    <row r="57" spans="2:8" x14ac:dyDescent="0.25">
      <c r="B57" s="141" t="str">
        <f>Master[[#This Row],[Accession Prefix (NPGS)]]&amp;" "&amp;Master[[#This Row],[Accession Number -Assigned]]&amp;" COLLECTED "&amp;TEXT(Master[[#This Row],[Date Collected or Developed]], "MM/DD/YYYY")</f>
        <v>W6 59643 COLLECTED 05/26/2020</v>
      </c>
      <c r="C57" s="141" t="str">
        <f t="shared" si="1"/>
        <v>ECOREGION</v>
      </c>
      <c r="D57" s="17" t="str">
        <f>IF(Master[[#This Row],[ECOREGION - Lookup picker]]="","",Master[[#This Row],[ECOREGION - Lookup picker]])</f>
        <v>Central Basin and Range</v>
      </c>
      <c r="E57" s="109"/>
      <c r="G57" s="76" t="str">
        <f>IF(Master[[#This Row],[ECOREGION - Lookup picker]]="","",Master[[#This Row],[ECOREGION - Lookup picker]])</f>
        <v>Central Basin and Range</v>
      </c>
      <c r="H57" s="141" t="str">
        <f>IF(Master[[#This Row],[Ecoregion Original Value]]="","",Master[[#This Row],[Ecoregion Original Value]])</f>
        <v>13E:Central Basin and Range (Omernik)</v>
      </c>
    </row>
    <row r="58" spans="2:8" x14ac:dyDescent="0.25">
      <c r="B58" s="141" t="str">
        <f>Master[[#This Row],[Accession Prefix (NPGS)]]&amp;" "&amp;Master[[#This Row],[Accession Number -Assigned]]&amp;" COLLECTED "&amp;TEXT(Master[[#This Row],[Date Collected or Developed]], "MM/DD/YYYY")</f>
        <v>W6 59644 COLLECTED 05/27/2020</v>
      </c>
      <c r="C58" s="141" t="str">
        <f t="shared" si="1"/>
        <v>ECOREGION</v>
      </c>
      <c r="D58" s="17" t="str">
        <f>IF(Master[[#This Row],[ECOREGION - Lookup picker]]="","",Master[[#This Row],[ECOREGION - Lookup picker]])</f>
        <v>Central Basin and Range</v>
      </c>
      <c r="E58" s="109"/>
      <c r="G58" s="76" t="str">
        <f>IF(Master[[#This Row],[ECOREGION - Lookup picker]]="","",Master[[#This Row],[ECOREGION - Lookup picker]])</f>
        <v>Central Basin and Range</v>
      </c>
      <c r="H58" s="141" t="str">
        <f>IF(Master[[#This Row],[Ecoregion Original Value]]="","",Master[[#This Row],[Ecoregion Original Value]])</f>
        <v>13E:Central Basin and Range (Omernik)</v>
      </c>
    </row>
    <row r="59" spans="2:8" x14ac:dyDescent="0.25">
      <c r="B59" s="141" t="str">
        <f>Master[[#This Row],[Accession Prefix (NPGS)]]&amp;" "&amp;Master[[#This Row],[Accession Number -Assigned]]&amp;" COLLECTED "&amp;TEXT(Master[[#This Row],[Date Collected or Developed]], "MM/DD/YYYY")</f>
        <v>W6 59645 COLLECTED 06/09/2020</v>
      </c>
      <c r="C59" s="141" t="str">
        <f t="shared" si="1"/>
        <v>ECOREGION</v>
      </c>
      <c r="D59" s="17" t="str">
        <f>IF(Master[[#This Row],[ECOREGION - Lookup picker]]="","",Master[[#This Row],[ECOREGION - Lookup picker]])</f>
        <v>Central Basin and Range</v>
      </c>
      <c r="E59" s="109"/>
      <c r="G59" s="76" t="str">
        <f>IF(Master[[#This Row],[ECOREGION - Lookup picker]]="","",Master[[#This Row],[ECOREGION - Lookup picker]])</f>
        <v>Central Basin and Range</v>
      </c>
      <c r="H59" s="141" t="str">
        <f>IF(Master[[#This Row],[Ecoregion Original Value]]="","",Master[[#This Row],[Ecoregion Original Value]])</f>
        <v>13E:Central Basin and Range (Omernik)</v>
      </c>
    </row>
    <row r="60" spans="2:8" x14ac:dyDescent="0.25">
      <c r="B60" s="141" t="str">
        <f>Master[[#This Row],[Accession Prefix (NPGS)]]&amp;" "&amp;Master[[#This Row],[Accession Number -Assigned]]&amp;" COLLECTED "&amp;TEXT(Master[[#This Row],[Date Collected or Developed]], "MM/DD/YYYY")</f>
        <v>W6 59646 COLLECTED 06/24/2020</v>
      </c>
      <c r="C60" s="141" t="str">
        <f t="shared" si="1"/>
        <v>ECOREGION</v>
      </c>
      <c r="D60" s="17" t="str">
        <f>IF(Master[[#This Row],[ECOREGION - Lookup picker]]="","",Master[[#This Row],[ECOREGION - Lookup picker]])</f>
        <v>Central Basin and Range</v>
      </c>
      <c r="E60" s="109"/>
      <c r="G60" s="76" t="str">
        <f>IF(Master[[#This Row],[ECOREGION - Lookup picker]]="","",Master[[#This Row],[ECOREGION - Lookup picker]])</f>
        <v>Central Basin and Range</v>
      </c>
      <c r="H60" s="141" t="str">
        <f>IF(Master[[#This Row],[Ecoregion Original Value]]="","",Master[[#This Row],[Ecoregion Original Value]])</f>
        <v>13E:Central Basin and Range (Omernik)</v>
      </c>
    </row>
    <row r="61" spans="2:8" x14ac:dyDescent="0.25">
      <c r="B61" s="141" t="str">
        <f>Master[[#This Row],[Accession Prefix (NPGS)]]&amp;" "&amp;Master[[#This Row],[Accession Number -Assigned]]&amp;" COLLECTED "&amp;TEXT(Master[[#This Row],[Date Collected or Developed]], "MM/DD/YYYY")</f>
        <v>W6 59647 COLLECTED 07/07/2020</v>
      </c>
      <c r="C61" s="141" t="str">
        <f t="shared" si="1"/>
        <v>ECOREGION</v>
      </c>
      <c r="D61" s="17" t="str">
        <f>IF(Master[[#This Row],[ECOREGION - Lookup picker]]="","",Master[[#This Row],[ECOREGION - Lookup picker]])</f>
        <v>Northwestern Great Plains</v>
      </c>
      <c r="E61" s="109"/>
      <c r="G61" s="76" t="str">
        <f>IF(Master[[#This Row],[ECOREGION - Lookup picker]]="","",Master[[#This Row],[ECOREGION - Lookup picker]])</f>
        <v>Northwestern Great Plains</v>
      </c>
      <c r="H61" s="141" t="str">
        <f>IF(Master[[#This Row],[Ecoregion Original Value]]="","",Master[[#This Row],[Ecoregion Original Value]])</f>
        <v>80E:Northwestern Basin and Range (Omernik)</v>
      </c>
    </row>
    <row r="62" spans="2:8" x14ac:dyDescent="0.25">
      <c r="B62" s="141" t="str">
        <f>Master[[#This Row],[Accession Prefix (NPGS)]]&amp;" "&amp;Master[[#This Row],[Accession Number -Assigned]]&amp;" COLLECTED "&amp;TEXT(Master[[#This Row],[Date Collected or Developed]], "MM/DD/YYYY")</f>
        <v>W6 59648 COLLECTED 07/09/2020</v>
      </c>
      <c r="C62" s="141" t="str">
        <f t="shared" si="1"/>
        <v>ECOREGION</v>
      </c>
      <c r="D62" s="17" t="str">
        <f>IF(Master[[#This Row],[ECOREGION - Lookup picker]]="","",Master[[#This Row],[ECOREGION - Lookup picker]])</f>
        <v>Central Basin and Range</v>
      </c>
      <c r="E62" s="109"/>
      <c r="G62" s="76" t="str">
        <f>IF(Master[[#This Row],[ECOREGION - Lookup picker]]="","",Master[[#This Row],[ECOREGION - Lookup picker]])</f>
        <v>Central Basin and Range</v>
      </c>
      <c r="H62" s="141" t="str">
        <f>IF(Master[[#This Row],[Ecoregion Original Value]]="","",Master[[#This Row],[Ecoregion Original Value]])</f>
        <v>13E:Central Basin and Range (Omernik)</v>
      </c>
    </row>
    <row r="63" spans="2:8" x14ac:dyDescent="0.25">
      <c r="B63" s="141" t="str">
        <f>Master[[#This Row],[Accession Prefix (NPGS)]]&amp;" "&amp;Master[[#This Row],[Accession Number -Assigned]]&amp;" COLLECTED "&amp;TEXT(Master[[#This Row],[Date Collected or Developed]], "MM/DD/YYYY")</f>
        <v>W6 59649 COLLECTED 07/13/2020</v>
      </c>
      <c r="C63" s="141" t="str">
        <f t="shared" si="1"/>
        <v>ECOREGION</v>
      </c>
      <c r="D63" s="17" t="str">
        <f>IF(Master[[#This Row],[ECOREGION - Lookup picker]]="","",Master[[#This Row],[ECOREGION - Lookup picker]])</f>
        <v>Northwestern Great Plains</v>
      </c>
      <c r="E63" s="109"/>
      <c r="G63" s="76" t="str">
        <f>IF(Master[[#This Row],[ECOREGION - Lookup picker]]="","",Master[[#This Row],[ECOREGION - Lookup picker]])</f>
        <v>Northwestern Great Plains</v>
      </c>
      <c r="H63" s="141" t="str">
        <f>IF(Master[[#This Row],[Ecoregion Original Value]]="","",Master[[#This Row],[Ecoregion Original Value]])</f>
        <v>80E:Northwestern Basin and Range (Omernik)</v>
      </c>
    </row>
    <row r="64" spans="2:8" x14ac:dyDescent="0.25">
      <c r="B64" s="141" t="str">
        <f>Master[[#This Row],[Accession Prefix (NPGS)]]&amp;" "&amp;Master[[#This Row],[Accession Number -Assigned]]&amp;" COLLECTED "&amp;TEXT(Master[[#This Row],[Date Collected or Developed]], "MM/DD/YYYY")</f>
        <v>W6 59650 COLLECTED 08/10/2020</v>
      </c>
      <c r="C64" s="141" t="str">
        <f t="shared" si="1"/>
        <v>ECOREGION</v>
      </c>
      <c r="D64" s="17" t="str">
        <f>IF(Master[[#This Row],[ECOREGION - Lookup picker]]="","",Master[[#This Row],[ECOREGION - Lookup picker]])</f>
        <v>Northwestern Great Plains</v>
      </c>
      <c r="E64" s="109"/>
      <c r="G64" s="76" t="str">
        <f>IF(Master[[#This Row],[ECOREGION - Lookup picker]]="","",Master[[#This Row],[ECOREGION - Lookup picker]])</f>
        <v>Northwestern Great Plains</v>
      </c>
      <c r="H64" s="141" t="str">
        <f>IF(Master[[#This Row],[Ecoregion Original Value]]="","",Master[[#This Row],[Ecoregion Original Value]])</f>
        <v>80E:Northwestern Basin and Range (Omernik)</v>
      </c>
    </row>
    <row r="65" spans="2:8" x14ac:dyDescent="0.25">
      <c r="B65" s="141" t="str">
        <f>Master[[#This Row],[Accession Prefix (NPGS)]]&amp;" "&amp;Master[[#This Row],[Accession Number -Assigned]]&amp;" COLLECTED "&amp;TEXT(Master[[#This Row],[Date Collected or Developed]], "MM/DD/YYYY")</f>
        <v>W6 59651 COLLECTED 08/11/2020</v>
      </c>
      <c r="C65" s="141" t="str">
        <f t="shared" si="1"/>
        <v>ECOREGION</v>
      </c>
      <c r="D65" s="17" t="str">
        <f>IF(Master[[#This Row],[ECOREGION - Lookup picker]]="","",Master[[#This Row],[ECOREGION - Lookup picker]])</f>
        <v>Northwestern Great Plains</v>
      </c>
      <c r="E65" s="109"/>
      <c r="G65" s="76" t="str">
        <f>IF(Master[[#This Row],[ECOREGION - Lookup picker]]="","",Master[[#This Row],[ECOREGION - Lookup picker]])</f>
        <v>Northwestern Great Plains</v>
      </c>
      <c r="H65" s="141" t="str">
        <f>IF(Master[[#This Row],[Ecoregion Original Value]]="","",Master[[#This Row],[Ecoregion Original Value]])</f>
        <v>80E:Northwestern Basin and Range (Omernik)</v>
      </c>
    </row>
    <row r="66" spans="2:8" x14ac:dyDescent="0.25">
      <c r="B66" s="141" t="str">
        <f>Master[[#This Row],[Accession Prefix (NPGS)]]&amp;" "&amp;Master[[#This Row],[Accession Number -Assigned]]&amp;" COLLECTED "&amp;TEXT(Master[[#This Row],[Date Collected or Developed]], "MM/DD/YYYY")</f>
        <v>W6 59652 COLLECTED 08/11/2020</v>
      </c>
      <c r="C66" s="141" t="str">
        <f t="shared" ref="C66:C97" si="2">"ECOREGION"</f>
        <v>ECOREGION</v>
      </c>
      <c r="D66" s="17" t="str">
        <f>IF(Master[[#This Row],[ECOREGION - Lookup picker]]="","",Master[[#This Row],[ECOREGION - Lookup picker]])</f>
        <v>Northwestern Great Plains</v>
      </c>
      <c r="E66" s="109"/>
      <c r="G66" s="76" t="str">
        <f>IF(Master[[#This Row],[ECOREGION - Lookup picker]]="","",Master[[#This Row],[ECOREGION - Lookup picker]])</f>
        <v>Northwestern Great Plains</v>
      </c>
      <c r="H66" s="141" t="str">
        <f>IF(Master[[#This Row],[Ecoregion Original Value]]="","",Master[[#This Row],[Ecoregion Original Value]])</f>
        <v>80E:Northwestern Basin and Range (Omernik)</v>
      </c>
    </row>
    <row r="67" spans="2:8" x14ac:dyDescent="0.25">
      <c r="B67" s="141" t="str">
        <f>Master[[#This Row],[Accession Prefix (NPGS)]]&amp;" "&amp;Master[[#This Row],[Accession Number -Assigned]]&amp;" COLLECTED "&amp;TEXT(Master[[#This Row],[Date Collected or Developed]], "MM/DD/YYYY")</f>
        <v>W6 59653 COLLECTED 08/12/2020</v>
      </c>
      <c r="C67" s="141" t="str">
        <f t="shared" si="2"/>
        <v>ECOREGION</v>
      </c>
      <c r="D67" s="17" t="str">
        <f>IF(Master[[#This Row],[ECOREGION - Lookup picker]]="","",Master[[#This Row],[ECOREGION - Lookup picker]])</f>
        <v>Northwestern Great Plains</v>
      </c>
      <c r="E67" s="109"/>
      <c r="G67" s="76" t="str">
        <f>IF(Master[[#This Row],[ECOREGION - Lookup picker]]="","",Master[[#This Row],[ECOREGION - Lookup picker]])</f>
        <v>Northwestern Great Plains</v>
      </c>
      <c r="H67" s="141" t="str">
        <f>IF(Master[[#This Row],[Ecoregion Original Value]]="","",Master[[#This Row],[Ecoregion Original Value]])</f>
        <v>80E:Northwestern Basin and Range (Omernik)</v>
      </c>
    </row>
    <row r="68" spans="2:8" x14ac:dyDescent="0.25">
      <c r="B68" s="141" t="str">
        <f>Master[[#This Row],[Accession Prefix (NPGS)]]&amp;" "&amp;Master[[#This Row],[Accession Number -Assigned]]&amp;" COLLECTED "&amp;TEXT(Master[[#This Row],[Date Collected or Developed]], "MM/DD/YYYY")</f>
        <v>W6 59654 COLLECTED 08/12/2020</v>
      </c>
      <c r="C68" s="141" t="str">
        <f t="shared" si="2"/>
        <v>ECOREGION</v>
      </c>
      <c r="D68" s="17" t="str">
        <f>IF(Master[[#This Row],[ECOREGION - Lookup picker]]="","",Master[[#This Row],[ECOREGION - Lookup picker]])</f>
        <v>Northwestern Great Plains</v>
      </c>
      <c r="E68" s="109"/>
      <c r="G68" s="76" t="str">
        <f>IF(Master[[#This Row],[ECOREGION - Lookup picker]]="","",Master[[#This Row],[ECOREGION - Lookup picker]])</f>
        <v>Northwestern Great Plains</v>
      </c>
      <c r="H68" s="141" t="str">
        <f>IF(Master[[#This Row],[Ecoregion Original Value]]="","",Master[[#This Row],[Ecoregion Original Value]])</f>
        <v>80E:Northwestern Basin and Range (Omernik)</v>
      </c>
    </row>
    <row r="69" spans="2:8" x14ac:dyDescent="0.25">
      <c r="B69" s="141" t="str">
        <f>Master[[#This Row],[Accession Prefix (NPGS)]]&amp;" "&amp;Master[[#This Row],[Accession Number -Assigned]]&amp;" COLLECTED "&amp;TEXT(Master[[#This Row],[Date Collected or Developed]], "MM/DD/YYYY")</f>
        <v>W6 59655 COLLECTED 06/11/2020</v>
      </c>
      <c r="C69" s="141" t="str">
        <f t="shared" si="2"/>
        <v>ECOREGION</v>
      </c>
      <c r="D69" s="17" t="str">
        <f>IF(Master[[#This Row],[ECOREGION - Lookup picker]]="","",Master[[#This Row],[ECOREGION - Lookup picker]])</f>
        <v>Colorado Plateaus</v>
      </c>
      <c r="E69" s="109"/>
      <c r="G69" s="76" t="str">
        <f>IF(Master[[#This Row],[ECOREGION - Lookup picker]]="","",Master[[#This Row],[ECOREGION - Lookup picker]])</f>
        <v>Colorado Plateaus</v>
      </c>
      <c r="H69" s="141" t="str">
        <f>IF(Master[[#This Row],[Ecoregion Original Value]]="","",Master[[#This Row],[Ecoregion Original Value]])</f>
        <v>20E:Colorado Plateau (Omernik)</v>
      </c>
    </row>
    <row r="70" spans="2:8" x14ac:dyDescent="0.25">
      <c r="B70" s="141" t="str">
        <f>Master[[#This Row],[Accession Prefix (NPGS)]]&amp;" "&amp;Master[[#This Row],[Accession Number -Assigned]]&amp;" COLLECTED "&amp;TEXT(Master[[#This Row],[Date Collected or Developed]], "MM/DD/YYYY")</f>
        <v>W6 59656 COLLECTED 06/15/2020</v>
      </c>
      <c r="C70" s="141" t="str">
        <f t="shared" si="2"/>
        <v>ECOREGION</v>
      </c>
      <c r="D70" s="17" t="str">
        <f>IF(Master[[#This Row],[ECOREGION - Lookup picker]]="","",Master[[#This Row],[ECOREGION - Lookup picker]])</f>
        <v>Colorado Plateaus</v>
      </c>
      <c r="E70" s="109"/>
      <c r="G70" s="76" t="str">
        <f>IF(Master[[#This Row],[ECOREGION - Lookup picker]]="","",Master[[#This Row],[ECOREGION - Lookup picker]])</f>
        <v>Colorado Plateaus</v>
      </c>
      <c r="H70" s="141" t="str">
        <f>IF(Master[[#This Row],[Ecoregion Original Value]]="","",Master[[#This Row],[Ecoregion Original Value]])</f>
        <v>20E:Colorado Plateau (Omernik)</v>
      </c>
    </row>
    <row r="71" spans="2:8" x14ac:dyDescent="0.25">
      <c r="B71" s="141" t="str">
        <f>Master[[#This Row],[Accession Prefix (NPGS)]]&amp;" "&amp;Master[[#This Row],[Accession Number -Assigned]]&amp;" COLLECTED "&amp;TEXT(Master[[#This Row],[Date Collected or Developed]], "MM/DD/YYYY")</f>
        <v>W6 59657 COLLECTED 06/16/2020</v>
      </c>
      <c r="C71" s="141" t="str">
        <f t="shared" si="2"/>
        <v>ECOREGION</v>
      </c>
      <c r="D71" s="17" t="str">
        <f>IF(Master[[#This Row],[ECOREGION - Lookup picker]]="","",Master[[#This Row],[ECOREGION - Lookup picker]])</f>
        <v>Colorado Plateaus</v>
      </c>
      <c r="E71" s="109"/>
      <c r="G71" s="76" t="str">
        <f>IF(Master[[#This Row],[ECOREGION - Lookup picker]]="","",Master[[#This Row],[ECOREGION - Lookup picker]])</f>
        <v>Colorado Plateaus</v>
      </c>
      <c r="H71" s="141" t="str">
        <f>IF(Master[[#This Row],[Ecoregion Original Value]]="","",Master[[#This Row],[Ecoregion Original Value]])</f>
        <v>20E:Colorado Plateau (Omernik)</v>
      </c>
    </row>
    <row r="72" spans="2:8" x14ac:dyDescent="0.25">
      <c r="B72" s="141" t="str">
        <f>Master[[#This Row],[Accession Prefix (NPGS)]]&amp;" "&amp;Master[[#This Row],[Accession Number -Assigned]]&amp;" COLLECTED "&amp;TEXT(Master[[#This Row],[Date Collected or Developed]], "MM/DD/YYYY")</f>
        <v>W6 59658 COLLECTED 06/16/2020</v>
      </c>
      <c r="C72" s="141" t="str">
        <f t="shared" si="2"/>
        <v>ECOREGION</v>
      </c>
      <c r="D72" s="17" t="str">
        <f>IF(Master[[#This Row],[ECOREGION - Lookup picker]]="","",Master[[#This Row],[ECOREGION - Lookup picker]])</f>
        <v>Colorado Plateaus</v>
      </c>
      <c r="E72" s="109"/>
      <c r="G72" s="76" t="str">
        <f>IF(Master[[#This Row],[ECOREGION - Lookup picker]]="","",Master[[#This Row],[ECOREGION - Lookup picker]])</f>
        <v>Colorado Plateaus</v>
      </c>
      <c r="H72" s="141" t="str">
        <f>IF(Master[[#This Row],[Ecoregion Original Value]]="","",Master[[#This Row],[Ecoregion Original Value]])</f>
        <v>20E:Colorado Plateau (Omernik)</v>
      </c>
    </row>
    <row r="73" spans="2:8" x14ac:dyDescent="0.25">
      <c r="B73" s="141" t="str">
        <f>Master[[#This Row],[Accession Prefix (NPGS)]]&amp;" "&amp;Master[[#This Row],[Accession Number -Assigned]]&amp;" COLLECTED "&amp;TEXT(Master[[#This Row],[Date Collected or Developed]], "MM/DD/YYYY")</f>
        <v>W6 59659 COLLECTED 06/17/2020</v>
      </c>
      <c r="C73" s="141" t="str">
        <f t="shared" si="2"/>
        <v>ECOREGION</v>
      </c>
      <c r="D73" s="17" t="str">
        <f>IF(Master[[#This Row],[ECOREGION - Lookup picker]]="","",Master[[#This Row],[ECOREGION - Lookup picker]])</f>
        <v>Colorado Plateaus</v>
      </c>
      <c r="E73" s="109"/>
      <c r="G73" s="76" t="str">
        <f>IF(Master[[#This Row],[ECOREGION - Lookup picker]]="","",Master[[#This Row],[ECOREGION - Lookup picker]])</f>
        <v>Colorado Plateaus</v>
      </c>
      <c r="H73" s="141" t="str">
        <f>IF(Master[[#This Row],[Ecoregion Original Value]]="","",Master[[#This Row],[Ecoregion Original Value]])</f>
        <v>20E:Colorado Plateau (Omernik)</v>
      </c>
    </row>
    <row r="74" spans="2:8" x14ac:dyDescent="0.25">
      <c r="B74" s="141" t="str">
        <f>Master[[#This Row],[Accession Prefix (NPGS)]]&amp;" "&amp;Master[[#This Row],[Accession Number -Assigned]]&amp;" COLLECTED "&amp;TEXT(Master[[#This Row],[Date Collected or Developed]], "MM/DD/YYYY")</f>
        <v>W6 59660 COLLECTED 06/24/2020</v>
      </c>
      <c r="C74" s="141" t="str">
        <f t="shared" si="2"/>
        <v>ECOREGION</v>
      </c>
      <c r="D74" s="17" t="str">
        <f>IF(Master[[#This Row],[ECOREGION - Lookup picker]]="","",Master[[#This Row],[ECOREGION - Lookup picker]])</f>
        <v>Colorado Plateaus</v>
      </c>
      <c r="E74" s="109"/>
      <c r="G74" s="76" t="str">
        <f>IF(Master[[#This Row],[ECOREGION - Lookup picker]]="","",Master[[#This Row],[ECOREGION - Lookup picker]])</f>
        <v>Colorado Plateaus</v>
      </c>
      <c r="H74" s="141" t="str">
        <f>IF(Master[[#This Row],[Ecoregion Original Value]]="","",Master[[#This Row],[Ecoregion Original Value]])</f>
        <v>20E:Colorado Plateau (Omernik)</v>
      </c>
    </row>
    <row r="75" spans="2:8" x14ac:dyDescent="0.25">
      <c r="B75" s="141" t="str">
        <f>Master[[#This Row],[Accession Prefix (NPGS)]]&amp;" "&amp;Master[[#This Row],[Accession Number -Assigned]]&amp;" COLLECTED "&amp;TEXT(Master[[#This Row],[Date Collected or Developed]], "MM/DD/YYYY")</f>
        <v>W6 59661 COLLECTED 06/24/2020</v>
      </c>
      <c r="C75" s="141" t="str">
        <f t="shared" si="2"/>
        <v>ECOREGION</v>
      </c>
      <c r="D75" s="17" t="str">
        <f>IF(Master[[#This Row],[ECOREGION - Lookup picker]]="","",Master[[#This Row],[ECOREGION - Lookup picker]])</f>
        <v>Colorado Plateaus</v>
      </c>
      <c r="E75" s="109"/>
      <c r="G75" s="76" t="str">
        <f>IF(Master[[#This Row],[ECOREGION - Lookup picker]]="","",Master[[#This Row],[ECOREGION - Lookup picker]])</f>
        <v>Colorado Plateaus</v>
      </c>
      <c r="H75" s="141" t="str">
        <f>IF(Master[[#This Row],[Ecoregion Original Value]]="","",Master[[#This Row],[Ecoregion Original Value]])</f>
        <v>20E:Colorado Plateau (Omernik)</v>
      </c>
    </row>
    <row r="76" spans="2:8" x14ac:dyDescent="0.25">
      <c r="B76" s="141" t="str">
        <f>Master[[#This Row],[Accession Prefix (NPGS)]]&amp;" "&amp;Master[[#This Row],[Accession Number -Assigned]]&amp;" COLLECTED "&amp;TEXT(Master[[#This Row],[Date Collected or Developed]], "MM/DD/YYYY")</f>
        <v>W6 59662 COLLECTED 07/01/2020</v>
      </c>
      <c r="C76" s="141" t="str">
        <f t="shared" si="2"/>
        <v>ECOREGION</v>
      </c>
      <c r="D76" s="17" t="str">
        <f>IF(Master[[#This Row],[ECOREGION - Lookup picker]]="","",Master[[#This Row],[ECOREGION - Lookup picker]])</f>
        <v>Colorado Plateaus</v>
      </c>
      <c r="E76" s="109"/>
      <c r="G76" s="76" t="str">
        <f>IF(Master[[#This Row],[ECOREGION - Lookup picker]]="","",Master[[#This Row],[ECOREGION - Lookup picker]])</f>
        <v>Colorado Plateaus</v>
      </c>
      <c r="H76" s="141" t="str">
        <f>IF(Master[[#This Row],[Ecoregion Original Value]]="","",Master[[#This Row],[Ecoregion Original Value]])</f>
        <v>20E:Colorado Plateau (Omernik)</v>
      </c>
    </row>
    <row r="77" spans="2:8" x14ac:dyDescent="0.25">
      <c r="B77" s="141" t="str">
        <f>Master[[#This Row],[Accession Prefix (NPGS)]]&amp;" "&amp;Master[[#This Row],[Accession Number -Assigned]]&amp;" COLLECTED "&amp;TEXT(Master[[#This Row],[Date Collected or Developed]], "MM/DD/YYYY")</f>
        <v>W6 59663 COLLECTED 06/25/2020</v>
      </c>
      <c r="C77" s="141" t="str">
        <f t="shared" si="2"/>
        <v>ECOREGION</v>
      </c>
      <c r="D77" s="17" t="str">
        <f>IF(Master[[#This Row],[ECOREGION - Lookup picker]]="","",Master[[#This Row],[ECOREGION - Lookup picker]])</f>
        <v>Colorado Plateaus</v>
      </c>
      <c r="E77" s="109"/>
      <c r="G77" s="76" t="str">
        <f>IF(Master[[#This Row],[ECOREGION - Lookup picker]]="","",Master[[#This Row],[ECOREGION - Lookup picker]])</f>
        <v>Colorado Plateaus</v>
      </c>
      <c r="H77" s="141" t="str">
        <f>IF(Master[[#This Row],[Ecoregion Original Value]]="","",Master[[#This Row],[Ecoregion Original Value]])</f>
        <v>20E:Colorado Plateau (Omernik)</v>
      </c>
    </row>
    <row r="78" spans="2:8" x14ac:dyDescent="0.25">
      <c r="B78" s="141" t="str">
        <f>Master[[#This Row],[Accession Prefix (NPGS)]]&amp;" "&amp;Master[[#This Row],[Accession Number -Assigned]]&amp;" COLLECTED "&amp;TEXT(Master[[#This Row],[Date Collected or Developed]], "MM/DD/YYYY")</f>
        <v>W6 59664 COLLECTED 08/11/2020</v>
      </c>
      <c r="C78" s="141" t="str">
        <f t="shared" si="2"/>
        <v>ECOREGION</v>
      </c>
      <c r="D78" s="17" t="str">
        <f>IF(Master[[#This Row],[ECOREGION - Lookup picker]]="","",Master[[#This Row],[ECOREGION - Lookup picker]])</f>
        <v>Colorado Plateaus</v>
      </c>
      <c r="E78" s="109"/>
      <c r="G78" s="76" t="str">
        <f>IF(Master[[#This Row],[ECOREGION - Lookup picker]]="","",Master[[#This Row],[ECOREGION - Lookup picker]])</f>
        <v>Colorado Plateaus</v>
      </c>
      <c r="H78" s="141" t="str">
        <f>IF(Master[[#This Row],[Ecoregion Original Value]]="","",Master[[#This Row],[Ecoregion Original Value]])</f>
        <v>20E:Colorado Plateau (Omernik)</v>
      </c>
    </row>
    <row r="79" spans="2:8" x14ac:dyDescent="0.25">
      <c r="B79" s="141" t="str">
        <f>Master[[#This Row],[Accession Prefix (NPGS)]]&amp;" "&amp;Master[[#This Row],[Accession Number -Assigned]]&amp;" COLLECTED "&amp;TEXT(Master[[#This Row],[Date Collected or Developed]], "MM/DD/YYYY")</f>
        <v>W6 59665 COLLECTED 07/01/2020</v>
      </c>
      <c r="C79" s="141" t="str">
        <f t="shared" si="2"/>
        <v>ECOREGION</v>
      </c>
      <c r="D79" s="17" t="str">
        <f>IF(Master[[#This Row],[ECOREGION - Lookup picker]]="","",Master[[#This Row],[ECOREGION - Lookup picker]])</f>
        <v>Colorado Plateaus</v>
      </c>
      <c r="E79" s="109"/>
      <c r="G79" s="76" t="str">
        <f>IF(Master[[#This Row],[ECOREGION - Lookup picker]]="","",Master[[#This Row],[ECOREGION - Lookup picker]])</f>
        <v>Colorado Plateaus</v>
      </c>
      <c r="H79" s="141" t="str">
        <f>IF(Master[[#This Row],[Ecoregion Original Value]]="","",Master[[#This Row],[Ecoregion Original Value]])</f>
        <v>20E:Colorado Plateau (Omernik)</v>
      </c>
    </row>
    <row r="80" spans="2:8" x14ac:dyDescent="0.25">
      <c r="B80" s="141" t="str">
        <f>Master[[#This Row],[Accession Prefix (NPGS)]]&amp;" "&amp;Master[[#This Row],[Accession Number -Assigned]]&amp;" COLLECTED "&amp;TEXT(Master[[#This Row],[Date Collected or Developed]], "MM/DD/YYYY")</f>
        <v>W6 59666 COLLECTED 06/29/2020</v>
      </c>
      <c r="C80" s="141" t="str">
        <f t="shared" si="2"/>
        <v>ECOREGION</v>
      </c>
      <c r="D80" s="17" t="str">
        <f>IF(Master[[#This Row],[ECOREGION - Lookup picker]]="","",Master[[#This Row],[ECOREGION - Lookup picker]])</f>
        <v>Colorado Plateaus</v>
      </c>
      <c r="E80" s="109"/>
      <c r="G80" s="76" t="str">
        <f>IF(Master[[#This Row],[ECOREGION - Lookup picker]]="","",Master[[#This Row],[ECOREGION - Lookup picker]])</f>
        <v>Colorado Plateaus</v>
      </c>
      <c r="H80" s="141" t="str">
        <f>IF(Master[[#This Row],[Ecoregion Original Value]]="","",Master[[#This Row],[Ecoregion Original Value]])</f>
        <v>20E:Colorado Plateau (Omernik)</v>
      </c>
    </row>
    <row r="81" spans="2:8" x14ac:dyDescent="0.25">
      <c r="B81" s="141" t="str">
        <f>Master[[#This Row],[Accession Prefix (NPGS)]]&amp;" "&amp;Master[[#This Row],[Accession Number -Assigned]]&amp;" COLLECTED "&amp;TEXT(Master[[#This Row],[Date Collected or Developed]], "MM/DD/YYYY")</f>
        <v>W6 59667 COLLECTED 06/29/2020</v>
      </c>
      <c r="C81" s="141" t="str">
        <f t="shared" si="2"/>
        <v>ECOREGION</v>
      </c>
      <c r="D81" s="17" t="str">
        <f>IF(Master[[#This Row],[ECOREGION - Lookup picker]]="","",Master[[#This Row],[ECOREGION - Lookup picker]])</f>
        <v>Colorado Plateaus</v>
      </c>
      <c r="E81" s="109"/>
      <c r="G81" s="76" t="str">
        <f>IF(Master[[#This Row],[ECOREGION - Lookup picker]]="","",Master[[#This Row],[ECOREGION - Lookup picker]])</f>
        <v>Colorado Plateaus</v>
      </c>
      <c r="H81" s="141" t="str">
        <f>IF(Master[[#This Row],[Ecoregion Original Value]]="","",Master[[#This Row],[Ecoregion Original Value]])</f>
        <v>20E:Colorado Plateau (Omernik)</v>
      </c>
    </row>
    <row r="82" spans="2:8" x14ac:dyDescent="0.25">
      <c r="B82" s="141" t="str">
        <f>Master[[#This Row],[Accession Prefix (NPGS)]]&amp;" "&amp;Master[[#This Row],[Accession Number -Assigned]]&amp;" COLLECTED "&amp;TEXT(Master[[#This Row],[Date Collected or Developed]], "MM/DD/YYYY")</f>
        <v>W6 59668 COLLECTED 07/07/2020</v>
      </c>
      <c r="C82" s="141" t="str">
        <f t="shared" si="2"/>
        <v>ECOREGION</v>
      </c>
      <c r="D82" s="17" t="str">
        <f>IF(Master[[#This Row],[ECOREGION - Lookup picker]]="","",Master[[#This Row],[ECOREGION - Lookup picker]])</f>
        <v>Colorado Plateaus</v>
      </c>
      <c r="E82" s="109"/>
      <c r="G82" s="76" t="str">
        <f>IF(Master[[#This Row],[ECOREGION - Lookup picker]]="","",Master[[#This Row],[ECOREGION - Lookup picker]])</f>
        <v>Colorado Plateaus</v>
      </c>
      <c r="H82" s="141" t="str">
        <f>IF(Master[[#This Row],[Ecoregion Original Value]]="","",Master[[#This Row],[Ecoregion Original Value]])</f>
        <v>20E:Colorado Plateau (Omernik)</v>
      </c>
    </row>
    <row r="83" spans="2:8" x14ac:dyDescent="0.25">
      <c r="B83" s="141" t="str">
        <f>Master[[#This Row],[Accession Prefix (NPGS)]]&amp;" "&amp;Master[[#This Row],[Accession Number -Assigned]]&amp;" COLLECTED "&amp;TEXT(Master[[#This Row],[Date Collected or Developed]], "MM/DD/YYYY")</f>
        <v>W6 59669 COLLECTED 08/10/2020</v>
      </c>
      <c r="C83" s="141" t="str">
        <f t="shared" si="2"/>
        <v>ECOREGION</v>
      </c>
      <c r="D83" s="17" t="str">
        <f>IF(Master[[#This Row],[ECOREGION - Lookup picker]]="","",Master[[#This Row],[ECOREGION - Lookup picker]])</f>
        <v>Colorado Plateaus</v>
      </c>
      <c r="E83" s="109"/>
      <c r="G83" s="76" t="str">
        <f>IF(Master[[#This Row],[ECOREGION - Lookup picker]]="","",Master[[#This Row],[ECOREGION - Lookup picker]])</f>
        <v>Colorado Plateaus</v>
      </c>
      <c r="H83" s="141" t="str">
        <f>IF(Master[[#This Row],[Ecoregion Original Value]]="","",Master[[#This Row],[Ecoregion Original Value]])</f>
        <v>20E:Colorado Plateau (Omernik)</v>
      </c>
    </row>
    <row r="84" spans="2:8" x14ac:dyDescent="0.25">
      <c r="B84" s="141" t="str">
        <f>Master[[#This Row],[Accession Prefix (NPGS)]]&amp;" "&amp;Master[[#This Row],[Accession Number -Assigned]]&amp;" COLLECTED "&amp;TEXT(Master[[#This Row],[Date Collected or Developed]], "MM/DD/YYYY")</f>
        <v>W6 59670 COLLECTED 08/11/2020</v>
      </c>
      <c r="C84" s="141" t="str">
        <f t="shared" si="2"/>
        <v>ECOREGION</v>
      </c>
      <c r="D84" s="17" t="str">
        <f>IF(Master[[#This Row],[ECOREGION - Lookup picker]]="","",Master[[#This Row],[ECOREGION - Lookup picker]])</f>
        <v>Colorado Plateaus</v>
      </c>
      <c r="E84" s="109"/>
      <c r="G84" s="76" t="str">
        <f>IF(Master[[#This Row],[ECOREGION - Lookup picker]]="","",Master[[#This Row],[ECOREGION - Lookup picker]])</f>
        <v>Colorado Plateaus</v>
      </c>
      <c r="H84" s="141" t="str">
        <f>IF(Master[[#This Row],[Ecoregion Original Value]]="","",Master[[#This Row],[Ecoregion Original Value]])</f>
        <v>20E:Colorado Plateau (Omernik)</v>
      </c>
    </row>
    <row r="85" spans="2:8" x14ac:dyDescent="0.25">
      <c r="B85" s="141" t="str">
        <f>Master[[#This Row],[Accession Prefix (NPGS)]]&amp;" "&amp;Master[[#This Row],[Accession Number -Assigned]]&amp;" COLLECTED "&amp;TEXT(Master[[#This Row],[Date Collected or Developed]], "MM/DD/YYYY")</f>
        <v>W6 59671 COLLECTED 08/17/2020</v>
      </c>
      <c r="C85" s="141" t="str">
        <f t="shared" si="2"/>
        <v>ECOREGION</v>
      </c>
      <c r="D85" s="17" t="str">
        <f>IF(Master[[#This Row],[ECOREGION - Lookup picker]]="","",Master[[#This Row],[ECOREGION - Lookup picker]])</f>
        <v>Colorado Plateaus</v>
      </c>
      <c r="E85" s="109"/>
      <c r="G85" s="76" t="str">
        <f>IF(Master[[#This Row],[ECOREGION - Lookup picker]]="","",Master[[#This Row],[ECOREGION - Lookup picker]])</f>
        <v>Colorado Plateaus</v>
      </c>
      <c r="H85" s="141" t="str">
        <f>IF(Master[[#This Row],[Ecoregion Original Value]]="","",Master[[#This Row],[Ecoregion Original Value]])</f>
        <v>20E:Colorado Plateau (Omernik)</v>
      </c>
    </row>
    <row r="86" spans="2:8" x14ac:dyDescent="0.25">
      <c r="B86" s="141" t="str">
        <f>Master[[#This Row],[Accession Prefix (NPGS)]]&amp;" "&amp;Master[[#This Row],[Accession Number -Assigned]]&amp;" COLLECTED "&amp;TEXT(Master[[#This Row],[Date Collected or Developed]], "MM/DD/YYYY")</f>
        <v>W6 59672 COLLECTED 07/16/2020</v>
      </c>
      <c r="C86" s="141" t="str">
        <f t="shared" si="2"/>
        <v>ECOREGION</v>
      </c>
      <c r="D86" s="17" t="str">
        <f>IF(Master[[#This Row],[ECOREGION - Lookup picker]]="","",Master[[#This Row],[ECOREGION - Lookup picker]])</f>
        <v>Colorado Plateaus</v>
      </c>
      <c r="E86" s="109"/>
      <c r="G86" s="76" t="str">
        <f>IF(Master[[#This Row],[ECOREGION - Lookup picker]]="","",Master[[#This Row],[ECOREGION - Lookup picker]])</f>
        <v>Colorado Plateaus</v>
      </c>
      <c r="H86" s="141" t="str">
        <f>IF(Master[[#This Row],[Ecoregion Original Value]]="","",Master[[#This Row],[Ecoregion Original Value]])</f>
        <v>20E:Colorado Plateau (Omernik)</v>
      </c>
    </row>
    <row r="87" spans="2:8" x14ac:dyDescent="0.25">
      <c r="B87" s="141" t="str">
        <f>Master[[#This Row],[Accession Prefix (NPGS)]]&amp;" "&amp;Master[[#This Row],[Accession Number -Assigned]]&amp;" COLLECTED "&amp;TEXT(Master[[#This Row],[Date Collected or Developed]], "MM/DD/YYYY")</f>
        <v>W6 59673 COLLECTED 07/16/2020</v>
      </c>
      <c r="C87" s="141" t="str">
        <f t="shared" si="2"/>
        <v>ECOREGION</v>
      </c>
      <c r="D87" s="17" t="str">
        <f>IF(Master[[#This Row],[ECOREGION - Lookup picker]]="","",Master[[#This Row],[ECOREGION - Lookup picker]])</f>
        <v>Colorado Plateaus</v>
      </c>
      <c r="E87" s="109"/>
      <c r="G87" s="76" t="str">
        <f>IF(Master[[#This Row],[ECOREGION - Lookup picker]]="","",Master[[#This Row],[ECOREGION - Lookup picker]])</f>
        <v>Colorado Plateaus</v>
      </c>
      <c r="H87" s="141" t="str">
        <f>IF(Master[[#This Row],[Ecoregion Original Value]]="","",Master[[#This Row],[Ecoregion Original Value]])</f>
        <v>20E:Colorado Plateau (Omernik)</v>
      </c>
    </row>
    <row r="88" spans="2:8" x14ac:dyDescent="0.25">
      <c r="B88" s="141" t="str">
        <f>Master[[#This Row],[Accession Prefix (NPGS)]]&amp;" "&amp;Master[[#This Row],[Accession Number -Assigned]]&amp;" COLLECTED "&amp;TEXT(Master[[#This Row],[Date Collected or Developed]], "MM/DD/YYYY")</f>
        <v>W6 59674 COLLECTED 07/16/2020</v>
      </c>
      <c r="C88" s="141" t="str">
        <f t="shared" si="2"/>
        <v>ECOREGION</v>
      </c>
      <c r="D88" s="17" t="str">
        <f>IF(Master[[#This Row],[ECOREGION - Lookup picker]]="","",Master[[#This Row],[ECOREGION - Lookup picker]])</f>
        <v>Colorado Plateaus</v>
      </c>
      <c r="E88" s="109"/>
      <c r="G88" s="76" t="str">
        <f>IF(Master[[#This Row],[ECOREGION - Lookup picker]]="","",Master[[#This Row],[ECOREGION - Lookup picker]])</f>
        <v>Colorado Plateaus</v>
      </c>
      <c r="H88" s="141" t="str">
        <f>IF(Master[[#This Row],[Ecoregion Original Value]]="","",Master[[#This Row],[Ecoregion Original Value]])</f>
        <v>20E:Colorado Plateau (Omernik)</v>
      </c>
    </row>
    <row r="89" spans="2:8" x14ac:dyDescent="0.25">
      <c r="B89" s="141" t="str">
        <f>Master[[#This Row],[Accession Prefix (NPGS)]]&amp;" "&amp;Master[[#This Row],[Accession Number -Assigned]]&amp;" COLLECTED "&amp;TEXT(Master[[#This Row],[Date Collected or Developed]], "MM/DD/YYYY")</f>
        <v>W6 59675 COLLECTED 08/26/2020</v>
      </c>
      <c r="C89" s="141" t="str">
        <f t="shared" si="2"/>
        <v>ECOREGION</v>
      </c>
      <c r="D89" s="17" t="str">
        <f>IF(Master[[#This Row],[ECOREGION - Lookup picker]]="","",Master[[#This Row],[ECOREGION - Lookup picker]])</f>
        <v>Colorado Plateaus</v>
      </c>
      <c r="E89" s="109"/>
      <c r="G89" s="76" t="str">
        <f>IF(Master[[#This Row],[ECOREGION - Lookup picker]]="","",Master[[#This Row],[ECOREGION - Lookup picker]])</f>
        <v>Colorado Plateaus</v>
      </c>
      <c r="H89" s="141" t="str">
        <f>IF(Master[[#This Row],[Ecoregion Original Value]]="","",Master[[#This Row],[Ecoregion Original Value]])</f>
        <v>20E:Colorado Plateau (Omernik)</v>
      </c>
    </row>
    <row r="90" spans="2:8" x14ac:dyDescent="0.25">
      <c r="B90" s="141" t="str">
        <f>Master[[#This Row],[Accession Prefix (NPGS)]]&amp;" "&amp;Master[[#This Row],[Accession Number -Assigned]]&amp;" COLLECTED "&amp;TEXT(Master[[#This Row],[Date Collected or Developed]], "MM/DD/YYYY")</f>
        <v>W6 59676 COLLECTED 08/20/2020</v>
      </c>
      <c r="C90" s="141" t="str">
        <f t="shared" si="2"/>
        <v>ECOREGION</v>
      </c>
      <c r="D90" s="17" t="str">
        <f>IF(Master[[#This Row],[ECOREGION - Lookup picker]]="","",Master[[#This Row],[ECOREGION - Lookup picker]])</f>
        <v>Colorado Plateaus</v>
      </c>
      <c r="E90" s="109"/>
      <c r="G90" s="76" t="str">
        <f>IF(Master[[#This Row],[ECOREGION - Lookup picker]]="","",Master[[#This Row],[ECOREGION - Lookup picker]])</f>
        <v>Colorado Plateaus</v>
      </c>
      <c r="H90" s="141" t="str">
        <f>IF(Master[[#This Row],[Ecoregion Original Value]]="","",Master[[#This Row],[Ecoregion Original Value]])</f>
        <v>20E:Colorado Plateau (Omernik)</v>
      </c>
    </row>
    <row r="91" spans="2:8" x14ac:dyDescent="0.25">
      <c r="B91" s="141" t="str">
        <f>Master[[#This Row],[Accession Prefix (NPGS)]]&amp;" "&amp;Master[[#This Row],[Accession Number -Assigned]]&amp;" COLLECTED "&amp;TEXT(Master[[#This Row],[Date Collected or Developed]], "MM/DD/YYYY")</f>
        <v>W6 59677 COLLECTED 08/20/2020</v>
      </c>
      <c r="C91" s="141" t="str">
        <f t="shared" si="2"/>
        <v>ECOREGION</v>
      </c>
      <c r="D91" s="17" t="str">
        <f>IF(Master[[#This Row],[ECOREGION - Lookup picker]]="","",Master[[#This Row],[ECOREGION - Lookup picker]])</f>
        <v>Colorado Plateaus</v>
      </c>
      <c r="E91" s="109"/>
      <c r="G91" s="76" t="str">
        <f>IF(Master[[#This Row],[ECOREGION - Lookup picker]]="","",Master[[#This Row],[ECOREGION - Lookup picker]])</f>
        <v>Colorado Plateaus</v>
      </c>
      <c r="H91" s="141" t="str">
        <f>IF(Master[[#This Row],[Ecoregion Original Value]]="","",Master[[#This Row],[Ecoregion Original Value]])</f>
        <v>20E:Colorado Plateau (Omernik)</v>
      </c>
    </row>
    <row r="92" spans="2:8" x14ac:dyDescent="0.25">
      <c r="B92" s="141" t="str">
        <f>Master[[#This Row],[Accession Prefix (NPGS)]]&amp;" "&amp;Master[[#This Row],[Accession Number -Assigned]]&amp;" COLLECTED "&amp;TEXT(Master[[#This Row],[Date Collected or Developed]], "MM/DD/YYYY")</f>
        <v>W6 59678 COLLECTED 10/01/2020</v>
      </c>
      <c r="C92" s="141" t="str">
        <f t="shared" si="2"/>
        <v>ECOREGION</v>
      </c>
      <c r="D92" s="17" t="str">
        <f>IF(Master[[#This Row],[ECOREGION - Lookup picker]]="","",Master[[#This Row],[ECOREGION - Lookup picker]])</f>
        <v>Colorado Plateaus</v>
      </c>
      <c r="E92" s="109"/>
      <c r="G92" s="76" t="str">
        <f>IF(Master[[#This Row],[ECOREGION - Lookup picker]]="","",Master[[#This Row],[ECOREGION - Lookup picker]])</f>
        <v>Colorado Plateaus</v>
      </c>
      <c r="H92" s="141" t="str">
        <f>IF(Master[[#This Row],[Ecoregion Original Value]]="","",Master[[#This Row],[Ecoregion Original Value]])</f>
        <v>20E:Colorado Plateau (Omernik)</v>
      </c>
    </row>
    <row r="93" spans="2:8" x14ac:dyDescent="0.25">
      <c r="B93" s="141" t="str">
        <f>Master[[#This Row],[Accession Prefix (NPGS)]]&amp;" "&amp;Master[[#This Row],[Accession Number -Assigned]]&amp;" COLLECTED "&amp;TEXT(Master[[#This Row],[Date Collected or Developed]], "MM/DD/YYYY")</f>
        <v>W6 59679 COLLECTED 09/30/2020</v>
      </c>
      <c r="C93" s="141" t="str">
        <f t="shared" si="2"/>
        <v>ECOREGION</v>
      </c>
      <c r="D93" s="17" t="str">
        <f>IF(Master[[#This Row],[ECOREGION - Lookup picker]]="","",Master[[#This Row],[ECOREGION - Lookup picker]])</f>
        <v>Colorado Plateaus</v>
      </c>
      <c r="E93" s="109"/>
      <c r="G93" s="76" t="str">
        <f>IF(Master[[#This Row],[ECOREGION - Lookup picker]]="","",Master[[#This Row],[ECOREGION - Lookup picker]])</f>
        <v>Colorado Plateaus</v>
      </c>
      <c r="H93" s="141" t="str">
        <f>IF(Master[[#This Row],[Ecoregion Original Value]]="","",Master[[#This Row],[Ecoregion Original Value]])</f>
        <v>20E:Colorado Plateau (Omernik)</v>
      </c>
    </row>
    <row r="94" spans="2:8" x14ac:dyDescent="0.25">
      <c r="B94" s="141" t="str">
        <f>Master[[#This Row],[Accession Prefix (NPGS)]]&amp;" "&amp;Master[[#This Row],[Accession Number -Assigned]]&amp;" COLLECTED "&amp;TEXT(Master[[#This Row],[Date Collected or Developed]], "MM/DD/YYYY")</f>
        <v>W6 59680 COLLECTED 10/01/2020</v>
      </c>
      <c r="C94" s="141" t="str">
        <f t="shared" si="2"/>
        <v>ECOREGION</v>
      </c>
      <c r="D94" s="17" t="str">
        <f>IF(Master[[#This Row],[ECOREGION - Lookup picker]]="","",Master[[#This Row],[ECOREGION - Lookup picker]])</f>
        <v>Colorado Plateaus</v>
      </c>
      <c r="E94" s="109"/>
      <c r="G94" s="76" t="str">
        <f>IF(Master[[#This Row],[ECOREGION - Lookup picker]]="","",Master[[#This Row],[ECOREGION - Lookup picker]])</f>
        <v>Colorado Plateaus</v>
      </c>
      <c r="H94" s="141" t="str">
        <f>IF(Master[[#This Row],[Ecoregion Original Value]]="","",Master[[#This Row],[Ecoregion Original Value]])</f>
        <v>20E:Colorado Plateau (Omernik)</v>
      </c>
    </row>
    <row r="95" spans="2:8" x14ac:dyDescent="0.25">
      <c r="B95" s="141" t="str">
        <f>Master[[#This Row],[Accession Prefix (NPGS)]]&amp;" "&amp;Master[[#This Row],[Accession Number -Assigned]]&amp;" COLLECTED "&amp;TEXT(Master[[#This Row],[Date Collected or Developed]], "MM/DD/YYYY")</f>
        <v>W6 59681 COLLECTED 08/15/2020</v>
      </c>
      <c r="C95" s="141" t="str">
        <f t="shared" si="2"/>
        <v>ECOREGION</v>
      </c>
      <c r="D95" s="17" t="str">
        <f>IF(Master[[#This Row],[ECOREGION - Lookup picker]]="","",Master[[#This Row],[ECOREGION - Lookup picker]])</f>
        <v>Colorado Plateaus</v>
      </c>
      <c r="E95" s="109"/>
      <c r="G95" s="76" t="str">
        <f>IF(Master[[#This Row],[ECOREGION - Lookup picker]]="","",Master[[#This Row],[ECOREGION - Lookup picker]])</f>
        <v>Colorado Plateaus</v>
      </c>
      <c r="H95" s="141" t="str">
        <f>IF(Master[[#This Row],[Ecoregion Original Value]]="","",Master[[#This Row],[Ecoregion Original Value]])</f>
        <v>20E:Colorado Plateau (Omernik)</v>
      </c>
    </row>
    <row r="96" spans="2:8" x14ac:dyDescent="0.25">
      <c r="B96" s="141" t="str">
        <f>Master[[#This Row],[Accession Prefix (NPGS)]]&amp;" "&amp;Master[[#This Row],[Accession Number -Assigned]]&amp;" COLLECTED "&amp;TEXT(Master[[#This Row],[Date Collected or Developed]], "MM/DD/YYYY")</f>
        <v>W6 59682 COLLECTED 09/30/2020</v>
      </c>
      <c r="C96" s="141" t="str">
        <f t="shared" si="2"/>
        <v>ECOREGION</v>
      </c>
      <c r="D96" s="17" t="str">
        <f>IF(Master[[#This Row],[ECOREGION - Lookup picker]]="","",Master[[#This Row],[ECOREGION - Lookup picker]])</f>
        <v>Colorado Plateaus</v>
      </c>
      <c r="E96" s="109"/>
      <c r="G96" s="76" t="str">
        <f>IF(Master[[#This Row],[ECOREGION - Lookup picker]]="","",Master[[#This Row],[ECOREGION - Lookup picker]])</f>
        <v>Colorado Plateaus</v>
      </c>
      <c r="H96" s="141" t="str">
        <f>IF(Master[[#This Row],[Ecoregion Original Value]]="","",Master[[#This Row],[Ecoregion Original Value]])</f>
        <v>20E:Colorado Plateau (Omernik)</v>
      </c>
    </row>
    <row r="97" spans="2:8" x14ac:dyDescent="0.25">
      <c r="B97" s="141" t="str">
        <f>Master[[#This Row],[Accession Prefix (NPGS)]]&amp;" "&amp;Master[[#This Row],[Accession Number -Assigned]]&amp;" COLLECTED "&amp;TEXT(Master[[#This Row],[Date Collected or Developed]], "MM/DD/YYYY")</f>
        <v>W6 59683 COLLECTED 07/08/2020</v>
      </c>
      <c r="C97" s="141" t="str">
        <f t="shared" si="2"/>
        <v>ECOREGION</v>
      </c>
      <c r="D97" s="17" t="str">
        <f>IF(Master[[#This Row],[ECOREGION - Lookup picker]]="","",Master[[#This Row],[ECOREGION - Lookup picker]])</f>
        <v>Middle Rockies</v>
      </c>
      <c r="E97" s="109"/>
      <c r="G97" s="76" t="str">
        <f>IF(Master[[#This Row],[ECOREGION - Lookup picker]]="","",Master[[#This Row],[ECOREGION - Lookup picker]])</f>
        <v>Middle Rockies</v>
      </c>
      <c r="H97" s="141" t="str">
        <f>IF(Master[[#This Row],[Ecoregion Original Value]]="","",Master[[#This Row],[Ecoregion Original Value]])</f>
        <v>17E:Middle Rockies (Omernik)</v>
      </c>
    </row>
    <row r="98" spans="2:8" x14ac:dyDescent="0.25">
      <c r="B98" s="141" t="str">
        <f>Master[[#This Row],[Accession Prefix (NPGS)]]&amp;" "&amp;Master[[#This Row],[Accession Number -Assigned]]&amp;" COLLECTED "&amp;TEXT(Master[[#This Row],[Date Collected or Developed]], "MM/DD/YYYY")</f>
        <v>W6 59684 COLLECTED 06/15/2020</v>
      </c>
      <c r="C98" s="141" t="str">
        <f t="shared" ref="C98:C129" si="3">"ECOREGION"</f>
        <v>ECOREGION</v>
      </c>
      <c r="D98" s="17" t="str">
        <f>IF(Master[[#This Row],[ECOREGION - Lookup picker]]="","",Master[[#This Row],[ECOREGION - Lookup picker]])</f>
        <v>Middle Rockies</v>
      </c>
      <c r="E98" s="109"/>
      <c r="G98" s="76" t="str">
        <f>IF(Master[[#This Row],[ECOREGION - Lookup picker]]="","",Master[[#This Row],[ECOREGION - Lookup picker]])</f>
        <v>Middle Rockies</v>
      </c>
      <c r="H98" s="141" t="str">
        <f>IF(Master[[#This Row],[Ecoregion Original Value]]="","",Master[[#This Row],[Ecoregion Original Value]])</f>
        <v>17E:Middle Rockies (Omernik)</v>
      </c>
    </row>
    <row r="99" spans="2:8" x14ac:dyDescent="0.25">
      <c r="B99" s="141" t="str">
        <f>Master[[#This Row],[Accession Prefix (NPGS)]]&amp;" "&amp;Master[[#This Row],[Accession Number -Assigned]]&amp;" COLLECTED "&amp;TEXT(Master[[#This Row],[Date Collected or Developed]], "MM/DD/YYYY")</f>
        <v>W6 59685 COLLECTED 06/16/2020</v>
      </c>
      <c r="C99" s="141" t="str">
        <f t="shared" si="3"/>
        <v>ECOREGION</v>
      </c>
      <c r="D99" s="17" t="str">
        <f>IF(Master[[#This Row],[ECOREGION - Lookup picker]]="","",Master[[#This Row],[ECOREGION - Lookup picker]])</f>
        <v>Northwestern Great Plains</v>
      </c>
      <c r="E99" s="109"/>
      <c r="G99" s="76" t="str">
        <f>IF(Master[[#This Row],[ECOREGION - Lookup picker]]="","",Master[[#This Row],[ECOREGION - Lookup picker]])</f>
        <v>Northwestern Great Plains</v>
      </c>
      <c r="H99" s="141" t="str">
        <f>IF(Master[[#This Row],[Ecoregion Original Value]]="","",Master[[#This Row],[Ecoregion Original Value]])</f>
        <v>43E:Northwestern Great Plains (Omernik)</v>
      </c>
    </row>
    <row r="100" spans="2:8" x14ac:dyDescent="0.25">
      <c r="B100" s="141" t="str">
        <f>Master[[#This Row],[Accession Prefix (NPGS)]]&amp;" "&amp;Master[[#This Row],[Accession Number -Assigned]]&amp;" COLLECTED "&amp;TEXT(Master[[#This Row],[Date Collected or Developed]], "MM/DD/YYYY")</f>
        <v>W6 59686 COLLECTED 06/17/2020</v>
      </c>
      <c r="C100" s="141" t="str">
        <f t="shared" si="3"/>
        <v>ECOREGION</v>
      </c>
      <c r="D100" s="17" t="str">
        <f>IF(Master[[#This Row],[ECOREGION - Lookup picker]]="","",Master[[#This Row],[ECOREGION - Lookup picker]])</f>
        <v>Northwestern Great Plains</v>
      </c>
      <c r="E100" s="109"/>
      <c r="G100" s="76" t="str">
        <f>IF(Master[[#This Row],[ECOREGION - Lookup picker]]="","",Master[[#This Row],[ECOREGION - Lookup picker]])</f>
        <v>Northwestern Great Plains</v>
      </c>
      <c r="H100" s="141" t="str">
        <f>IF(Master[[#This Row],[Ecoregion Original Value]]="","",Master[[#This Row],[Ecoregion Original Value]])</f>
        <v>43E:Northwestern Great Plains (Omernik)</v>
      </c>
    </row>
    <row r="101" spans="2:8" x14ac:dyDescent="0.25">
      <c r="B101" s="141" t="str">
        <f>Master[[#This Row],[Accession Prefix (NPGS)]]&amp;" "&amp;Master[[#This Row],[Accession Number -Assigned]]&amp;" COLLECTED "&amp;TEXT(Master[[#This Row],[Date Collected or Developed]], "MM/DD/YYYY")</f>
        <v>W6 59687 COLLECTED 06/23/2020</v>
      </c>
      <c r="C101" s="141" t="str">
        <f t="shared" si="3"/>
        <v>ECOREGION</v>
      </c>
      <c r="D101" s="17" t="str">
        <f>IF(Master[[#This Row],[ECOREGION - Lookup picker]]="","",Master[[#This Row],[ECOREGION - Lookup picker]])</f>
        <v>Northwestern Great Plains</v>
      </c>
      <c r="E101" s="109"/>
      <c r="G101" s="76" t="str">
        <f>IF(Master[[#This Row],[ECOREGION - Lookup picker]]="","",Master[[#This Row],[ECOREGION - Lookup picker]])</f>
        <v>Northwestern Great Plains</v>
      </c>
      <c r="H101" s="141" t="str">
        <f>IF(Master[[#This Row],[Ecoregion Original Value]]="","",Master[[#This Row],[Ecoregion Original Value]])</f>
        <v>43E:Northwestern Great Plains (Omernik)</v>
      </c>
    </row>
    <row r="102" spans="2:8" x14ac:dyDescent="0.25">
      <c r="B102" s="141" t="str">
        <f>Master[[#This Row],[Accession Prefix (NPGS)]]&amp;" "&amp;Master[[#This Row],[Accession Number -Assigned]]&amp;" COLLECTED "&amp;TEXT(Master[[#This Row],[Date Collected or Developed]], "MM/DD/YYYY")</f>
        <v>W6 59688 COLLECTED 06/25/2020</v>
      </c>
      <c r="C102" s="141" t="str">
        <f t="shared" si="3"/>
        <v>ECOREGION</v>
      </c>
      <c r="D102" s="17" t="str">
        <f>IF(Master[[#This Row],[ECOREGION - Lookup picker]]="","",Master[[#This Row],[ECOREGION - Lookup picker]])</f>
        <v>Northwestern Great Plains</v>
      </c>
      <c r="E102" s="109"/>
      <c r="G102" s="76" t="str">
        <f>IF(Master[[#This Row],[ECOREGION - Lookup picker]]="","",Master[[#This Row],[ECOREGION - Lookup picker]])</f>
        <v>Northwestern Great Plains</v>
      </c>
      <c r="H102" s="141" t="str">
        <f>IF(Master[[#This Row],[Ecoregion Original Value]]="","",Master[[#This Row],[Ecoregion Original Value]])</f>
        <v>43E:Northwestern Great Plains (Omernik)</v>
      </c>
    </row>
    <row r="103" spans="2:8" x14ac:dyDescent="0.25">
      <c r="B103" s="141" t="str">
        <f>Master[[#This Row],[Accession Prefix (NPGS)]]&amp;" "&amp;Master[[#This Row],[Accession Number -Assigned]]&amp;" COLLECTED "&amp;TEXT(Master[[#This Row],[Date Collected or Developed]], "MM/DD/YYYY")</f>
        <v>W6 59689 COLLECTED 06/30/2020</v>
      </c>
      <c r="C103" s="141" t="str">
        <f t="shared" si="3"/>
        <v>ECOREGION</v>
      </c>
      <c r="D103" s="17" t="str">
        <f>IF(Master[[#This Row],[ECOREGION - Lookup picker]]="","",Master[[#This Row],[ECOREGION - Lookup picker]])</f>
        <v>Northwestern Great Plains</v>
      </c>
      <c r="E103" s="109"/>
      <c r="G103" s="76" t="str">
        <f>IF(Master[[#This Row],[ECOREGION - Lookup picker]]="","",Master[[#This Row],[ECOREGION - Lookup picker]])</f>
        <v>Northwestern Great Plains</v>
      </c>
      <c r="H103" s="141" t="str">
        <f>IF(Master[[#This Row],[Ecoregion Original Value]]="","",Master[[#This Row],[Ecoregion Original Value]])</f>
        <v>43E:Northwestern Great Plains (Omernik)</v>
      </c>
    </row>
    <row r="104" spans="2:8" x14ac:dyDescent="0.25">
      <c r="B104" s="141" t="str">
        <f>Master[[#This Row],[Accession Prefix (NPGS)]]&amp;" "&amp;Master[[#This Row],[Accession Number -Assigned]]&amp;" COLLECTED "&amp;TEXT(Master[[#This Row],[Date Collected or Developed]], "MM/DD/YYYY")</f>
        <v>W6 59690 COLLECTED 06/30/2020</v>
      </c>
      <c r="C104" s="141" t="str">
        <f t="shared" si="3"/>
        <v>ECOREGION</v>
      </c>
      <c r="D104" s="17" t="str">
        <f>IF(Master[[#This Row],[ECOREGION - Lookup picker]]="","",Master[[#This Row],[ECOREGION - Lookup picker]])</f>
        <v>Northwestern Great Plains</v>
      </c>
      <c r="E104" s="109"/>
      <c r="G104" s="76" t="str">
        <f>IF(Master[[#This Row],[ECOREGION - Lookup picker]]="","",Master[[#This Row],[ECOREGION - Lookup picker]])</f>
        <v>Northwestern Great Plains</v>
      </c>
      <c r="H104" s="141" t="str">
        <f>IF(Master[[#This Row],[Ecoregion Original Value]]="","",Master[[#This Row],[Ecoregion Original Value]])</f>
        <v>43E:Northwestern Great Plains (Omernik)</v>
      </c>
    </row>
    <row r="105" spans="2:8" x14ac:dyDescent="0.25">
      <c r="B105" s="141" t="str">
        <f>Master[[#This Row],[Accession Prefix (NPGS)]]&amp;" "&amp;Master[[#This Row],[Accession Number -Assigned]]&amp;" COLLECTED "&amp;TEXT(Master[[#This Row],[Date Collected or Developed]], "MM/DD/YYYY")</f>
        <v>W6 59691 COLLECTED 07/07/2020</v>
      </c>
      <c r="C105" s="141" t="str">
        <f t="shared" si="3"/>
        <v>ECOREGION</v>
      </c>
      <c r="D105" s="17" t="str">
        <f>IF(Master[[#This Row],[ECOREGION - Lookup picker]]="","",Master[[#This Row],[ECOREGION - Lookup picker]])</f>
        <v>Northwestern Great Plains</v>
      </c>
      <c r="E105" s="109"/>
      <c r="G105" s="76" t="str">
        <f>IF(Master[[#This Row],[ECOREGION - Lookup picker]]="","",Master[[#This Row],[ECOREGION - Lookup picker]])</f>
        <v>Northwestern Great Plains</v>
      </c>
      <c r="H105" s="141" t="str">
        <f>IF(Master[[#This Row],[Ecoregion Original Value]]="","",Master[[#This Row],[Ecoregion Original Value]])</f>
        <v>43E:Northwestern Great Plains (Omernik)</v>
      </c>
    </row>
    <row r="106" spans="2:8" x14ac:dyDescent="0.25">
      <c r="B106" s="141" t="str">
        <f>Master[[#This Row],[Accession Prefix (NPGS)]]&amp;" "&amp;Master[[#This Row],[Accession Number -Assigned]]&amp;" COLLECTED "&amp;TEXT(Master[[#This Row],[Date Collected or Developed]], "MM/DD/YYYY")</f>
        <v>W6 59692 COLLECTED 07/08/2020</v>
      </c>
      <c r="C106" s="141" t="str">
        <f t="shared" si="3"/>
        <v>ECOREGION</v>
      </c>
      <c r="D106" s="17" t="str">
        <f>IF(Master[[#This Row],[ECOREGION - Lookup picker]]="","",Master[[#This Row],[ECOREGION - Lookup picker]])</f>
        <v>Northwestern Great Plains</v>
      </c>
      <c r="E106" s="109"/>
      <c r="G106" s="76" t="str">
        <f>IF(Master[[#This Row],[ECOREGION - Lookup picker]]="","",Master[[#This Row],[ECOREGION - Lookup picker]])</f>
        <v>Northwestern Great Plains</v>
      </c>
      <c r="H106" s="141" t="str">
        <f>IF(Master[[#This Row],[Ecoregion Original Value]]="","",Master[[#This Row],[Ecoregion Original Value]])</f>
        <v>43E:Northwestern Great Plains (Omernik)</v>
      </c>
    </row>
    <row r="107" spans="2:8" x14ac:dyDescent="0.25">
      <c r="B107" s="141" t="str">
        <f>Master[[#This Row],[Accession Prefix (NPGS)]]&amp;" "&amp;Master[[#This Row],[Accession Number -Assigned]]&amp;" COLLECTED "&amp;TEXT(Master[[#This Row],[Date Collected or Developed]], "MM/DD/YYYY")</f>
        <v>W6 59693 COLLECTED 07/09/2020</v>
      </c>
      <c r="C107" s="141" t="str">
        <f t="shared" si="3"/>
        <v>ECOREGION</v>
      </c>
      <c r="D107" s="17" t="str">
        <f>IF(Master[[#This Row],[ECOREGION - Lookup picker]]="","",Master[[#This Row],[ECOREGION - Lookup picker]])</f>
        <v>Northwestern Great Plains</v>
      </c>
      <c r="E107" s="109"/>
      <c r="G107" s="76" t="str">
        <f>IF(Master[[#This Row],[ECOREGION - Lookup picker]]="","",Master[[#This Row],[ECOREGION - Lookup picker]])</f>
        <v>Northwestern Great Plains</v>
      </c>
      <c r="H107" s="141" t="str">
        <f>IF(Master[[#This Row],[Ecoregion Original Value]]="","",Master[[#This Row],[Ecoregion Original Value]])</f>
        <v>43E:Northwestern Great Plains (Omernik)</v>
      </c>
    </row>
    <row r="108" spans="2:8" x14ac:dyDescent="0.25">
      <c r="B108" s="141" t="str">
        <f>Master[[#This Row],[Accession Prefix (NPGS)]]&amp;" "&amp;Master[[#This Row],[Accession Number -Assigned]]&amp;" COLLECTED "&amp;TEXT(Master[[#This Row],[Date Collected or Developed]], "MM/DD/YYYY")</f>
        <v>W6 59694 COLLECTED 07/13/2020</v>
      </c>
      <c r="C108" s="141" t="str">
        <f t="shared" si="3"/>
        <v>ECOREGION</v>
      </c>
      <c r="D108" s="17" t="str">
        <f>IF(Master[[#This Row],[ECOREGION - Lookup picker]]="","",Master[[#This Row],[ECOREGION - Lookup picker]])</f>
        <v>Northwestern Great Plains</v>
      </c>
      <c r="E108" s="109"/>
      <c r="G108" s="76" t="str">
        <f>IF(Master[[#This Row],[ECOREGION - Lookup picker]]="","",Master[[#This Row],[ECOREGION - Lookup picker]])</f>
        <v>Northwestern Great Plains</v>
      </c>
      <c r="H108" s="141" t="str">
        <f>IF(Master[[#This Row],[Ecoregion Original Value]]="","",Master[[#This Row],[Ecoregion Original Value]])</f>
        <v>43E:Northwestern Great Plains (Omernik)</v>
      </c>
    </row>
    <row r="109" spans="2:8" x14ac:dyDescent="0.25">
      <c r="B109" s="141" t="str">
        <f>Master[[#This Row],[Accession Prefix (NPGS)]]&amp;" "&amp;Master[[#This Row],[Accession Number -Assigned]]&amp;" COLLECTED "&amp;TEXT(Master[[#This Row],[Date Collected or Developed]], "MM/DD/YYYY")</f>
        <v>W6 59695 COLLECTED 07/14/2020</v>
      </c>
      <c r="C109" s="141" t="str">
        <f t="shared" si="3"/>
        <v>ECOREGION</v>
      </c>
      <c r="D109" s="17" t="str">
        <f>IF(Master[[#This Row],[ECOREGION - Lookup picker]]="","",Master[[#This Row],[ECOREGION - Lookup picker]])</f>
        <v>Northwestern Great Plains</v>
      </c>
      <c r="E109" s="109"/>
      <c r="G109" s="76" t="str">
        <f>IF(Master[[#This Row],[ECOREGION - Lookup picker]]="","",Master[[#This Row],[ECOREGION - Lookup picker]])</f>
        <v>Northwestern Great Plains</v>
      </c>
      <c r="H109" s="141" t="str">
        <f>IF(Master[[#This Row],[Ecoregion Original Value]]="","",Master[[#This Row],[Ecoregion Original Value]])</f>
        <v>43E:Northwestern Great Plains (Omernik)</v>
      </c>
    </row>
    <row r="110" spans="2:8" x14ac:dyDescent="0.25">
      <c r="B110" s="141" t="str">
        <f>Master[[#This Row],[Accession Prefix (NPGS)]]&amp;" "&amp;Master[[#This Row],[Accession Number -Assigned]]&amp;" COLLECTED "&amp;TEXT(Master[[#This Row],[Date Collected or Developed]], "MM/DD/YYYY")</f>
        <v>W6 59696 COLLECTED 07/15/2020</v>
      </c>
      <c r="C110" s="141" t="str">
        <f t="shared" si="3"/>
        <v>ECOREGION</v>
      </c>
      <c r="D110" s="17" t="str">
        <f>IF(Master[[#This Row],[ECOREGION - Lookup picker]]="","",Master[[#This Row],[ECOREGION - Lookup picker]])</f>
        <v>Wyoming Basin</v>
      </c>
      <c r="E110" s="109"/>
      <c r="G110" s="76" t="str">
        <f>IF(Master[[#This Row],[ECOREGION - Lookup picker]]="","",Master[[#This Row],[ECOREGION - Lookup picker]])</f>
        <v>Wyoming Basin</v>
      </c>
      <c r="H110" s="141" t="str">
        <f>IF(Master[[#This Row],[Ecoregion Original Value]]="","",Master[[#This Row],[Ecoregion Original Value]])</f>
        <v>18E:Wyoming Basin (Omernik)</v>
      </c>
    </row>
    <row r="111" spans="2:8" x14ac:dyDescent="0.25">
      <c r="B111" s="141" t="str">
        <f>Master[[#This Row],[Accession Prefix (NPGS)]]&amp;" "&amp;Master[[#This Row],[Accession Number -Assigned]]&amp;" COLLECTED "&amp;TEXT(Master[[#This Row],[Date Collected or Developed]], "MM/DD/YYYY")</f>
        <v>W6 59697 COLLECTED 07/15/2020</v>
      </c>
      <c r="C111" s="141" t="str">
        <f t="shared" si="3"/>
        <v>ECOREGION</v>
      </c>
      <c r="D111" s="17" t="str">
        <f>IF(Master[[#This Row],[ECOREGION - Lookup picker]]="","",Master[[#This Row],[ECOREGION - Lookup picker]])</f>
        <v>Wyoming Basin</v>
      </c>
      <c r="E111" s="109"/>
      <c r="G111" s="76" t="str">
        <f>IF(Master[[#This Row],[ECOREGION - Lookup picker]]="","",Master[[#This Row],[ECOREGION - Lookup picker]])</f>
        <v>Wyoming Basin</v>
      </c>
      <c r="H111" s="141" t="str">
        <f>IF(Master[[#This Row],[Ecoregion Original Value]]="","",Master[[#This Row],[Ecoregion Original Value]])</f>
        <v>18E:Wyoming Basin (Omernik)</v>
      </c>
    </row>
    <row r="112" spans="2:8" x14ac:dyDescent="0.25">
      <c r="B112" s="141" t="str">
        <f>Master[[#This Row],[Accession Prefix (NPGS)]]&amp;" "&amp;Master[[#This Row],[Accession Number -Assigned]]&amp;" COLLECTED "&amp;TEXT(Master[[#This Row],[Date Collected or Developed]], "MM/DD/YYYY")</f>
        <v>W6 59698 COLLECTED 07/16/2020</v>
      </c>
      <c r="C112" s="141" t="str">
        <f t="shared" si="3"/>
        <v>ECOREGION</v>
      </c>
      <c r="D112" s="17" t="str">
        <f>IF(Master[[#This Row],[ECOREGION - Lookup picker]]="","",Master[[#This Row],[ECOREGION - Lookup picker]])</f>
        <v>Northwestern Great Plains</v>
      </c>
      <c r="E112" s="109"/>
      <c r="G112" s="76" t="str">
        <f>IF(Master[[#This Row],[ECOREGION - Lookup picker]]="","",Master[[#This Row],[ECOREGION - Lookup picker]])</f>
        <v>Northwestern Great Plains</v>
      </c>
      <c r="H112" s="141" t="str">
        <f>IF(Master[[#This Row],[Ecoregion Original Value]]="","",Master[[#This Row],[Ecoregion Original Value]])</f>
        <v>43E:Northwestern Great Plains (Omernik)</v>
      </c>
    </row>
    <row r="113" spans="2:8" x14ac:dyDescent="0.25">
      <c r="B113" s="141" t="str">
        <f>Master[[#This Row],[Accession Prefix (NPGS)]]&amp;" "&amp;Master[[#This Row],[Accession Number -Assigned]]&amp;" COLLECTED "&amp;TEXT(Master[[#This Row],[Date Collected or Developed]], "MM/DD/YYYY")</f>
        <v>W6 59699 COLLECTED 07/27/2020</v>
      </c>
      <c r="C113" s="141" t="str">
        <f t="shared" si="3"/>
        <v>ECOREGION</v>
      </c>
      <c r="D113" s="17" t="str">
        <f>IF(Master[[#This Row],[ECOREGION - Lookup picker]]="","",Master[[#This Row],[ECOREGION - Lookup picker]])</f>
        <v>Wyoming Basin</v>
      </c>
      <c r="E113" s="109"/>
      <c r="G113" s="76" t="str">
        <f>IF(Master[[#This Row],[ECOREGION - Lookup picker]]="","",Master[[#This Row],[ECOREGION - Lookup picker]])</f>
        <v>Wyoming Basin</v>
      </c>
      <c r="H113" s="141" t="str">
        <f>IF(Master[[#This Row],[Ecoregion Original Value]]="","",Master[[#This Row],[Ecoregion Original Value]])</f>
        <v>18E:Wyoming Basin (Omernik)</v>
      </c>
    </row>
    <row r="114" spans="2:8" x14ac:dyDescent="0.25">
      <c r="B114" s="141" t="str">
        <f>Master[[#This Row],[Accession Prefix (NPGS)]]&amp;" "&amp;Master[[#This Row],[Accession Number -Assigned]]&amp;" COLLECTED "&amp;TEXT(Master[[#This Row],[Date Collected or Developed]], "MM/DD/YYYY")</f>
        <v>W6 59700 COLLECTED 08/03/2020</v>
      </c>
      <c r="C114" s="141" t="str">
        <f t="shared" si="3"/>
        <v>ECOREGION</v>
      </c>
      <c r="D114" s="17" t="str">
        <f>IF(Master[[#This Row],[ECOREGION - Lookup picker]]="","",Master[[#This Row],[ECOREGION - Lookup picker]])</f>
        <v>Middle Rockies</v>
      </c>
      <c r="E114" s="109"/>
      <c r="G114" s="76" t="str">
        <f>IF(Master[[#This Row],[ECOREGION - Lookup picker]]="","",Master[[#This Row],[ECOREGION - Lookup picker]])</f>
        <v>Middle Rockies</v>
      </c>
      <c r="H114" s="141" t="str">
        <f>IF(Master[[#This Row],[Ecoregion Original Value]]="","",Master[[#This Row],[Ecoregion Original Value]])</f>
        <v>17E:Middle Rockies (Omernik)</v>
      </c>
    </row>
    <row r="115" spans="2:8" x14ac:dyDescent="0.25">
      <c r="B115" s="141" t="str">
        <f>Master[[#This Row],[Accession Prefix (NPGS)]]&amp;" "&amp;Master[[#This Row],[Accession Number -Assigned]]&amp;" COLLECTED "&amp;TEXT(Master[[#This Row],[Date Collected or Developed]], "MM/DD/YYYY")</f>
        <v>W6 59701 COLLECTED 08/05/2020</v>
      </c>
      <c r="C115" s="141" t="str">
        <f t="shared" si="3"/>
        <v>ECOREGION</v>
      </c>
      <c r="D115" s="17" t="str">
        <f>IF(Master[[#This Row],[ECOREGION - Lookup picker]]="","",Master[[#This Row],[ECOREGION - Lookup picker]])</f>
        <v>Northwestern Great Plains</v>
      </c>
      <c r="E115" s="109"/>
      <c r="G115" s="76" t="str">
        <f>IF(Master[[#This Row],[ECOREGION - Lookup picker]]="","",Master[[#This Row],[ECOREGION - Lookup picker]])</f>
        <v>Northwestern Great Plains</v>
      </c>
      <c r="H115" s="141" t="str">
        <f>IF(Master[[#This Row],[Ecoregion Original Value]]="","",Master[[#This Row],[Ecoregion Original Value]])</f>
        <v>43E:Northwestern Great Plains (Omernik)</v>
      </c>
    </row>
    <row r="116" spans="2:8" x14ac:dyDescent="0.25">
      <c r="B116" s="141" t="str">
        <f>Master[[#This Row],[Accession Prefix (NPGS)]]&amp;" "&amp;Master[[#This Row],[Accession Number -Assigned]]&amp;" COLLECTED "&amp;TEXT(Master[[#This Row],[Date Collected or Developed]], "MM/DD/YYYY")</f>
        <v>W6 59702 COLLECTED 08/05/2020</v>
      </c>
      <c r="C116" s="141" t="str">
        <f t="shared" si="3"/>
        <v>ECOREGION</v>
      </c>
      <c r="D116" s="17" t="str">
        <f>IF(Master[[#This Row],[ECOREGION - Lookup picker]]="","",Master[[#This Row],[ECOREGION - Lookup picker]])</f>
        <v>Northwestern Great Plains</v>
      </c>
      <c r="E116" s="109"/>
      <c r="G116" s="76" t="str">
        <f>IF(Master[[#This Row],[ECOREGION - Lookup picker]]="","",Master[[#This Row],[ECOREGION - Lookup picker]])</f>
        <v>Northwestern Great Plains</v>
      </c>
      <c r="H116" s="141" t="str">
        <f>IF(Master[[#This Row],[Ecoregion Original Value]]="","",Master[[#This Row],[Ecoregion Original Value]])</f>
        <v>43E:Northwestern Great Plains (Omernik)</v>
      </c>
    </row>
    <row r="117" spans="2:8" x14ac:dyDescent="0.25">
      <c r="B117" s="141" t="str">
        <f>Master[[#This Row],[Accession Prefix (NPGS)]]&amp;" "&amp;Master[[#This Row],[Accession Number -Assigned]]&amp;" COLLECTED "&amp;TEXT(Master[[#This Row],[Date Collected or Developed]], "MM/DD/YYYY")</f>
        <v>W6 59703 COLLECTED 08/06/2020</v>
      </c>
      <c r="C117" s="141" t="str">
        <f t="shared" si="3"/>
        <v>ECOREGION</v>
      </c>
      <c r="D117" s="17" t="str">
        <f>IF(Master[[#This Row],[ECOREGION - Lookup picker]]="","",Master[[#This Row],[ECOREGION - Lookup picker]])</f>
        <v>Northwestern Great Plains</v>
      </c>
      <c r="E117" s="109"/>
      <c r="G117" s="76" t="str">
        <f>IF(Master[[#This Row],[ECOREGION - Lookup picker]]="","",Master[[#This Row],[ECOREGION - Lookup picker]])</f>
        <v>Northwestern Great Plains</v>
      </c>
      <c r="H117" s="141" t="str">
        <f>IF(Master[[#This Row],[Ecoregion Original Value]]="","",Master[[#This Row],[Ecoregion Original Value]])</f>
        <v>43E:Northwestern Great Plains (Omernik)</v>
      </c>
    </row>
    <row r="118" spans="2:8" x14ac:dyDescent="0.25">
      <c r="B118" s="141" t="str">
        <f>Master[[#This Row],[Accession Prefix (NPGS)]]&amp;" "&amp;Master[[#This Row],[Accession Number -Assigned]]&amp;" COLLECTED "&amp;TEXT(Master[[#This Row],[Date Collected or Developed]], "MM/DD/YYYY")</f>
        <v>W6 59704 COLLECTED 08/10/2020</v>
      </c>
      <c r="C118" s="141" t="str">
        <f t="shared" si="3"/>
        <v>ECOREGION</v>
      </c>
      <c r="D118" s="17" t="str">
        <f>IF(Master[[#This Row],[ECOREGION - Lookup picker]]="","",Master[[#This Row],[ECOREGION - Lookup picker]])</f>
        <v>Middle Rockies</v>
      </c>
      <c r="E118" s="109"/>
      <c r="G118" s="76" t="str">
        <f>IF(Master[[#This Row],[ECOREGION - Lookup picker]]="","",Master[[#This Row],[ECOREGION - Lookup picker]])</f>
        <v>Middle Rockies</v>
      </c>
      <c r="H118" s="141" t="str">
        <f>IF(Master[[#This Row],[Ecoregion Original Value]]="","",Master[[#This Row],[Ecoregion Original Value]])</f>
        <v>17E:Middle Rockies (Omernik)</v>
      </c>
    </row>
    <row r="119" spans="2:8" x14ac:dyDescent="0.25">
      <c r="B119" s="141" t="str">
        <f>Master[[#This Row],[Accession Prefix (NPGS)]]&amp;" "&amp;Master[[#This Row],[Accession Number -Assigned]]&amp;" COLLECTED "&amp;TEXT(Master[[#This Row],[Date Collected or Developed]], "MM/DD/YYYY")</f>
        <v>W6 59705 COLLECTED 08/13/2020</v>
      </c>
      <c r="C119" s="141" t="str">
        <f t="shared" si="3"/>
        <v>ECOREGION</v>
      </c>
      <c r="D119" s="17" t="str">
        <f>IF(Master[[#This Row],[ECOREGION - Lookup picker]]="","",Master[[#This Row],[ECOREGION - Lookup picker]])</f>
        <v>Middle Rockies</v>
      </c>
      <c r="E119" s="109"/>
      <c r="G119" s="76" t="str">
        <f>IF(Master[[#This Row],[ECOREGION - Lookup picker]]="","",Master[[#This Row],[ECOREGION - Lookup picker]])</f>
        <v>Middle Rockies</v>
      </c>
      <c r="H119" s="141" t="str">
        <f>IF(Master[[#This Row],[Ecoregion Original Value]]="","",Master[[#This Row],[Ecoregion Original Value]])</f>
        <v>17E:Middle Rockies (Omernik)</v>
      </c>
    </row>
    <row r="120" spans="2:8" x14ac:dyDescent="0.25">
      <c r="B120" s="141" t="str">
        <f>Master[[#This Row],[Accession Prefix (NPGS)]]&amp;" "&amp;Master[[#This Row],[Accession Number -Assigned]]&amp;" COLLECTED "&amp;TEXT(Master[[#This Row],[Date Collected or Developed]], "MM/DD/YYYY")</f>
        <v>W6 59706 COLLECTED 08/17/2020</v>
      </c>
      <c r="C120" s="141" t="str">
        <f t="shared" si="3"/>
        <v>ECOREGION</v>
      </c>
      <c r="D120" s="17" t="str">
        <f>IF(Master[[#This Row],[ECOREGION - Lookup picker]]="","",Master[[#This Row],[ECOREGION - Lookup picker]])</f>
        <v>Middle Rockies</v>
      </c>
      <c r="E120" s="109"/>
      <c r="G120" s="76" t="str">
        <f>IF(Master[[#This Row],[ECOREGION - Lookup picker]]="","",Master[[#This Row],[ECOREGION - Lookup picker]])</f>
        <v>Middle Rockies</v>
      </c>
      <c r="H120" s="141" t="str">
        <f>IF(Master[[#This Row],[Ecoregion Original Value]]="","",Master[[#This Row],[Ecoregion Original Value]])</f>
        <v>17E:Middle Rockies (Omernik)</v>
      </c>
    </row>
    <row r="121" spans="2:8" x14ac:dyDescent="0.25">
      <c r="B121" s="141" t="str">
        <f>Master[[#This Row],[Accession Prefix (NPGS)]]&amp;" "&amp;Master[[#This Row],[Accession Number -Assigned]]&amp;" COLLECTED "&amp;TEXT(Master[[#This Row],[Date Collected or Developed]], "MM/DD/YYYY")</f>
        <v>W6 59707 COLLECTED 08/17/2020</v>
      </c>
      <c r="C121" s="141" t="str">
        <f t="shared" si="3"/>
        <v>ECOREGION</v>
      </c>
      <c r="D121" s="17" t="str">
        <f>IF(Master[[#This Row],[ECOREGION - Lookup picker]]="","",Master[[#This Row],[ECOREGION - Lookup picker]])</f>
        <v>Middle Rockies</v>
      </c>
      <c r="E121" s="109"/>
      <c r="G121" s="76" t="str">
        <f>IF(Master[[#This Row],[ECOREGION - Lookup picker]]="","",Master[[#This Row],[ECOREGION - Lookup picker]])</f>
        <v>Middle Rockies</v>
      </c>
      <c r="H121" s="141" t="str">
        <f>IF(Master[[#This Row],[Ecoregion Original Value]]="","",Master[[#This Row],[Ecoregion Original Value]])</f>
        <v>17E:Middle Rockies (Omernik)</v>
      </c>
    </row>
    <row r="122" spans="2:8" x14ac:dyDescent="0.25">
      <c r="B122" s="141" t="str">
        <f>Master[[#This Row],[Accession Prefix (NPGS)]]&amp;" "&amp;Master[[#This Row],[Accession Number -Assigned]]&amp;" COLLECTED "&amp;TEXT(Master[[#This Row],[Date Collected or Developed]], "MM/DD/YYYY")</f>
        <v>W6 59708 COLLECTED 08/18/2020</v>
      </c>
      <c r="C122" s="141" t="str">
        <f t="shared" si="3"/>
        <v>ECOREGION</v>
      </c>
      <c r="D122" s="17" t="str">
        <f>IF(Master[[#This Row],[ECOREGION - Lookup picker]]="","",Master[[#This Row],[ECOREGION - Lookup picker]])</f>
        <v>Northwestern Great Plains</v>
      </c>
      <c r="E122" s="109"/>
      <c r="G122" s="76" t="str">
        <f>IF(Master[[#This Row],[ECOREGION - Lookup picker]]="","",Master[[#This Row],[ECOREGION - Lookup picker]])</f>
        <v>Northwestern Great Plains</v>
      </c>
      <c r="H122" s="141" t="str">
        <f>IF(Master[[#This Row],[Ecoregion Original Value]]="","",Master[[#This Row],[Ecoregion Original Value]])</f>
        <v>43E:Northwestern Great Plains (Omernik)</v>
      </c>
    </row>
    <row r="123" spans="2:8" x14ac:dyDescent="0.25">
      <c r="B123" s="141" t="str">
        <f>Master[[#This Row],[Accession Prefix (NPGS)]]&amp;" "&amp;Master[[#This Row],[Accession Number -Assigned]]&amp;" COLLECTED "&amp;TEXT(Master[[#This Row],[Date Collected or Developed]], "MM/DD/YYYY")</f>
        <v>W6 59709 COLLECTED 08/19/2020</v>
      </c>
      <c r="C123" s="141" t="str">
        <f t="shared" si="3"/>
        <v>ECOREGION</v>
      </c>
      <c r="D123" s="17" t="str">
        <f>IF(Master[[#This Row],[ECOREGION - Lookup picker]]="","",Master[[#This Row],[ECOREGION - Lookup picker]])</f>
        <v>Middle Rockies</v>
      </c>
      <c r="E123" s="109"/>
      <c r="G123" s="76" t="str">
        <f>IF(Master[[#This Row],[ECOREGION - Lookup picker]]="","",Master[[#This Row],[ECOREGION - Lookup picker]])</f>
        <v>Middle Rockies</v>
      </c>
      <c r="H123" s="141" t="str">
        <f>IF(Master[[#This Row],[Ecoregion Original Value]]="","",Master[[#This Row],[Ecoregion Original Value]])</f>
        <v>17E:Middle Rockies (Omernik)</v>
      </c>
    </row>
    <row r="124" spans="2:8" x14ac:dyDescent="0.25">
      <c r="B124" s="141" t="str">
        <f>Master[[#This Row],[Accession Prefix (NPGS)]]&amp;" "&amp;Master[[#This Row],[Accession Number -Assigned]]&amp;" COLLECTED "&amp;TEXT(Master[[#This Row],[Date Collected or Developed]], "MM/DD/YYYY")</f>
        <v>W6 59710 COLLECTED 08/24/2020</v>
      </c>
      <c r="C124" s="141" t="str">
        <f t="shared" si="3"/>
        <v>ECOREGION</v>
      </c>
      <c r="D124" s="17" t="str">
        <f>IF(Master[[#This Row],[ECOREGION - Lookup picker]]="","",Master[[#This Row],[ECOREGION - Lookup picker]])</f>
        <v>Middle Rockies</v>
      </c>
      <c r="E124" s="109"/>
      <c r="G124" s="76" t="str">
        <f>IF(Master[[#This Row],[ECOREGION - Lookup picker]]="","",Master[[#This Row],[ECOREGION - Lookup picker]])</f>
        <v>Middle Rockies</v>
      </c>
      <c r="H124" s="141" t="str">
        <f>IF(Master[[#This Row],[Ecoregion Original Value]]="","",Master[[#This Row],[Ecoregion Original Value]])</f>
        <v>17E:Middle Rockies (Omernik)</v>
      </c>
    </row>
    <row r="125" spans="2:8" x14ac:dyDescent="0.25">
      <c r="B125" s="141" t="str">
        <f>Master[[#This Row],[Accession Prefix (NPGS)]]&amp;" "&amp;Master[[#This Row],[Accession Number -Assigned]]&amp;" COLLECTED "&amp;TEXT(Master[[#This Row],[Date Collected or Developed]], "MM/DD/YYYY")</f>
        <v>W6 59711 COLLECTED 08/27/2020</v>
      </c>
      <c r="C125" s="141" t="str">
        <f t="shared" si="3"/>
        <v>ECOREGION</v>
      </c>
      <c r="D125" s="17" t="str">
        <f>IF(Master[[#This Row],[ECOREGION - Lookup picker]]="","",Master[[#This Row],[ECOREGION - Lookup picker]])</f>
        <v>Middle Rockies</v>
      </c>
      <c r="E125" s="109"/>
      <c r="G125" s="76" t="str">
        <f>IF(Master[[#This Row],[ECOREGION - Lookup picker]]="","",Master[[#This Row],[ECOREGION - Lookup picker]])</f>
        <v>Middle Rockies</v>
      </c>
      <c r="H125" s="141" t="str">
        <f>IF(Master[[#This Row],[Ecoregion Original Value]]="","",Master[[#This Row],[Ecoregion Original Value]])</f>
        <v>17E:Middle Rockies (Omernik)</v>
      </c>
    </row>
    <row r="126" spans="2:8" x14ac:dyDescent="0.25">
      <c r="B126" s="141" t="str">
        <f>Master[[#This Row],[Accession Prefix (NPGS)]]&amp;" "&amp;Master[[#This Row],[Accession Number -Assigned]]&amp;" COLLECTED "&amp;TEXT(Master[[#This Row],[Date Collected or Developed]], "MM/DD/YYYY")</f>
        <v>W6 59712 COLLECTED 09/01/2020</v>
      </c>
      <c r="C126" s="141" t="str">
        <f t="shared" si="3"/>
        <v>ECOREGION</v>
      </c>
      <c r="D126" s="17" t="str">
        <f>IF(Master[[#This Row],[ECOREGION - Lookup picker]]="","",Master[[#This Row],[ECOREGION - Lookup picker]])</f>
        <v>Middle Rockies</v>
      </c>
      <c r="E126" s="109"/>
      <c r="G126" s="76" t="str">
        <f>IF(Master[[#This Row],[ECOREGION - Lookup picker]]="","",Master[[#This Row],[ECOREGION - Lookup picker]])</f>
        <v>Middle Rockies</v>
      </c>
      <c r="H126" s="141" t="str">
        <f>IF(Master[[#This Row],[Ecoregion Original Value]]="","",Master[[#This Row],[Ecoregion Original Value]])</f>
        <v>17E:Middle Rockies (Omernik)</v>
      </c>
    </row>
    <row r="127" spans="2:8" x14ac:dyDescent="0.25">
      <c r="B127" s="141" t="str">
        <f>Master[[#This Row],[Accession Prefix (NPGS)]]&amp;" "&amp;Master[[#This Row],[Accession Number -Assigned]]&amp;" COLLECTED "&amp;TEXT(Master[[#This Row],[Date Collected or Developed]], "MM/DD/YYYY")</f>
        <v>W6 59713 COLLECTED 08/03/2020</v>
      </c>
      <c r="C127" s="141" t="str">
        <f t="shared" si="3"/>
        <v>ECOREGION</v>
      </c>
      <c r="D127" s="17" t="str">
        <f>IF(Master[[#This Row],[ECOREGION - Lookup picker]]="","",Master[[#This Row],[ECOREGION - Lookup picker]])</f>
        <v>Wyoming Basin</v>
      </c>
      <c r="E127" s="109"/>
      <c r="G127" s="76" t="str">
        <f>IF(Master[[#This Row],[ECOREGION - Lookup picker]]="","",Master[[#This Row],[ECOREGION - Lookup picker]])</f>
        <v>Wyoming Basin</v>
      </c>
      <c r="H127" s="141" t="str">
        <f>IF(Master[[#This Row],[Ecoregion Original Value]]="","",Master[[#This Row],[Ecoregion Original Value]])</f>
        <v>18E:Wyoming Basin (Omernik)</v>
      </c>
    </row>
    <row r="128" spans="2:8" x14ac:dyDescent="0.25">
      <c r="B128" s="141" t="str">
        <f>Master[[#This Row],[Accession Prefix (NPGS)]]&amp;" "&amp;Master[[#This Row],[Accession Number -Assigned]]&amp;" COLLECTED "&amp;TEXT(Master[[#This Row],[Date Collected or Developed]], "MM/DD/YYYY")</f>
        <v>W6 59714 COLLECTED 08/05/2020</v>
      </c>
      <c r="C128" s="141" t="str">
        <f t="shared" si="3"/>
        <v>ECOREGION</v>
      </c>
      <c r="D128" s="17" t="str">
        <f>IF(Master[[#This Row],[ECOREGION - Lookup picker]]="","",Master[[#This Row],[ECOREGION - Lookup picker]])</f>
        <v>Wyoming Basin</v>
      </c>
      <c r="E128" s="109"/>
      <c r="G128" s="76" t="str">
        <f>IF(Master[[#This Row],[ECOREGION - Lookup picker]]="","",Master[[#This Row],[ECOREGION - Lookup picker]])</f>
        <v>Wyoming Basin</v>
      </c>
      <c r="H128" s="141" t="str">
        <f>IF(Master[[#This Row],[Ecoregion Original Value]]="","",Master[[#This Row],[Ecoregion Original Value]])</f>
        <v>18E:Wyoming Basin (Omernik)</v>
      </c>
    </row>
    <row r="129" spans="2:8" x14ac:dyDescent="0.25">
      <c r="B129" s="141" t="str">
        <f>Master[[#This Row],[Accession Prefix (NPGS)]]&amp;" "&amp;Master[[#This Row],[Accession Number -Assigned]]&amp;" COLLECTED "&amp;TEXT(Master[[#This Row],[Date Collected or Developed]], "MM/DD/YYYY")</f>
        <v>W6 59715 COLLECTED 08/12/2020</v>
      </c>
      <c r="C129" s="141" t="str">
        <f t="shared" si="3"/>
        <v>ECOREGION</v>
      </c>
      <c r="D129" s="17" t="str">
        <f>IF(Master[[#This Row],[ECOREGION - Lookup picker]]="","",Master[[#This Row],[ECOREGION - Lookup picker]])</f>
        <v>Wyoming Basin</v>
      </c>
      <c r="E129" s="109"/>
      <c r="G129" s="76" t="str">
        <f>IF(Master[[#This Row],[ECOREGION - Lookup picker]]="","",Master[[#This Row],[ECOREGION - Lookup picker]])</f>
        <v>Wyoming Basin</v>
      </c>
      <c r="H129" s="141" t="str">
        <f>IF(Master[[#This Row],[Ecoregion Original Value]]="","",Master[[#This Row],[Ecoregion Original Value]])</f>
        <v>18E:Wyoming Basin (Omernik)</v>
      </c>
    </row>
    <row r="130" spans="2:8" x14ac:dyDescent="0.25">
      <c r="B130" s="141" t="str">
        <f>Master[[#This Row],[Accession Prefix (NPGS)]]&amp;" "&amp;Master[[#This Row],[Accession Number -Assigned]]&amp;" COLLECTED "&amp;TEXT(Master[[#This Row],[Date Collected or Developed]], "MM/DD/YYYY")</f>
        <v>W6 59716 COLLECTED 08/17/2020</v>
      </c>
      <c r="C130" s="141" t="str">
        <f t="shared" ref="C130:C161" si="4">"ECOREGION"</f>
        <v>ECOREGION</v>
      </c>
      <c r="D130" s="17" t="str">
        <f>IF(Master[[#This Row],[ECOREGION - Lookup picker]]="","",Master[[#This Row],[ECOREGION - Lookup picker]])</f>
        <v>Wyoming Basin</v>
      </c>
      <c r="E130" s="109"/>
      <c r="G130" s="76" t="str">
        <f>IF(Master[[#This Row],[ECOREGION - Lookup picker]]="","",Master[[#This Row],[ECOREGION - Lookup picker]])</f>
        <v>Wyoming Basin</v>
      </c>
      <c r="H130" s="141" t="str">
        <f>IF(Master[[#This Row],[Ecoregion Original Value]]="","",Master[[#This Row],[Ecoregion Original Value]])</f>
        <v>18E:Wyoming Basin (Omernik)</v>
      </c>
    </row>
    <row r="131" spans="2:8" x14ac:dyDescent="0.25">
      <c r="B131" s="141" t="str">
        <f>Master[[#This Row],[Accession Prefix (NPGS)]]&amp;" "&amp;Master[[#This Row],[Accession Number -Assigned]]&amp;" COLLECTED "&amp;TEXT(Master[[#This Row],[Date Collected or Developed]], "MM/DD/YYYY")</f>
        <v>W6 59717 COLLECTED 08/19/2020</v>
      </c>
      <c r="C131" s="141" t="str">
        <f t="shared" si="4"/>
        <v>ECOREGION</v>
      </c>
      <c r="D131" s="17" t="str">
        <f>IF(Master[[#This Row],[ECOREGION - Lookup picker]]="","",Master[[#This Row],[ECOREGION - Lookup picker]])</f>
        <v>Wyoming Basin</v>
      </c>
      <c r="E131" s="109"/>
      <c r="G131" s="76" t="str">
        <f>IF(Master[[#This Row],[ECOREGION - Lookup picker]]="","",Master[[#This Row],[ECOREGION - Lookup picker]])</f>
        <v>Wyoming Basin</v>
      </c>
      <c r="H131" s="141" t="str">
        <f>IF(Master[[#This Row],[Ecoregion Original Value]]="","",Master[[#This Row],[Ecoregion Original Value]])</f>
        <v>18E:Wyoming Basin (Omernik)</v>
      </c>
    </row>
    <row r="132" spans="2:8" x14ac:dyDescent="0.25">
      <c r="B132" s="141" t="str">
        <f>Master[[#This Row],[Accession Prefix (NPGS)]]&amp;" "&amp;Master[[#This Row],[Accession Number -Assigned]]&amp;" COLLECTED "&amp;TEXT(Master[[#This Row],[Date Collected or Developed]], "MM/DD/YYYY")</f>
        <v>W6 59718 COLLECTED 08/19/2020</v>
      </c>
      <c r="C132" s="141" t="str">
        <f t="shared" si="4"/>
        <v>ECOREGION</v>
      </c>
      <c r="D132" s="17" t="str">
        <f>IF(Master[[#This Row],[ECOREGION - Lookup picker]]="","",Master[[#This Row],[ECOREGION - Lookup picker]])</f>
        <v>Wyoming Basin</v>
      </c>
      <c r="E132" s="109"/>
      <c r="G132" s="76" t="str">
        <f>IF(Master[[#This Row],[ECOREGION - Lookup picker]]="","",Master[[#This Row],[ECOREGION - Lookup picker]])</f>
        <v>Wyoming Basin</v>
      </c>
      <c r="H132" s="141" t="str">
        <f>IF(Master[[#This Row],[Ecoregion Original Value]]="","",Master[[#This Row],[Ecoregion Original Value]])</f>
        <v>18E:Wyoming Basin (Omernik)</v>
      </c>
    </row>
    <row r="133" spans="2:8" x14ac:dyDescent="0.25">
      <c r="B133" s="141" t="str">
        <f>Master[[#This Row],[Accession Prefix (NPGS)]]&amp;" "&amp;Master[[#This Row],[Accession Number -Assigned]]&amp;" COLLECTED "&amp;TEXT(Master[[#This Row],[Date Collected or Developed]], "MM/DD/YYYY")</f>
        <v>W6 59719 COLLECTED 08/26/2020</v>
      </c>
      <c r="C133" s="141" t="str">
        <f t="shared" si="4"/>
        <v>ECOREGION</v>
      </c>
      <c r="D133" s="17" t="str">
        <f>IF(Master[[#This Row],[ECOREGION - Lookup picker]]="","",Master[[#This Row],[ECOREGION - Lookup picker]])</f>
        <v>Wyoming Basin</v>
      </c>
      <c r="E133" s="109"/>
      <c r="G133" s="76" t="str">
        <f>IF(Master[[#This Row],[ECOREGION - Lookup picker]]="","",Master[[#This Row],[ECOREGION - Lookup picker]])</f>
        <v>Wyoming Basin</v>
      </c>
      <c r="H133" s="141" t="str">
        <f>IF(Master[[#This Row],[Ecoregion Original Value]]="","",Master[[#This Row],[Ecoregion Original Value]])</f>
        <v>18E:Wyoming Basin (Omernik)</v>
      </c>
    </row>
    <row r="134" spans="2:8" x14ac:dyDescent="0.25">
      <c r="B134" s="141" t="str">
        <f>Master[[#This Row],[Accession Prefix (NPGS)]]&amp;" "&amp;Master[[#This Row],[Accession Number -Assigned]]&amp;" COLLECTED "&amp;TEXT(Master[[#This Row],[Date Collected or Developed]], "MM/DD/YYYY")</f>
        <v>W6 59720 COLLECTED 08/26/2020</v>
      </c>
      <c r="C134" s="141" t="str">
        <f t="shared" si="4"/>
        <v>ECOREGION</v>
      </c>
      <c r="D134" s="17" t="str">
        <f>IF(Master[[#This Row],[ECOREGION - Lookup picker]]="","",Master[[#This Row],[ECOREGION - Lookup picker]])</f>
        <v>Wyoming Basin</v>
      </c>
      <c r="E134" s="109"/>
      <c r="G134" s="76" t="str">
        <f>IF(Master[[#This Row],[ECOREGION - Lookup picker]]="","",Master[[#This Row],[ECOREGION - Lookup picker]])</f>
        <v>Wyoming Basin</v>
      </c>
      <c r="H134" s="141" t="str">
        <f>IF(Master[[#This Row],[Ecoregion Original Value]]="","",Master[[#This Row],[Ecoregion Original Value]])</f>
        <v>18E:Wyoming Basin (Omernik)</v>
      </c>
    </row>
    <row r="135" spans="2:8" x14ac:dyDescent="0.25">
      <c r="B135" s="141" t="str">
        <f>Master[[#This Row],[Accession Prefix (NPGS)]]&amp;" "&amp;Master[[#This Row],[Accession Number -Assigned]]&amp;" COLLECTED "&amp;TEXT(Master[[#This Row],[Date Collected or Developed]], "MM/DD/YYYY")</f>
        <v>W6 59721 COLLECTED 08/27/2020</v>
      </c>
      <c r="C135" s="141" t="str">
        <f t="shared" si="4"/>
        <v>ECOREGION</v>
      </c>
      <c r="D135" s="17" t="str">
        <f>IF(Master[[#This Row],[ECOREGION - Lookup picker]]="","",Master[[#This Row],[ECOREGION - Lookup picker]])</f>
        <v>Wyoming Basin</v>
      </c>
      <c r="E135" s="109"/>
      <c r="G135" s="76" t="str">
        <f>IF(Master[[#This Row],[ECOREGION - Lookup picker]]="","",Master[[#This Row],[ECOREGION - Lookup picker]])</f>
        <v>Wyoming Basin</v>
      </c>
      <c r="H135" s="141" t="str">
        <f>IF(Master[[#This Row],[Ecoregion Original Value]]="","",Master[[#This Row],[Ecoregion Original Value]])</f>
        <v>18E:Wyoming Basin (Omernik)</v>
      </c>
    </row>
    <row r="136" spans="2:8" x14ac:dyDescent="0.25">
      <c r="B136" s="141" t="str">
        <f>Master[[#This Row],[Accession Prefix (NPGS)]]&amp;" "&amp;Master[[#This Row],[Accession Number -Assigned]]&amp;" COLLECTED "&amp;TEXT(Master[[#This Row],[Date Collected or Developed]], "MM/DD/YYYY")</f>
        <v>W6 59722 COLLECTED 09/09/2020</v>
      </c>
      <c r="C136" s="141" t="str">
        <f t="shared" si="4"/>
        <v>ECOREGION</v>
      </c>
      <c r="D136" s="17" t="str">
        <f>IF(Master[[#This Row],[ECOREGION - Lookup picker]]="","",Master[[#This Row],[ECOREGION - Lookup picker]])</f>
        <v>Wyoming Basin</v>
      </c>
      <c r="E136" s="109"/>
      <c r="G136" s="76" t="str">
        <f>IF(Master[[#This Row],[ECOREGION - Lookup picker]]="","",Master[[#This Row],[ECOREGION - Lookup picker]])</f>
        <v>Wyoming Basin</v>
      </c>
      <c r="H136" s="141" t="str">
        <f>IF(Master[[#This Row],[Ecoregion Original Value]]="","",Master[[#This Row],[Ecoregion Original Value]])</f>
        <v>18E:Wyoming Basin (Omernik)</v>
      </c>
    </row>
    <row r="137" spans="2:8" x14ac:dyDescent="0.25">
      <c r="B137" s="141" t="str">
        <f>Master[[#This Row],[Accession Prefix (NPGS)]]&amp;" "&amp;Master[[#This Row],[Accession Number -Assigned]]&amp;" COLLECTED "&amp;TEXT(Master[[#This Row],[Date Collected or Developed]], "MM/DD/YYYY")</f>
        <v>W6 59723 COLLECTED 09/10/2020</v>
      </c>
      <c r="C137" s="141" t="str">
        <f t="shared" si="4"/>
        <v>ECOREGION</v>
      </c>
      <c r="D137" s="17" t="str">
        <f>IF(Master[[#This Row],[ECOREGION - Lookup picker]]="","",Master[[#This Row],[ECOREGION - Lookup picker]])</f>
        <v>Wyoming Basin</v>
      </c>
      <c r="E137" s="109"/>
      <c r="G137" s="76" t="str">
        <f>IF(Master[[#This Row],[ECOREGION - Lookup picker]]="","",Master[[#This Row],[ECOREGION - Lookup picker]])</f>
        <v>Wyoming Basin</v>
      </c>
      <c r="H137" s="141" t="str">
        <f>IF(Master[[#This Row],[Ecoregion Original Value]]="","",Master[[#This Row],[Ecoregion Original Value]])</f>
        <v>18E:Wyoming Basin (Omernik)</v>
      </c>
    </row>
    <row r="138" spans="2:8" x14ac:dyDescent="0.25">
      <c r="B138" s="141" t="str">
        <f>Master[[#This Row],[Accession Prefix (NPGS)]]&amp;" "&amp;Master[[#This Row],[Accession Number -Assigned]]&amp;" COLLECTED "&amp;TEXT(Master[[#This Row],[Date Collected or Developed]], "MM/DD/YYYY")</f>
        <v>W6 59724 COLLECTED 09/10/2020</v>
      </c>
      <c r="C138" s="141" t="str">
        <f t="shared" si="4"/>
        <v>ECOREGION</v>
      </c>
      <c r="D138" s="17" t="str">
        <f>IF(Master[[#This Row],[ECOREGION - Lookup picker]]="","",Master[[#This Row],[ECOREGION - Lookup picker]])</f>
        <v>Wyoming Basin</v>
      </c>
      <c r="E138" s="109"/>
      <c r="G138" s="76" t="str">
        <f>IF(Master[[#This Row],[ECOREGION - Lookup picker]]="","",Master[[#This Row],[ECOREGION - Lookup picker]])</f>
        <v>Wyoming Basin</v>
      </c>
      <c r="H138" s="141" t="str">
        <f>IF(Master[[#This Row],[Ecoregion Original Value]]="","",Master[[#This Row],[Ecoregion Original Value]])</f>
        <v>18E:Wyoming Basin (Omernik)</v>
      </c>
    </row>
    <row r="139" spans="2:8" x14ac:dyDescent="0.25">
      <c r="B139" s="141" t="str">
        <f>Master[[#This Row],[Accession Prefix (NPGS)]]&amp;" "&amp;Master[[#This Row],[Accession Number -Assigned]]&amp;" COLLECTED "&amp;TEXT(Master[[#This Row],[Date Collected or Developed]], "MM/DD/YYYY")</f>
        <v>W6 59725 COLLECTED 09/15/2020</v>
      </c>
      <c r="C139" s="141" t="str">
        <f t="shared" si="4"/>
        <v>ECOREGION</v>
      </c>
      <c r="D139" s="17" t="str">
        <f>IF(Master[[#This Row],[ECOREGION - Lookup picker]]="","",Master[[#This Row],[ECOREGION - Lookup picker]])</f>
        <v>Wyoming Basin</v>
      </c>
      <c r="E139" s="109"/>
      <c r="G139" s="76" t="str">
        <f>IF(Master[[#This Row],[ECOREGION - Lookup picker]]="","",Master[[#This Row],[ECOREGION - Lookup picker]])</f>
        <v>Wyoming Basin</v>
      </c>
      <c r="H139" s="141" t="str">
        <f>IF(Master[[#This Row],[Ecoregion Original Value]]="","",Master[[#This Row],[Ecoregion Original Value]])</f>
        <v>18E:Wyoming Basin (Omernik)</v>
      </c>
    </row>
    <row r="140" spans="2:8" x14ac:dyDescent="0.25">
      <c r="B140" s="141" t="str">
        <f>Master[[#This Row],[Accession Prefix (NPGS)]]&amp;" "&amp;Master[[#This Row],[Accession Number -Assigned]]&amp;" COLLECTED "&amp;TEXT(Master[[#This Row],[Date Collected or Developed]], "MM/DD/YYYY")</f>
        <v>W6 59726 COLLECTED 09/17/2020</v>
      </c>
      <c r="C140" s="141" t="str">
        <f t="shared" si="4"/>
        <v>ECOREGION</v>
      </c>
      <c r="D140" s="17" t="str">
        <f>IF(Master[[#This Row],[ECOREGION - Lookup picker]]="","",Master[[#This Row],[ECOREGION - Lookup picker]])</f>
        <v>Wyoming Basin</v>
      </c>
      <c r="E140" s="109"/>
      <c r="G140" s="76" t="str">
        <f>IF(Master[[#This Row],[ECOREGION - Lookup picker]]="","",Master[[#This Row],[ECOREGION - Lookup picker]])</f>
        <v>Wyoming Basin</v>
      </c>
      <c r="H140" s="141" t="str">
        <f>IF(Master[[#This Row],[Ecoregion Original Value]]="","",Master[[#This Row],[Ecoregion Original Value]])</f>
        <v>18E:Wyoming Basin (Omernik)</v>
      </c>
    </row>
    <row r="141" spans="2:8" x14ac:dyDescent="0.25">
      <c r="B141" s="141" t="str">
        <f>Master[[#This Row],[Accession Prefix (NPGS)]]&amp;" "&amp;Master[[#This Row],[Accession Number -Assigned]]&amp;" COLLECTED "&amp;TEXT(Master[[#This Row],[Date Collected or Developed]], "MM/DD/YYYY")</f>
        <v>W6 59727 COLLECTED 09/17/2020</v>
      </c>
      <c r="C141" s="141" t="str">
        <f t="shared" si="4"/>
        <v>ECOREGION</v>
      </c>
      <c r="D141" s="17" t="str">
        <f>IF(Master[[#This Row],[ECOREGION - Lookup picker]]="","",Master[[#This Row],[ECOREGION - Lookup picker]])</f>
        <v>Wyoming Basin</v>
      </c>
      <c r="E141" s="109"/>
      <c r="G141" s="76" t="str">
        <f>IF(Master[[#This Row],[ECOREGION - Lookup picker]]="","",Master[[#This Row],[ECOREGION - Lookup picker]])</f>
        <v>Wyoming Basin</v>
      </c>
      <c r="H141" s="141" t="str">
        <f>IF(Master[[#This Row],[Ecoregion Original Value]]="","",Master[[#This Row],[Ecoregion Original Value]])</f>
        <v>18E:Wyoming Basin (Omernik)</v>
      </c>
    </row>
    <row r="142" spans="2:8" x14ac:dyDescent="0.25">
      <c r="B142" s="141" t="str">
        <f>Master[[#This Row],[Accession Prefix (NPGS)]]&amp;" "&amp;Master[[#This Row],[Accession Number -Assigned]]&amp;" COLLECTED "&amp;TEXT(Master[[#This Row],[Date Collected or Developed]], "MM/DD/YYYY")</f>
        <v>W6 59728 COLLECTED 09/21/2020</v>
      </c>
      <c r="C142" s="141" t="str">
        <f t="shared" si="4"/>
        <v>ECOREGION</v>
      </c>
      <c r="D142" s="17" t="str">
        <f>IF(Master[[#This Row],[ECOREGION - Lookup picker]]="","",Master[[#This Row],[ECOREGION - Lookup picker]])</f>
        <v>Wyoming Basin</v>
      </c>
      <c r="E142" s="109"/>
      <c r="G142" s="76" t="str">
        <f>IF(Master[[#This Row],[ECOREGION - Lookup picker]]="","",Master[[#This Row],[ECOREGION - Lookup picker]])</f>
        <v>Wyoming Basin</v>
      </c>
      <c r="H142" s="141" t="str">
        <f>IF(Master[[#This Row],[Ecoregion Original Value]]="","",Master[[#This Row],[Ecoregion Original Value]])</f>
        <v>18E:Wyoming Basin (Omernik)</v>
      </c>
    </row>
    <row r="143" spans="2:8" x14ac:dyDescent="0.25">
      <c r="B143" s="141" t="str">
        <f>Master[[#This Row],[Accession Prefix (NPGS)]]&amp;" "&amp;Master[[#This Row],[Accession Number -Assigned]]&amp;" COLLECTED "&amp;TEXT(Master[[#This Row],[Date Collected or Developed]], "MM/DD/YYYY")</f>
        <v>W6 59729 COLLECTED 09/23/2020</v>
      </c>
      <c r="C143" s="141" t="str">
        <f t="shared" si="4"/>
        <v>ECOREGION</v>
      </c>
      <c r="D143" s="17" t="str">
        <f>IF(Master[[#This Row],[ECOREGION - Lookup picker]]="","",Master[[#This Row],[ECOREGION - Lookup picker]])</f>
        <v>Wyoming Basin</v>
      </c>
      <c r="E143" s="109"/>
      <c r="G143" s="76" t="str">
        <f>IF(Master[[#This Row],[ECOREGION - Lookup picker]]="","",Master[[#This Row],[ECOREGION - Lookup picker]])</f>
        <v>Wyoming Basin</v>
      </c>
      <c r="H143" s="141" t="str">
        <f>IF(Master[[#This Row],[Ecoregion Original Value]]="","",Master[[#This Row],[Ecoregion Original Value]])</f>
        <v>18E:Wyoming Basin (Omernik)</v>
      </c>
    </row>
    <row r="144" spans="2:8" x14ac:dyDescent="0.25">
      <c r="B144" s="141" t="str">
        <f>Master[[#This Row],[Accession Prefix (NPGS)]]&amp;" "&amp;Master[[#This Row],[Accession Number -Assigned]]&amp;" COLLECTED "&amp;TEXT(Master[[#This Row],[Date Collected or Developed]], "MM/DD/YYYY")</f>
        <v>W6 59730 COLLECTED 09/24/2020</v>
      </c>
      <c r="C144" s="141" t="str">
        <f t="shared" si="4"/>
        <v>ECOREGION</v>
      </c>
      <c r="D144" s="17" t="str">
        <f>IF(Master[[#This Row],[ECOREGION - Lookup picker]]="","",Master[[#This Row],[ECOREGION - Lookup picker]])</f>
        <v>Wyoming Basin</v>
      </c>
      <c r="E144" s="109"/>
      <c r="G144" s="76" t="str">
        <f>IF(Master[[#This Row],[ECOREGION - Lookup picker]]="","",Master[[#This Row],[ECOREGION - Lookup picker]])</f>
        <v>Wyoming Basin</v>
      </c>
      <c r="H144" s="141" t="str">
        <f>IF(Master[[#This Row],[Ecoregion Original Value]]="","",Master[[#This Row],[Ecoregion Original Value]])</f>
        <v>18E:Wyoming Basin (Omernik)</v>
      </c>
    </row>
    <row r="145" spans="2:8" x14ac:dyDescent="0.25">
      <c r="B145" s="141" t="str">
        <f>Master[[#This Row],[Accession Prefix (NPGS)]]&amp;" "&amp;Master[[#This Row],[Accession Number -Assigned]]&amp;" COLLECTED "&amp;TEXT(Master[[#This Row],[Date Collected or Developed]], "MM/DD/YYYY")</f>
        <v>W6 59731 COLLECTED 10/01/2020</v>
      </c>
      <c r="C145" s="141" t="str">
        <f t="shared" si="4"/>
        <v>ECOREGION</v>
      </c>
      <c r="D145" s="17" t="str">
        <f>IF(Master[[#This Row],[ECOREGION - Lookup picker]]="","",Master[[#This Row],[ECOREGION - Lookup picker]])</f>
        <v>Wyoming Basin</v>
      </c>
      <c r="E145" s="109"/>
      <c r="G145" s="76" t="str">
        <f>IF(Master[[#This Row],[ECOREGION - Lookup picker]]="","",Master[[#This Row],[ECOREGION - Lookup picker]])</f>
        <v>Wyoming Basin</v>
      </c>
      <c r="H145" s="141" t="str">
        <f>IF(Master[[#This Row],[Ecoregion Original Value]]="","",Master[[#This Row],[Ecoregion Original Value]])</f>
        <v>18E:Wyoming Basin (Omernik)</v>
      </c>
    </row>
    <row r="146" spans="2:8" x14ac:dyDescent="0.25">
      <c r="B146" s="141" t="str">
        <f>Master[[#This Row],[Accession Prefix (NPGS)]]&amp;" "&amp;Master[[#This Row],[Accession Number -Assigned]]&amp;" COLLECTED "&amp;TEXT(Master[[#This Row],[Date Collected or Developed]], "MM/DD/YYYY")</f>
        <v>W6 59732 COLLECTED 10/02/2020</v>
      </c>
      <c r="C146" s="141" t="str">
        <f t="shared" si="4"/>
        <v>ECOREGION</v>
      </c>
      <c r="D146" s="17" t="str">
        <f>IF(Master[[#This Row],[ECOREGION - Lookup picker]]="","",Master[[#This Row],[ECOREGION - Lookup picker]])</f>
        <v>Wyoming Basin</v>
      </c>
      <c r="E146" s="109"/>
      <c r="G146" s="76" t="str">
        <f>IF(Master[[#This Row],[ECOREGION - Lookup picker]]="","",Master[[#This Row],[ECOREGION - Lookup picker]])</f>
        <v>Wyoming Basin</v>
      </c>
      <c r="H146" s="141" t="str">
        <f>IF(Master[[#This Row],[Ecoregion Original Value]]="","",Master[[#This Row],[Ecoregion Original Value]])</f>
        <v>18E:Wyoming Basin (Omernik)</v>
      </c>
    </row>
    <row r="147" spans="2:8" x14ac:dyDescent="0.25">
      <c r="B147" s="141" t="str">
        <f>Master[[#This Row],[Accession Prefix (NPGS)]]&amp;" "&amp;Master[[#This Row],[Accession Number -Assigned]]&amp;" COLLECTED "&amp;TEXT(Master[[#This Row],[Date Collected or Developed]], "MM/DD/YYYY")</f>
        <v>W6 59733 COLLECTED 10/05/2020</v>
      </c>
      <c r="C147" s="141" t="str">
        <f t="shared" si="4"/>
        <v>ECOREGION</v>
      </c>
      <c r="D147" s="17" t="str">
        <f>IF(Master[[#This Row],[ECOREGION - Lookup picker]]="","",Master[[#This Row],[ECOREGION - Lookup picker]])</f>
        <v>Wyoming Basin</v>
      </c>
      <c r="E147" s="109"/>
      <c r="G147" s="76" t="str">
        <f>IF(Master[[#This Row],[ECOREGION - Lookup picker]]="","",Master[[#This Row],[ECOREGION - Lookup picker]])</f>
        <v>Wyoming Basin</v>
      </c>
      <c r="H147" s="141" t="str">
        <f>IF(Master[[#This Row],[Ecoregion Original Value]]="","",Master[[#This Row],[Ecoregion Original Value]])</f>
        <v>18E:Wyoming Basin (Omernik)</v>
      </c>
    </row>
    <row r="148" spans="2:8" x14ac:dyDescent="0.25">
      <c r="B148" s="141" t="str">
        <f>Master[[#This Row],[Accession Prefix (NPGS)]]&amp;" "&amp;Master[[#This Row],[Accession Number -Assigned]]&amp;" COLLECTED "&amp;TEXT(Master[[#This Row],[Date Collected or Developed]], "MM/DD/YYYY")</f>
        <v>W6 59734 COLLECTED 10/05/2020</v>
      </c>
      <c r="C148" s="141" t="str">
        <f t="shared" si="4"/>
        <v>ECOREGION</v>
      </c>
      <c r="D148" s="17" t="str">
        <f>IF(Master[[#This Row],[ECOREGION - Lookup picker]]="","",Master[[#This Row],[ECOREGION - Lookup picker]])</f>
        <v>Wyoming Basin</v>
      </c>
      <c r="E148" s="109"/>
      <c r="G148" s="76" t="str">
        <f>IF(Master[[#This Row],[ECOREGION - Lookup picker]]="","",Master[[#This Row],[ECOREGION - Lookup picker]])</f>
        <v>Wyoming Basin</v>
      </c>
      <c r="H148" s="141" t="str">
        <f>IF(Master[[#This Row],[Ecoregion Original Value]]="","",Master[[#This Row],[Ecoregion Original Value]])</f>
        <v>18E:Wyoming Basin (Omernik)</v>
      </c>
    </row>
    <row r="149" spans="2:8" x14ac:dyDescent="0.25">
      <c r="B149" s="141" t="str">
        <f>Master[[#This Row],[Accession Prefix (NPGS)]]&amp;" "&amp;Master[[#This Row],[Accession Number -Assigned]]&amp;" COLLECTED "&amp;TEXT(Master[[#This Row],[Date Collected or Developed]], "MM/DD/YYYY")</f>
        <v>W6 59735 COLLECTED 07/29/2020</v>
      </c>
      <c r="C149" s="141" t="str">
        <f t="shared" si="4"/>
        <v>ECOREGION</v>
      </c>
      <c r="D149" s="17" t="str">
        <f>IF(Master[[#This Row],[ECOREGION - Lookup picker]]="","",Master[[#This Row],[ECOREGION - Lookup picker]])</f>
        <v>Wyoming Basin</v>
      </c>
      <c r="E149" s="109"/>
      <c r="G149" s="76" t="str">
        <f>IF(Master[[#This Row],[ECOREGION - Lookup picker]]="","",Master[[#This Row],[ECOREGION - Lookup picker]])</f>
        <v>Wyoming Basin</v>
      </c>
      <c r="H149" s="141" t="str">
        <f>IF(Master[[#This Row],[Ecoregion Original Value]]="","",Master[[#This Row],[Ecoregion Original Value]])</f>
        <v>18E:Wyoming Basin (Omernik)</v>
      </c>
    </row>
    <row r="150" spans="2:8" x14ac:dyDescent="0.25">
      <c r="B150" s="141" t="str">
        <f>Master[[#This Row],[Accession Prefix (NPGS)]]&amp;" "&amp;Master[[#This Row],[Accession Number -Assigned]]&amp;" COLLECTED "&amp;TEXT(Master[[#This Row],[Date Collected or Developed]], "MM/DD/YYYY")</f>
        <v>W6 59736 COLLECTED 10/07/2020</v>
      </c>
      <c r="C150" s="141" t="str">
        <f t="shared" si="4"/>
        <v>ECOREGION</v>
      </c>
      <c r="D150" s="17" t="str">
        <f>IF(Master[[#This Row],[ECOREGION - Lookup picker]]="","",Master[[#This Row],[ECOREGION - Lookup picker]])</f>
        <v>Wyoming Basin</v>
      </c>
      <c r="E150" s="109"/>
      <c r="G150" s="76" t="str">
        <f>IF(Master[[#This Row],[ECOREGION - Lookup picker]]="","",Master[[#This Row],[ECOREGION - Lookup picker]])</f>
        <v>Wyoming Basin</v>
      </c>
      <c r="H150" s="141" t="str">
        <f>IF(Master[[#This Row],[Ecoregion Original Value]]="","",Master[[#This Row],[Ecoregion Original Value]])</f>
        <v>18E:Wyoming Basin (Omernik)</v>
      </c>
    </row>
    <row r="151" spans="2:8" x14ac:dyDescent="0.25">
      <c r="B151" s="141" t="str">
        <f>Master[[#This Row],[Accession Prefix (NPGS)]]&amp;" "&amp;Master[[#This Row],[Accession Number -Assigned]]&amp;" COLLECTED "&amp;TEXT(Master[[#This Row],[Date Collected or Developed]], "MM/DD/YYYY")</f>
        <v>W6 59737 COLLECTED 08/18/2020</v>
      </c>
      <c r="C151" s="141" t="str">
        <f t="shared" si="4"/>
        <v>ECOREGION</v>
      </c>
      <c r="D151" s="17" t="str">
        <f>IF(Master[[#This Row],[ECOREGION - Lookup picker]]="","",Master[[#This Row],[ECOREGION - Lookup picker]])</f>
        <v>Wyoming Basin</v>
      </c>
      <c r="E151" s="109"/>
      <c r="G151" s="76" t="str">
        <f>IF(Master[[#This Row],[ECOREGION - Lookup picker]]="","",Master[[#This Row],[ECOREGION - Lookup picker]])</f>
        <v>Wyoming Basin</v>
      </c>
      <c r="H151" s="141" t="str">
        <f>IF(Master[[#This Row],[Ecoregion Original Value]]="","",Master[[#This Row],[Ecoregion Original Value]])</f>
        <v>18E:Wyoming Basin (Omernik)</v>
      </c>
    </row>
    <row r="152" spans="2:8" x14ac:dyDescent="0.25">
      <c r="B152" s="141" t="str">
        <f>Master[[#This Row],[Accession Prefix (NPGS)]]&amp;" "&amp;Master[[#This Row],[Accession Number -Assigned]]&amp;" COLLECTED "&amp;TEXT(Master[[#This Row],[Date Collected or Developed]], "MM/DD/YYYY")</f>
        <v xml:space="preserve">  COLLECTED 01/00/1900</v>
      </c>
      <c r="C152" s="141" t="str">
        <f t="shared" si="4"/>
        <v>ECOREGION</v>
      </c>
      <c r="D152" s="17" t="str">
        <f>IF(Master[[#This Row],[ECOREGION - Lookup picker]]="","",Master[[#This Row],[ECOREGION - Lookup picker]])</f>
        <v/>
      </c>
      <c r="E152" s="109"/>
      <c r="G152" s="76" t="str">
        <f>IF(Master[[#This Row],[ECOREGION - Lookup picker]]="","",Master[[#This Row],[ECOREGION - Lookup picker]])</f>
        <v/>
      </c>
      <c r="H152" s="141" t="str">
        <f>IF(Master[[#This Row],[Ecoregion Original Value]]="","",Master[[#This Row],[Ecoregion Original Value]])</f>
        <v/>
      </c>
    </row>
    <row r="153" spans="2:8" x14ac:dyDescent="0.25">
      <c r="B153" s="141" t="str">
        <f>Master[[#This Row],[Accession Prefix (NPGS)]]&amp;" "&amp;Master[[#This Row],[Accession Number -Assigned]]&amp;" COLLECTED "&amp;TEXT(Master[[#This Row],[Date Collected or Developed]], "MM/DD/YYYY")</f>
        <v xml:space="preserve">  COLLECTED 01/00/1900</v>
      </c>
      <c r="C153" s="141" t="str">
        <f t="shared" si="4"/>
        <v>ECOREGION</v>
      </c>
      <c r="D153" s="17" t="str">
        <f>IF(Master[[#This Row],[ECOREGION - Lookup picker]]="","",Master[[#This Row],[ECOREGION - Lookup picker]])</f>
        <v/>
      </c>
      <c r="E153" s="109"/>
      <c r="G153" s="76" t="str">
        <f>IF(Master[[#This Row],[ECOREGION - Lookup picker]]="","",Master[[#This Row],[ECOREGION - Lookup picker]])</f>
        <v/>
      </c>
      <c r="H153" s="141" t="str">
        <f>IF(Master[[#This Row],[Ecoregion Original Value]]="","",Master[[#This Row],[Ecoregion Original Value]])</f>
        <v/>
      </c>
    </row>
    <row r="154" spans="2:8" x14ac:dyDescent="0.25">
      <c r="B154" s="141" t="str">
        <f>Master[[#This Row],[Accession Prefix (NPGS)]]&amp;" "&amp;Master[[#This Row],[Accession Number -Assigned]]&amp;" COLLECTED "&amp;TEXT(Master[[#This Row],[Date Collected or Developed]], "MM/DD/YYYY")</f>
        <v xml:space="preserve">  COLLECTED 01/00/1900</v>
      </c>
      <c r="C154" s="141" t="str">
        <f t="shared" si="4"/>
        <v>ECOREGION</v>
      </c>
      <c r="D154" s="17" t="str">
        <f>IF(Master[[#This Row],[ECOREGION - Lookup picker]]="","",Master[[#This Row],[ECOREGION - Lookup picker]])</f>
        <v/>
      </c>
      <c r="E154" s="109"/>
      <c r="G154" s="76" t="str">
        <f>IF(Master[[#This Row],[ECOREGION - Lookup picker]]="","",Master[[#This Row],[ECOREGION - Lookup picker]])</f>
        <v/>
      </c>
      <c r="H154" s="141" t="str">
        <f>IF(Master[[#This Row],[Ecoregion Original Value]]="","",Master[[#This Row],[Ecoregion Original Value]])</f>
        <v/>
      </c>
    </row>
    <row r="155" spans="2:8" x14ac:dyDescent="0.25">
      <c r="B155" s="141" t="str">
        <f>Master[[#This Row],[Accession Prefix (NPGS)]]&amp;" "&amp;Master[[#This Row],[Accession Number -Assigned]]&amp;" COLLECTED "&amp;TEXT(Master[[#This Row],[Date Collected or Developed]], "MM/DD/YYYY")</f>
        <v xml:space="preserve">  COLLECTED 01/00/1900</v>
      </c>
      <c r="C155" s="141" t="str">
        <f t="shared" si="4"/>
        <v>ECOREGION</v>
      </c>
      <c r="D155" s="17" t="str">
        <f>IF(Master[[#This Row],[ECOREGION - Lookup picker]]="","",Master[[#This Row],[ECOREGION - Lookup picker]])</f>
        <v/>
      </c>
      <c r="E155" s="109"/>
      <c r="G155" s="76" t="str">
        <f>IF(Master[[#This Row],[ECOREGION - Lookup picker]]="","",Master[[#This Row],[ECOREGION - Lookup picker]])</f>
        <v/>
      </c>
      <c r="H155" s="141" t="str">
        <f>IF(Master[[#This Row],[Ecoregion Original Value]]="","",Master[[#This Row],[Ecoregion Original Value]])</f>
        <v/>
      </c>
    </row>
    <row r="156" spans="2:8" x14ac:dyDescent="0.25">
      <c r="B156" s="141" t="str">
        <f>Master[[#This Row],[Accession Prefix (NPGS)]]&amp;" "&amp;Master[[#This Row],[Accession Number -Assigned]]&amp;" COLLECTED "&amp;TEXT(Master[[#This Row],[Date Collected or Developed]], "MM/DD/YYYY")</f>
        <v xml:space="preserve">  COLLECTED 01/00/1900</v>
      </c>
      <c r="C156" s="141" t="str">
        <f t="shared" si="4"/>
        <v>ECOREGION</v>
      </c>
      <c r="D156" s="17" t="str">
        <f>IF(Master[[#This Row],[ECOREGION - Lookup picker]]="","",Master[[#This Row],[ECOREGION - Lookup picker]])</f>
        <v/>
      </c>
      <c r="E156" s="109"/>
      <c r="G156" s="76" t="str">
        <f>IF(Master[[#This Row],[ECOREGION - Lookup picker]]="","",Master[[#This Row],[ECOREGION - Lookup picker]])</f>
        <v/>
      </c>
      <c r="H156" s="141" t="str">
        <f>IF(Master[[#This Row],[Ecoregion Original Value]]="","",Master[[#This Row],[Ecoregion Original Value]])</f>
        <v/>
      </c>
    </row>
    <row r="157" spans="2:8" x14ac:dyDescent="0.25">
      <c r="B157" s="141" t="str">
        <f>Master[[#This Row],[Accession Prefix (NPGS)]]&amp;" "&amp;Master[[#This Row],[Accession Number -Assigned]]&amp;" COLLECTED "&amp;TEXT(Master[[#This Row],[Date Collected or Developed]], "MM/DD/YYYY")</f>
        <v xml:space="preserve">  COLLECTED 01/00/1900</v>
      </c>
      <c r="C157" s="141" t="str">
        <f t="shared" si="4"/>
        <v>ECOREGION</v>
      </c>
      <c r="D157" s="17" t="str">
        <f>IF(Master[[#This Row],[ECOREGION - Lookup picker]]="","",Master[[#This Row],[ECOREGION - Lookup picker]])</f>
        <v/>
      </c>
      <c r="E157" s="109"/>
      <c r="G157" s="76" t="str">
        <f>IF(Master[[#This Row],[ECOREGION - Lookup picker]]="","",Master[[#This Row],[ECOREGION - Lookup picker]])</f>
        <v/>
      </c>
      <c r="H157" s="141" t="str">
        <f>IF(Master[[#This Row],[Ecoregion Original Value]]="","",Master[[#This Row],[Ecoregion Original Value]])</f>
        <v/>
      </c>
    </row>
    <row r="158" spans="2:8" x14ac:dyDescent="0.25">
      <c r="B158" s="141" t="str">
        <f>Master[[#This Row],[Accession Prefix (NPGS)]]&amp;" "&amp;Master[[#This Row],[Accession Number -Assigned]]&amp;" COLLECTED "&amp;TEXT(Master[[#This Row],[Date Collected or Developed]], "MM/DD/YYYY")</f>
        <v xml:space="preserve">  COLLECTED 01/00/1900</v>
      </c>
      <c r="C158" s="141" t="str">
        <f t="shared" si="4"/>
        <v>ECOREGION</v>
      </c>
      <c r="D158" s="17" t="str">
        <f>IF(Master[[#This Row],[ECOREGION - Lookup picker]]="","",Master[[#This Row],[ECOREGION - Lookup picker]])</f>
        <v/>
      </c>
      <c r="E158" s="109"/>
      <c r="G158" s="76" t="str">
        <f>IF(Master[[#This Row],[ECOREGION - Lookup picker]]="","",Master[[#This Row],[ECOREGION - Lookup picker]])</f>
        <v/>
      </c>
      <c r="H158" s="141" t="str">
        <f>IF(Master[[#This Row],[Ecoregion Original Value]]="","",Master[[#This Row],[Ecoregion Original Value]])</f>
        <v/>
      </c>
    </row>
    <row r="159" spans="2:8" x14ac:dyDescent="0.25">
      <c r="B159" s="141" t="str">
        <f>Master[[#This Row],[Accession Prefix (NPGS)]]&amp;" "&amp;Master[[#This Row],[Accession Number -Assigned]]&amp;" COLLECTED "&amp;TEXT(Master[[#This Row],[Date Collected or Developed]], "MM/DD/YYYY")</f>
        <v xml:space="preserve">  COLLECTED 01/00/1900</v>
      </c>
      <c r="C159" s="141" t="str">
        <f t="shared" si="4"/>
        <v>ECOREGION</v>
      </c>
      <c r="D159" s="17" t="str">
        <f>IF(Master[[#This Row],[ECOREGION - Lookup picker]]="","",Master[[#This Row],[ECOREGION - Lookup picker]])</f>
        <v/>
      </c>
      <c r="E159" s="109"/>
      <c r="G159" s="76" t="str">
        <f>IF(Master[[#This Row],[ECOREGION - Lookup picker]]="","",Master[[#This Row],[ECOREGION - Lookup picker]])</f>
        <v/>
      </c>
      <c r="H159" s="141" t="str">
        <f>IF(Master[[#This Row],[Ecoregion Original Value]]="","",Master[[#This Row],[Ecoregion Original Value]])</f>
        <v/>
      </c>
    </row>
    <row r="160" spans="2:8" x14ac:dyDescent="0.25">
      <c r="B160" s="141" t="str">
        <f>Master[[#This Row],[Accession Prefix (NPGS)]]&amp;" "&amp;Master[[#This Row],[Accession Number -Assigned]]&amp;" COLLECTED "&amp;TEXT(Master[[#This Row],[Date Collected or Developed]], "MM/DD/YYYY")</f>
        <v xml:space="preserve">  COLLECTED 01/00/1900</v>
      </c>
      <c r="C160" s="141" t="str">
        <f t="shared" si="4"/>
        <v>ECOREGION</v>
      </c>
      <c r="D160" s="17" t="str">
        <f>IF(Master[[#This Row],[ECOREGION - Lookup picker]]="","",Master[[#This Row],[ECOREGION - Lookup picker]])</f>
        <v/>
      </c>
      <c r="E160" s="109"/>
      <c r="G160" s="76" t="str">
        <f>IF(Master[[#This Row],[ECOREGION - Lookup picker]]="","",Master[[#This Row],[ECOREGION - Lookup picker]])</f>
        <v/>
      </c>
      <c r="H160" s="141" t="str">
        <f>IF(Master[[#This Row],[Ecoregion Original Value]]="","",Master[[#This Row],[Ecoregion Original Value]])</f>
        <v/>
      </c>
    </row>
    <row r="161" spans="2:8" x14ac:dyDescent="0.25">
      <c r="B161" s="141" t="str">
        <f>Master[[#This Row],[Accession Prefix (NPGS)]]&amp;" "&amp;Master[[#This Row],[Accession Number -Assigned]]&amp;" COLLECTED "&amp;TEXT(Master[[#This Row],[Date Collected or Developed]], "MM/DD/YYYY")</f>
        <v xml:space="preserve">  COLLECTED 01/00/1900</v>
      </c>
      <c r="C161" s="141" t="str">
        <f t="shared" si="4"/>
        <v>ECOREGION</v>
      </c>
      <c r="D161" s="17" t="str">
        <f>IF(Master[[#This Row],[ECOREGION - Lookup picker]]="","",Master[[#This Row],[ECOREGION - Lookup picker]])</f>
        <v/>
      </c>
      <c r="E161" s="109"/>
      <c r="G161" s="76" t="str">
        <f>IF(Master[[#This Row],[ECOREGION - Lookup picker]]="","",Master[[#This Row],[ECOREGION - Lookup picker]])</f>
        <v/>
      </c>
      <c r="H161" s="141" t="str">
        <f>IF(Master[[#This Row],[Ecoregion Original Value]]="","",Master[[#This Row],[Ecoregion Original Value]])</f>
        <v/>
      </c>
    </row>
    <row r="162" spans="2:8" x14ac:dyDescent="0.25">
      <c r="B162" s="141" t="str">
        <f>Master[[#This Row],[Accession Prefix (NPGS)]]&amp;" "&amp;Master[[#This Row],[Accession Number -Assigned]]&amp;" COLLECTED "&amp;TEXT(Master[[#This Row],[Date Collected or Developed]], "MM/DD/YYYY")</f>
        <v xml:space="preserve">  COLLECTED 01/00/1900</v>
      </c>
      <c r="C162" s="141" t="str">
        <f t="shared" ref="C162:C193" si="5">"ECOREGION"</f>
        <v>ECOREGION</v>
      </c>
      <c r="D162" s="17" t="str">
        <f>IF(Master[[#This Row],[ECOREGION - Lookup picker]]="","",Master[[#This Row],[ECOREGION - Lookup picker]])</f>
        <v/>
      </c>
      <c r="E162" s="109"/>
      <c r="G162" s="76" t="str">
        <f>IF(Master[[#This Row],[ECOREGION - Lookup picker]]="","",Master[[#This Row],[ECOREGION - Lookup picker]])</f>
        <v/>
      </c>
      <c r="H162" s="141" t="str">
        <f>IF(Master[[#This Row],[Ecoregion Original Value]]="","",Master[[#This Row],[Ecoregion Original Value]])</f>
        <v/>
      </c>
    </row>
    <row r="163" spans="2:8" x14ac:dyDescent="0.25">
      <c r="B163" s="141" t="str">
        <f>Master[[#This Row],[Accession Prefix (NPGS)]]&amp;" "&amp;Master[[#This Row],[Accession Number -Assigned]]&amp;" COLLECTED "&amp;TEXT(Master[[#This Row],[Date Collected or Developed]], "MM/DD/YYYY")</f>
        <v xml:space="preserve">  COLLECTED 01/00/1900</v>
      </c>
      <c r="C163" s="141" t="str">
        <f t="shared" si="5"/>
        <v>ECOREGION</v>
      </c>
      <c r="D163" s="17" t="str">
        <f>IF(Master[[#This Row],[ECOREGION - Lookup picker]]="","",Master[[#This Row],[ECOREGION - Lookup picker]])</f>
        <v/>
      </c>
      <c r="E163" s="109"/>
      <c r="G163" s="76" t="str">
        <f>IF(Master[[#This Row],[ECOREGION - Lookup picker]]="","",Master[[#This Row],[ECOREGION - Lookup picker]])</f>
        <v/>
      </c>
      <c r="H163" s="141" t="str">
        <f>IF(Master[[#This Row],[Ecoregion Original Value]]="","",Master[[#This Row],[Ecoregion Original Value]])</f>
        <v/>
      </c>
    </row>
    <row r="164" spans="2:8" x14ac:dyDescent="0.25">
      <c r="B164" s="141" t="str">
        <f>Master[[#This Row],[Accession Prefix (NPGS)]]&amp;" "&amp;Master[[#This Row],[Accession Number -Assigned]]&amp;" COLLECTED "&amp;TEXT(Master[[#This Row],[Date Collected or Developed]], "MM/DD/YYYY")</f>
        <v xml:space="preserve">  COLLECTED 01/00/1900</v>
      </c>
      <c r="C164" s="141" t="str">
        <f t="shared" si="5"/>
        <v>ECOREGION</v>
      </c>
      <c r="D164" s="17" t="str">
        <f>IF(Master[[#This Row],[ECOREGION - Lookup picker]]="","",Master[[#This Row],[ECOREGION - Lookup picker]])</f>
        <v/>
      </c>
      <c r="E164" s="109"/>
      <c r="G164" s="76" t="str">
        <f>IF(Master[[#This Row],[ECOREGION - Lookup picker]]="","",Master[[#This Row],[ECOREGION - Lookup picker]])</f>
        <v/>
      </c>
      <c r="H164" s="141" t="str">
        <f>IF(Master[[#This Row],[Ecoregion Original Value]]="","",Master[[#This Row],[Ecoregion Original Value]])</f>
        <v/>
      </c>
    </row>
    <row r="165" spans="2:8" x14ac:dyDescent="0.25">
      <c r="B165" s="141" t="str">
        <f>Master[[#This Row],[Accession Prefix (NPGS)]]&amp;" "&amp;Master[[#This Row],[Accession Number -Assigned]]&amp;" COLLECTED "&amp;TEXT(Master[[#This Row],[Date Collected or Developed]], "MM/DD/YYYY")</f>
        <v xml:space="preserve">  COLLECTED 01/00/1900</v>
      </c>
      <c r="C165" s="141" t="str">
        <f t="shared" si="5"/>
        <v>ECOREGION</v>
      </c>
      <c r="D165" s="17" t="str">
        <f>IF(Master[[#This Row],[ECOREGION - Lookup picker]]="","",Master[[#This Row],[ECOREGION - Lookup picker]])</f>
        <v/>
      </c>
      <c r="E165" s="109"/>
      <c r="G165" s="76" t="str">
        <f>IF(Master[[#This Row],[ECOREGION - Lookup picker]]="","",Master[[#This Row],[ECOREGION - Lookup picker]])</f>
        <v/>
      </c>
      <c r="H165" s="141" t="str">
        <f>IF(Master[[#This Row],[Ecoregion Original Value]]="","",Master[[#This Row],[Ecoregion Original Value]])</f>
        <v/>
      </c>
    </row>
    <row r="166" spans="2:8" x14ac:dyDescent="0.25">
      <c r="B166" s="141" t="str">
        <f>Master[[#This Row],[Accession Prefix (NPGS)]]&amp;" "&amp;Master[[#This Row],[Accession Number -Assigned]]&amp;" COLLECTED "&amp;TEXT(Master[[#This Row],[Date Collected or Developed]], "MM/DD/YYYY")</f>
        <v xml:space="preserve">  COLLECTED 01/00/1900</v>
      </c>
      <c r="C166" s="141" t="str">
        <f t="shared" si="5"/>
        <v>ECOREGION</v>
      </c>
      <c r="D166" s="17" t="str">
        <f>IF(Master[[#This Row],[ECOREGION - Lookup picker]]="","",Master[[#This Row],[ECOREGION - Lookup picker]])</f>
        <v/>
      </c>
      <c r="E166" s="109"/>
      <c r="G166" s="76" t="str">
        <f>IF(Master[[#This Row],[ECOREGION - Lookup picker]]="","",Master[[#This Row],[ECOREGION - Lookup picker]])</f>
        <v/>
      </c>
      <c r="H166" s="141" t="str">
        <f>IF(Master[[#This Row],[Ecoregion Original Value]]="","",Master[[#This Row],[Ecoregion Original Value]])</f>
        <v/>
      </c>
    </row>
    <row r="167" spans="2:8" x14ac:dyDescent="0.25">
      <c r="B167" s="141" t="str">
        <f>Master[[#This Row],[Accession Prefix (NPGS)]]&amp;" "&amp;Master[[#This Row],[Accession Number -Assigned]]&amp;" COLLECTED "&amp;TEXT(Master[[#This Row],[Date Collected or Developed]], "MM/DD/YYYY")</f>
        <v xml:space="preserve">  COLLECTED 01/00/1900</v>
      </c>
      <c r="C167" s="141" t="str">
        <f t="shared" si="5"/>
        <v>ECOREGION</v>
      </c>
      <c r="D167" s="17" t="str">
        <f>IF(Master[[#This Row],[ECOREGION - Lookup picker]]="","",Master[[#This Row],[ECOREGION - Lookup picker]])</f>
        <v/>
      </c>
      <c r="E167" s="109"/>
      <c r="G167" s="76" t="str">
        <f>IF(Master[[#This Row],[ECOREGION - Lookup picker]]="","",Master[[#This Row],[ECOREGION - Lookup picker]])</f>
        <v/>
      </c>
      <c r="H167" s="141" t="str">
        <f>IF(Master[[#This Row],[Ecoregion Original Value]]="","",Master[[#This Row],[Ecoregion Original Value]])</f>
        <v/>
      </c>
    </row>
    <row r="168" spans="2:8" x14ac:dyDescent="0.25">
      <c r="B168" s="141" t="str">
        <f>Master[[#This Row],[Accession Prefix (NPGS)]]&amp;" "&amp;Master[[#This Row],[Accession Number -Assigned]]&amp;" COLLECTED "&amp;TEXT(Master[[#This Row],[Date Collected or Developed]], "MM/DD/YYYY")</f>
        <v xml:space="preserve">  COLLECTED 01/00/1900</v>
      </c>
      <c r="C168" s="141" t="str">
        <f t="shared" si="5"/>
        <v>ECOREGION</v>
      </c>
      <c r="D168" s="17" t="str">
        <f>IF(Master[[#This Row],[ECOREGION - Lookup picker]]="","",Master[[#This Row],[ECOREGION - Lookup picker]])</f>
        <v/>
      </c>
      <c r="E168" s="109"/>
      <c r="G168" s="76" t="str">
        <f>IF(Master[[#This Row],[ECOREGION - Lookup picker]]="","",Master[[#This Row],[ECOREGION - Lookup picker]])</f>
        <v/>
      </c>
      <c r="H168" s="141" t="str">
        <f>IF(Master[[#This Row],[Ecoregion Original Value]]="","",Master[[#This Row],[Ecoregion Original Value]])</f>
        <v/>
      </c>
    </row>
    <row r="169" spans="2:8" x14ac:dyDescent="0.25">
      <c r="B169" s="141" t="str">
        <f>Master[[#This Row],[Accession Prefix (NPGS)]]&amp;" "&amp;Master[[#This Row],[Accession Number -Assigned]]&amp;" COLLECTED "&amp;TEXT(Master[[#This Row],[Date Collected or Developed]], "MM/DD/YYYY")</f>
        <v xml:space="preserve">  COLLECTED 01/00/1900</v>
      </c>
      <c r="C169" s="141" t="str">
        <f t="shared" si="5"/>
        <v>ECOREGION</v>
      </c>
      <c r="D169" s="17" t="str">
        <f>IF(Master[[#This Row],[ECOREGION - Lookup picker]]="","",Master[[#This Row],[ECOREGION - Lookup picker]])</f>
        <v/>
      </c>
      <c r="E169" s="109"/>
      <c r="G169" s="76" t="str">
        <f>IF(Master[[#This Row],[ECOREGION - Lookup picker]]="","",Master[[#This Row],[ECOREGION - Lookup picker]])</f>
        <v/>
      </c>
      <c r="H169" s="141" t="str">
        <f>IF(Master[[#This Row],[Ecoregion Original Value]]="","",Master[[#This Row],[Ecoregion Original Value]])</f>
        <v/>
      </c>
    </row>
    <row r="170" spans="2:8" x14ac:dyDescent="0.25">
      <c r="B170" s="141" t="str">
        <f>Master[[#This Row],[Accession Prefix (NPGS)]]&amp;" "&amp;Master[[#This Row],[Accession Number -Assigned]]&amp;" COLLECTED "&amp;TEXT(Master[[#This Row],[Date Collected or Developed]], "MM/DD/YYYY")</f>
        <v xml:space="preserve">  COLLECTED 01/00/1900</v>
      </c>
      <c r="C170" s="141" t="str">
        <f t="shared" si="5"/>
        <v>ECOREGION</v>
      </c>
      <c r="D170" s="17" t="str">
        <f>IF(Master[[#This Row],[ECOREGION - Lookup picker]]="","",Master[[#This Row],[ECOREGION - Lookup picker]])</f>
        <v/>
      </c>
      <c r="E170" s="109"/>
      <c r="G170" s="76" t="str">
        <f>IF(Master[[#This Row],[ECOREGION - Lookup picker]]="","",Master[[#This Row],[ECOREGION - Lookup picker]])</f>
        <v/>
      </c>
      <c r="H170" s="141" t="str">
        <f>IF(Master[[#This Row],[Ecoregion Original Value]]="","",Master[[#This Row],[Ecoregion Original Value]])</f>
        <v/>
      </c>
    </row>
    <row r="171" spans="2:8" x14ac:dyDescent="0.25">
      <c r="B171" s="141" t="str">
        <f>Master[[#This Row],[Accession Prefix (NPGS)]]&amp;" "&amp;Master[[#This Row],[Accession Number -Assigned]]&amp;" COLLECTED "&amp;TEXT(Master[[#This Row],[Date Collected or Developed]], "MM/DD/YYYY")</f>
        <v xml:space="preserve">  COLLECTED 01/00/1900</v>
      </c>
      <c r="C171" s="141" t="str">
        <f t="shared" si="5"/>
        <v>ECOREGION</v>
      </c>
      <c r="D171" s="17" t="str">
        <f>IF(Master[[#This Row],[ECOREGION - Lookup picker]]="","",Master[[#This Row],[ECOREGION - Lookup picker]])</f>
        <v/>
      </c>
      <c r="E171" s="109"/>
      <c r="G171" s="76" t="str">
        <f>IF(Master[[#This Row],[ECOREGION - Lookup picker]]="","",Master[[#This Row],[ECOREGION - Lookup picker]])</f>
        <v/>
      </c>
      <c r="H171" s="141" t="str">
        <f>IF(Master[[#This Row],[Ecoregion Original Value]]="","",Master[[#This Row],[Ecoregion Original Value]])</f>
        <v/>
      </c>
    </row>
    <row r="172" spans="2:8" x14ac:dyDescent="0.25">
      <c r="B172" s="141" t="str">
        <f>Master[[#This Row],[Accession Prefix (NPGS)]]&amp;" "&amp;Master[[#This Row],[Accession Number -Assigned]]&amp;" COLLECTED "&amp;TEXT(Master[[#This Row],[Date Collected or Developed]], "MM/DD/YYYY")</f>
        <v xml:space="preserve">  COLLECTED 01/00/1900</v>
      </c>
      <c r="C172" s="141" t="str">
        <f t="shared" si="5"/>
        <v>ECOREGION</v>
      </c>
      <c r="D172" s="17" t="str">
        <f>IF(Master[[#This Row],[ECOREGION - Lookup picker]]="","",Master[[#This Row],[ECOREGION - Lookup picker]])</f>
        <v/>
      </c>
      <c r="E172" s="109"/>
      <c r="G172" s="76" t="str">
        <f>IF(Master[[#This Row],[ECOREGION - Lookup picker]]="","",Master[[#This Row],[ECOREGION - Lookup picker]])</f>
        <v/>
      </c>
      <c r="H172" s="141" t="str">
        <f>IF(Master[[#This Row],[Ecoregion Original Value]]="","",Master[[#This Row],[Ecoregion Original Value]])</f>
        <v/>
      </c>
    </row>
    <row r="173" spans="2:8" x14ac:dyDescent="0.25">
      <c r="B173" s="141" t="str">
        <f>Master[[#This Row],[Accession Prefix (NPGS)]]&amp;" "&amp;Master[[#This Row],[Accession Number -Assigned]]&amp;" COLLECTED "&amp;TEXT(Master[[#This Row],[Date Collected or Developed]], "MM/DD/YYYY")</f>
        <v xml:space="preserve">  COLLECTED 01/00/1900</v>
      </c>
      <c r="C173" s="141" t="str">
        <f t="shared" si="5"/>
        <v>ECOREGION</v>
      </c>
      <c r="D173" s="17" t="str">
        <f>IF(Master[[#This Row],[ECOREGION - Lookup picker]]="","",Master[[#This Row],[ECOREGION - Lookup picker]])</f>
        <v/>
      </c>
      <c r="E173" s="109"/>
      <c r="G173" s="76" t="str">
        <f>IF(Master[[#This Row],[ECOREGION - Lookup picker]]="","",Master[[#This Row],[ECOREGION - Lookup picker]])</f>
        <v/>
      </c>
      <c r="H173" s="141" t="str">
        <f>IF(Master[[#This Row],[Ecoregion Original Value]]="","",Master[[#This Row],[Ecoregion Original Value]])</f>
        <v/>
      </c>
    </row>
    <row r="174" spans="2:8" x14ac:dyDescent="0.25">
      <c r="B174" s="141" t="str">
        <f>Master[[#This Row],[Accession Prefix (NPGS)]]&amp;" "&amp;Master[[#This Row],[Accession Number -Assigned]]&amp;" COLLECTED "&amp;TEXT(Master[[#This Row],[Date Collected or Developed]], "MM/DD/YYYY")</f>
        <v xml:space="preserve">  COLLECTED 01/00/1900</v>
      </c>
      <c r="C174" s="141" t="str">
        <f t="shared" si="5"/>
        <v>ECOREGION</v>
      </c>
      <c r="D174" s="17" t="str">
        <f>IF(Master[[#This Row],[ECOREGION - Lookup picker]]="","",Master[[#This Row],[ECOREGION - Lookup picker]])</f>
        <v/>
      </c>
      <c r="E174" s="109"/>
      <c r="G174" s="76" t="str">
        <f>IF(Master[[#This Row],[ECOREGION - Lookup picker]]="","",Master[[#This Row],[ECOREGION - Lookup picker]])</f>
        <v/>
      </c>
      <c r="H174" s="141" t="str">
        <f>IF(Master[[#This Row],[Ecoregion Original Value]]="","",Master[[#This Row],[Ecoregion Original Value]])</f>
        <v/>
      </c>
    </row>
    <row r="175" spans="2:8" x14ac:dyDescent="0.25">
      <c r="B175" s="141" t="str">
        <f>Master[[#This Row],[Accession Prefix (NPGS)]]&amp;" "&amp;Master[[#This Row],[Accession Number -Assigned]]&amp;" COLLECTED "&amp;TEXT(Master[[#This Row],[Date Collected or Developed]], "MM/DD/YYYY")</f>
        <v xml:space="preserve">  COLLECTED 01/00/1900</v>
      </c>
      <c r="C175" s="141" t="str">
        <f t="shared" si="5"/>
        <v>ECOREGION</v>
      </c>
      <c r="D175" s="17" t="str">
        <f>IF(Master[[#This Row],[ECOREGION - Lookup picker]]="","",Master[[#This Row],[ECOREGION - Lookup picker]])</f>
        <v/>
      </c>
      <c r="E175" s="109"/>
      <c r="G175" s="76" t="str">
        <f>IF(Master[[#This Row],[ECOREGION - Lookup picker]]="","",Master[[#This Row],[ECOREGION - Lookup picker]])</f>
        <v/>
      </c>
      <c r="H175" s="141" t="str">
        <f>IF(Master[[#This Row],[Ecoregion Original Value]]="","",Master[[#This Row],[Ecoregion Original Value]])</f>
        <v/>
      </c>
    </row>
    <row r="176" spans="2:8" x14ac:dyDescent="0.25">
      <c r="B176" s="141" t="str">
        <f>Master[[#This Row],[Accession Prefix (NPGS)]]&amp;" "&amp;Master[[#This Row],[Accession Number -Assigned]]&amp;" COLLECTED "&amp;TEXT(Master[[#This Row],[Date Collected or Developed]], "MM/DD/YYYY")</f>
        <v xml:space="preserve">  COLLECTED 01/00/1900</v>
      </c>
      <c r="C176" s="141" t="str">
        <f t="shared" si="5"/>
        <v>ECOREGION</v>
      </c>
      <c r="D176" s="17" t="str">
        <f>IF(Master[[#This Row],[ECOREGION - Lookup picker]]="","",Master[[#This Row],[ECOREGION - Lookup picker]])</f>
        <v/>
      </c>
      <c r="E176" s="109"/>
      <c r="G176" s="76" t="str">
        <f>IF(Master[[#This Row],[ECOREGION - Lookup picker]]="","",Master[[#This Row],[ECOREGION - Lookup picker]])</f>
        <v/>
      </c>
      <c r="H176" s="141" t="str">
        <f>IF(Master[[#This Row],[Ecoregion Original Value]]="","",Master[[#This Row],[Ecoregion Original Value]])</f>
        <v/>
      </c>
    </row>
    <row r="177" spans="2:8" x14ac:dyDescent="0.25">
      <c r="B177" s="141" t="str">
        <f>Master[[#This Row],[Accession Prefix (NPGS)]]&amp;" "&amp;Master[[#This Row],[Accession Number -Assigned]]&amp;" COLLECTED "&amp;TEXT(Master[[#This Row],[Date Collected or Developed]], "MM/DD/YYYY")</f>
        <v xml:space="preserve">  COLLECTED 01/00/1900</v>
      </c>
      <c r="C177" s="141" t="str">
        <f t="shared" si="5"/>
        <v>ECOREGION</v>
      </c>
      <c r="D177" s="17" t="str">
        <f>IF(Master[[#This Row],[ECOREGION - Lookup picker]]="","",Master[[#This Row],[ECOREGION - Lookup picker]])</f>
        <v/>
      </c>
      <c r="E177" s="109"/>
      <c r="G177" s="76" t="str">
        <f>IF(Master[[#This Row],[ECOREGION - Lookup picker]]="","",Master[[#This Row],[ECOREGION - Lookup picker]])</f>
        <v/>
      </c>
      <c r="H177" s="141" t="str">
        <f>IF(Master[[#This Row],[Ecoregion Original Value]]="","",Master[[#This Row],[Ecoregion Original Value]])</f>
        <v/>
      </c>
    </row>
    <row r="178" spans="2:8" x14ac:dyDescent="0.25">
      <c r="B178" s="141" t="str">
        <f>Master[[#This Row],[Accession Prefix (NPGS)]]&amp;" "&amp;Master[[#This Row],[Accession Number -Assigned]]&amp;" COLLECTED "&amp;TEXT(Master[[#This Row],[Date Collected or Developed]], "MM/DD/YYYY")</f>
        <v xml:space="preserve">  COLLECTED 01/00/1900</v>
      </c>
      <c r="C178" s="141" t="str">
        <f t="shared" si="5"/>
        <v>ECOREGION</v>
      </c>
      <c r="D178" s="17" t="str">
        <f>IF(Master[[#This Row],[ECOREGION - Lookup picker]]="","",Master[[#This Row],[ECOREGION - Lookup picker]])</f>
        <v/>
      </c>
      <c r="E178" s="109"/>
      <c r="G178" s="76" t="str">
        <f>IF(Master[[#This Row],[ECOREGION - Lookup picker]]="","",Master[[#This Row],[ECOREGION - Lookup picker]])</f>
        <v/>
      </c>
      <c r="H178" s="141" t="str">
        <f>IF(Master[[#This Row],[Ecoregion Original Value]]="","",Master[[#This Row],[Ecoregion Original Value]])</f>
        <v/>
      </c>
    </row>
    <row r="179" spans="2:8" x14ac:dyDescent="0.25">
      <c r="B179" s="141" t="str">
        <f>Master[[#This Row],[Accession Prefix (NPGS)]]&amp;" "&amp;Master[[#This Row],[Accession Number -Assigned]]&amp;" COLLECTED "&amp;TEXT(Master[[#This Row],[Date Collected or Developed]], "MM/DD/YYYY")</f>
        <v xml:space="preserve">  COLLECTED 01/00/1900</v>
      </c>
      <c r="C179" s="141" t="str">
        <f t="shared" si="5"/>
        <v>ECOREGION</v>
      </c>
      <c r="D179" s="17" t="str">
        <f>IF(Master[[#This Row],[ECOREGION - Lookup picker]]="","",Master[[#This Row],[ECOREGION - Lookup picker]])</f>
        <v/>
      </c>
      <c r="E179" s="109"/>
      <c r="G179" s="76" t="str">
        <f>IF(Master[[#This Row],[ECOREGION - Lookup picker]]="","",Master[[#This Row],[ECOREGION - Lookup picker]])</f>
        <v/>
      </c>
      <c r="H179" s="141" t="str">
        <f>IF(Master[[#This Row],[Ecoregion Original Value]]="","",Master[[#This Row],[Ecoregion Original Value]])</f>
        <v/>
      </c>
    </row>
    <row r="180" spans="2:8" x14ac:dyDescent="0.25">
      <c r="B180" s="141" t="str">
        <f>Master[[#This Row],[Accession Prefix (NPGS)]]&amp;" "&amp;Master[[#This Row],[Accession Number -Assigned]]&amp;" COLLECTED "&amp;TEXT(Master[[#This Row],[Date Collected or Developed]], "MM/DD/YYYY")</f>
        <v xml:space="preserve">  COLLECTED 01/00/1900</v>
      </c>
      <c r="C180" s="141" t="str">
        <f t="shared" si="5"/>
        <v>ECOREGION</v>
      </c>
      <c r="D180" s="17" t="str">
        <f>IF(Master[[#This Row],[ECOREGION - Lookup picker]]="","",Master[[#This Row],[ECOREGION - Lookup picker]])</f>
        <v/>
      </c>
      <c r="E180" s="109"/>
      <c r="G180" s="76" t="str">
        <f>IF(Master[[#This Row],[ECOREGION - Lookup picker]]="","",Master[[#This Row],[ECOREGION - Lookup picker]])</f>
        <v/>
      </c>
      <c r="H180" s="141" t="str">
        <f>IF(Master[[#This Row],[Ecoregion Original Value]]="","",Master[[#This Row],[Ecoregion Original Value]])</f>
        <v/>
      </c>
    </row>
    <row r="181" spans="2:8" x14ac:dyDescent="0.25">
      <c r="B181" s="141" t="str">
        <f>Master[[#This Row],[Accession Prefix (NPGS)]]&amp;" "&amp;Master[[#This Row],[Accession Number -Assigned]]&amp;" COLLECTED "&amp;TEXT(Master[[#This Row],[Date Collected or Developed]], "MM/DD/YYYY")</f>
        <v xml:space="preserve">  COLLECTED 01/00/1900</v>
      </c>
      <c r="C181" s="141" t="str">
        <f t="shared" si="5"/>
        <v>ECOREGION</v>
      </c>
      <c r="D181" s="17" t="str">
        <f>IF(Master[[#This Row],[ECOREGION - Lookup picker]]="","",Master[[#This Row],[ECOREGION - Lookup picker]])</f>
        <v/>
      </c>
      <c r="E181" s="109"/>
      <c r="G181" s="76" t="str">
        <f>IF(Master[[#This Row],[ECOREGION - Lookup picker]]="","",Master[[#This Row],[ECOREGION - Lookup picker]])</f>
        <v/>
      </c>
      <c r="H181" s="141" t="str">
        <f>IF(Master[[#This Row],[Ecoregion Original Value]]="","",Master[[#This Row],[Ecoregion Original Value]])</f>
        <v/>
      </c>
    </row>
    <row r="182" spans="2:8" x14ac:dyDescent="0.25">
      <c r="B182" s="141" t="str">
        <f>Master[[#This Row],[Accession Prefix (NPGS)]]&amp;" "&amp;Master[[#This Row],[Accession Number -Assigned]]&amp;" COLLECTED "&amp;TEXT(Master[[#This Row],[Date Collected or Developed]], "MM/DD/YYYY")</f>
        <v xml:space="preserve">  COLLECTED 01/00/1900</v>
      </c>
      <c r="C182" s="141" t="str">
        <f t="shared" si="5"/>
        <v>ECOREGION</v>
      </c>
      <c r="D182" s="17" t="str">
        <f>IF(Master[[#This Row],[ECOREGION - Lookup picker]]="","",Master[[#This Row],[ECOREGION - Lookup picker]])</f>
        <v/>
      </c>
      <c r="E182" s="109"/>
      <c r="G182" s="76" t="str">
        <f>IF(Master[[#This Row],[ECOREGION - Lookup picker]]="","",Master[[#This Row],[ECOREGION - Lookup picker]])</f>
        <v/>
      </c>
      <c r="H182" s="141" t="str">
        <f>IF(Master[[#This Row],[Ecoregion Original Value]]="","",Master[[#This Row],[Ecoregion Original Value]])</f>
        <v/>
      </c>
    </row>
    <row r="183" spans="2:8" x14ac:dyDescent="0.25">
      <c r="B183" s="141" t="str">
        <f>Master[[#This Row],[Accession Prefix (NPGS)]]&amp;" "&amp;Master[[#This Row],[Accession Number -Assigned]]&amp;" COLLECTED "&amp;TEXT(Master[[#This Row],[Date Collected or Developed]], "MM/DD/YYYY")</f>
        <v xml:space="preserve">  COLLECTED 01/00/1900</v>
      </c>
      <c r="C183" s="141" t="str">
        <f t="shared" si="5"/>
        <v>ECOREGION</v>
      </c>
      <c r="D183" s="17" t="str">
        <f>IF(Master[[#This Row],[ECOREGION - Lookup picker]]="","",Master[[#This Row],[ECOREGION - Lookup picker]])</f>
        <v/>
      </c>
      <c r="E183" s="109"/>
      <c r="G183" s="76" t="str">
        <f>IF(Master[[#This Row],[ECOREGION - Lookup picker]]="","",Master[[#This Row],[ECOREGION - Lookup picker]])</f>
        <v/>
      </c>
      <c r="H183" s="141" t="str">
        <f>IF(Master[[#This Row],[Ecoregion Original Value]]="","",Master[[#This Row],[Ecoregion Original Value]])</f>
        <v/>
      </c>
    </row>
    <row r="184" spans="2:8" x14ac:dyDescent="0.25">
      <c r="B184" s="141" t="str">
        <f>Master[[#This Row],[Accession Prefix (NPGS)]]&amp;" "&amp;Master[[#This Row],[Accession Number -Assigned]]&amp;" COLLECTED "&amp;TEXT(Master[[#This Row],[Date Collected or Developed]], "MM/DD/YYYY")</f>
        <v xml:space="preserve">  COLLECTED 01/00/1900</v>
      </c>
      <c r="C184" s="141" t="str">
        <f t="shared" si="5"/>
        <v>ECOREGION</v>
      </c>
      <c r="D184" s="17" t="str">
        <f>IF(Master[[#This Row],[ECOREGION - Lookup picker]]="","",Master[[#This Row],[ECOREGION - Lookup picker]])</f>
        <v/>
      </c>
      <c r="E184" s="109"/>
      <c r="G184" s="76" t="str">
        <f>IF(Master[[#This Row],[ECOREGION - Lookup picker]]="","",Master[[#This Row],[ECOREGION - Lookup picker]])</f>
        <v/>
      </c>
      <c r="H184" s="141" t="str">
        <f>IF(Master[[#This Row],[Ecoregion Original Value]]="","",Master[[#This Row],[Ecoregion Original Value]])</f>
        <v/>
      </c>
    </row>
    <row r="185" spans="2:8" x14ac:dyDescent="0.25">
      <c r="B185" s="141" t="str">
        <f>Master[[#This Row],[Accession Prefix (NPGS)]]&amp;" "&amp;Master[[#This Row],[Accession Number -Assigned]]&amp;" COLLECTED "&amp;TEXT(Master[[#This Row],[Date Collected or Developed]], "MM/DD/YYYY")</f>
        <v xml:space="preserve">  COLLECTED 01/00/1900</v>
      </c>
      <c r="C185" s="141" t="str">
        <f t="shared" si="5"/>
        <v>ECOREGION</v>
      </c>
      <c r="D185" s="17" t="str">
        <f>IF(Master[[#This Row],[ECOREGION - Lookup picker]]="","",Master[[#This Row],[ECOREGION - Lookup picker]])</f>
        <v/>
      </c>
      <c r="E185" s="109"/>
      <c r="G185" s="76" t="str">
        <f>IF(Master[[#This Row],[ECOREGION - Lookup picker]]="","",Master[[#This Row],[ECOREGION - Lookup picker]])</f>
        <v/>
      </c>
      <c r="H185" s="141" t="str">
        <f>IF(Master[[#This Row],[Ecoregion Original Value]]="","",Master[[#This Row],[Ecoregion Original Value]])</f>
        <v/>
      </c>
    </row>
    <row r="186" spans="2:8" x14ac:dyDescent="0.25">
      <c r="B186" s="141" t="str">
        <f>Master[[#This Row],[Accession Prefix (NPGS)]]&amp;" "&amp;Master[[#This Row],[Accession Number -Assigned]]&amp;" COLLECTED "&amp;TEXT(Master[[#This Row],[Date Collected or Developed]], "MM/DD/YYYY")</f>
        <v xml:space="preserve">  COLLECTED 01/00/1900</v>
      </c>
      <c r="C186" s="141" t="str">
        <f t="shared" si="5"/>
        <v>ECOREGION</v>
      </c>
      <c r="D186" s="17" t="str">
        <f>IF(Master[[#This Row],[ECOREGION - Lookup picker]]="","",Master[[#This Row],[ECOREGION - Lookup picker]])</f>
        <v/>
      </c>
      <c r="E186" s="109"/>
      <c r="G186" s="76" t="str">
        <f>IF(Master[[#This Row],[ECOREGION - Lookup picker]]="","",Master[[#This Row],[ECOREGION - Lookup picker]])</f>
        <v/>
      </c>
      <c r="H186" s="141" t="str">
        <f>IF(Master[[#This Row],[Ecoregion Original Value]]="","",Master[[#This Row],[Ecoregion Original Value]])</f>
        <v/>
      </c>
    </row>
    <row r="187" spans="2:8" x14ac:dyDescent="0.25">
      <c r="B187" s="141" t="str">
        <f>Master[[#This Row],[Accession Prefix (NPGS)]]&amp;" "&amp;Master[[#This Row],[Accession Number -Assigned]]&amp;" COLLECTED "&amp;TEXT(Master[[#This Row],[Date Collected or Developed]], "MM/DD/YYYY")</f>
        <v xml:space="preserve">  COLLECTED 01/00/1900</v>
      </c>
      <c r="C187" s="141" t="str">
        <f t="shared" si="5"/>
        <v>ECOREGION</v>
      </c>
      <c r="D187" s="17" t="str">
        <f>IF(Master[[#This Row],[ECOREGION - Lookup picker]]="","",Master[[#This Row],[ECOREGION - Lookup picker]])</f>
        <v/>
      </c>
      <c r="E187" s="109"/>
      <c r="G187" s="76" t="str">
        <f>IF(Master[[#This Row],[ECOREGION - Lookup picker]]="","",Master[[#This Row],[ECOREGION - Lookup picker]])</f>
        <v/>
      </c>
      <c r="H187" s="141" t="str">
        <f>IF(Master[[#This Row],[Ecoregion Original Value]]="","",Master[[#This Row],[Ecoregion Original Value]])</f>
        <v/>
      </c>
    </row>
    <row r="188" spans="2:8" x14ac:dyDescent="0.25">
      <c r="B188" s="141" t="str">
        <f>Master[[#This Row],[Accession Prefix (NPGS)]]&amp;" "&amp;Master[[#This Row],[Accession Number -Assigned]]&amp;" COLLECTED "&amp;TEXT(Master[[#This Row],[Date Collected or Developed]], "MM/DD/YYYY")</f>
        <v xml:space="preserve">  COLLECTED 01/00/1900</v>
      </c>
      <c r="C188" s="141" t="str">
        <f t="shared" si="5"/>
        <v>ECOREGION</v>
      </c>
      <c r="D188" s="17" t="str">
        <f>IF(Master[[#This Row],[ECOREGION - Lookup picker]]="","",Master[[#This Row],[ECOREGION - Lookup picker]])</f>
        <v/>
      </c>
      <c r="E188" s="109"/>
      <c r="G188" s="76" t="str">
        <f>IF(Master[[#This Row],[ECOREGION - Lookup picker]]="","",Master[[#This Row],[ECOREGION - Lookup picker]])</f>
        <v/>
      </c>
      <c r="H188" s="141" t="str">
        <f>IF(Master[[#This Row],[Ecoregion Original Value]]="","",Master[[#This Row],[Ecoregion Original Value]])</f>
        <v/>
      </c>
    </row>
    <row r="189" spans="2:8" x14ac:dyDescent="0.25">
      <c r="B189" s="141" t="str">
        <f>Master[[#This Row],[Accession Prefix (NPGS)]]&amp;" "&amp;Master[[#This Row],[Accession Number -Assigned]]&amp;" COLLECTED "&amp;TEXT(Master[[#This Row],[Date Collected or Developed]], "MM/DD/YYYY")</f>
        <v xml:space="preserve">  COLLECTED 01/00/1900</v>
      </c>
      <c r="C189" s="141" t="str">
        <f t="shared" si="5"/>
        <v>ECOREGION</v>
      </c>
      <c r="D189" s="17" t="str">
        <f>IF(Master[[#This Row],[ECOREGION - Lookup picker]]="","",Master[[#This Row],[ECOREGION - Lookup picker]])</f>
        <v/>
      </c>
      <c r="E189" s="109"/>
      <c r="G189" s="76" t="str">
        <f>IF(Master[[#This Row],[ECOREGION - Lookup picker]]="","",Master[[#This Row],[ECOREGION - Lookup picker]])</f>
        <v/>
      </c>
      <c r="H189" s="141" t="str">
        <f>IF(Master[[#This Row],[Ecoregion Original Value]]="","",Master[[#This Row],[Ecoregion Original Value]])</f>
        <v/>
      </c>
    </row>
    <row r="190" spans="2:8" x14ac:dyDescent="0.25">
      <c r="B190" s="141" t="str">
        <f>Master[[#This Row],[Accession Prefix (NPGS)]]&amp;" "&amp;Master[[#This Row],[Accession Number -Assigned]]&amp;" COLLECTED "&amp;TEXT(Master[[#This Row],[Date Collected or Developed]], "MM/DD/YYYY")</f>
        <v xml:space="preserve">  COLLECTED 01/00/1900</v>
      </c>
      <c r="C190" s="141" t="str">
        <f t="shared" si="5"/>
        <v>ECOREGION</v>
      </c>
      <c r="D190" s="17" t="str">
        <f>IF(Master[[#This Row],[ECOREGION - Lookup picker]]="","",Master[[#This Row],[ECOREGION - Lookup picker]])</f>
        <v/>
      </c>
      <c r="E190" s="109"/>
      <c r="G190" s="76" t="str">
        <f>IF(Master[[#This Row],[ECOREGION - Lookup picker]]="","",Master[[#This Row],[ECOREGION - Lookup picker]])</f>
        <v/>
      </c>
      <c r="H190" s="141" t="str">
        <f>IF(Master[[#This Row],[Ecoregion Original Value]]="","",Master[[#This Row],[Ecoregion Original Value]])</f>
        <v/>
      </c>
    </row>
    <row r="191" spans="2:8" x14ac:dyDescent="0.25">
      <c r="B191" s="141" t="str">
        <f>Master[[#This Row],[Accession Prefix (NPGS)]]&amp;" "&amp;Master[[#This Row],[Accession Number -Assigned]]&amp;" COLLECTED "&amp;TEXT(Master[[#This Row],[Date Collected or Developed]], "MM/DD/YYYY")</f>
        <v xml:space="preserve">  COLLECTED 01/00/1900</v>
      </c>
      <c r="C191" s="141" t="str">
        <f t="shared" si="5"/>
        <v>ECOREGION</v>
      </c>
      <c r="D191" s="17" t="str">
        <f>IF(Master[[#This Row],[ECOREGION - Lookup picker]]="","",Master[[#This Row],[ECOREGION - Lookup picker]])</f>
        <v/>
      </c>
      <c r="E191" s="109"/>
      <c r="G191" s="76" t="str">
        <f>IF(Master[[#This Row],[ECOREGION - Lookup picker]]="","",Master[[#This Row],[ECOREGION - Lookup picker]])</f>
        <v/>
      </c>
      <c r="H191" s="141" t="str">
        <f>IF(Master[[#This Row],[Ecoregion Original Value]]="","",Master[[#This Row],[Ecoregion Original Value]])</f>
        <v/>
      </c>
    </row>
    <row r="192" spans="2:8" x14ac:dyDescent="0.25">
      <c r="B192" s="141" t="str">
        <f>Master[[#This Row],[Accession Prefix (NPGS)]]&amp;" "&amp;Master[[#This Row],[Accession Number -Assigned]]&amp;" COLLECTED "&amp;TEXT(Master[[#This Row],[Date Collected or Developed]], "MM/DD/YYYY")</f>
        <v xml:space="preserve">  COLLECTED 01/00/1900</v>
      </c>
      <c r="C192" s="141" t="str">
        <f t="shared" si="5"/>
        <v>ECOREGION</v>
      </c>
      <c r="D192" s="17" t="str">
        <f>IF(Master[[#This Row],[ECOREGION - Lookup picker]]="","",Master[[#This Row],[ECOREGION - Lookup picker]])</f>
        <v/>
      </c>
      <c r="E192" s="109"/>
      <c r="G192" s="76" t="str">
        <f>IF(Master[[#This Row],[ECOREGION - Lookup picker]]="","",Master[[#This Row],[ECOREGION - Lookup picker]])</f>
        <v/>
      </c>
      <c r="H192" s="141" t="str">
        <f>IF(Master[[#This Row],[Ecoregion Original Value]]="","",Master[[#This Row],[Ecoregion Original Value]])</f>
        <v/>
      </c>
    </row>
    <row r="193" spans="2:8" x14ac:dyDescent="0.25">
      <c r="B193" s="141" t="str">
        <f>Master[[#This Row],[Accession Prefix (NPGS)]]&amp;" "&amp;Master[[#This Row],[Accession Number -Assigned]]&amp;" COLLECTED "&amp;TEXT(Master[[#This Row],[Date Collected or Developed]], "MM/DD/YYYY")</f>
        <v xml:space="preserve">  COLLECTED 01/00/1900</v>
      </c>
      <c r="C193" s="141" t="str">
        <f t="shared" si="5"/>
        <v>ECOREGION</v>
      </c>
      <c r="D193" s="17" t="str">
        <f>IF(Master[[#This Row],[ECOREGION - Lookup picker]]="","",Master[[#This Row],[ECOREGION - Lookup picker]])</f>
        <v/>
      </c>
      <c r="E193" s="109"/>
      <c r="G193" s="76" t="str">
        <f>IF(Master[[#This Row],[ECOREGION - Lookup picker]]="","",Master[[#This Row],[ECOREGION - Lookup picker]])</f>
        <v/>
      </c>
      <c r="H193" s="141" t="str">
        <f>IF(Master[[#This Row],[Ecoregion Original Value]]="","",Master[[#This Row],[Ecoregion Original Value]])</f>
        <v/>
      </c>
    </row>
    <row r="194" spans="2:8" x14ac:dyDescent="0.25">
      <c r="B194" s="141" t="str">
        <f>Master[[#This Row],[Accession Prefix (NPGS)]]&amp;" "&amp;Master[[#This Row],[Accession Number -Assigned]]&amp;" COLLECTED "&amp;TEXT(Master[[#This Row],[Date Collected or Developed]], "MM/DD/YYYY")</f>
        <v xml:space="preserve">  COLLECTED 01/00/1900</v>
      </c>
      <c r="C194" s="141" t="str">
        <f t="shared" ref="C194:C201" si="6">"ECOREGION"</f>
        <v>ECOREGION</v>
      </c>
      <c r="D194" s="17" t="str">
        <f>IF(Master[[#This Row],[ECOREGION - Lookup picker]]="","",Master[[#This Row],[ECOREGION - Lookup picker]])</f>
        <v/>
      </c>
      <c r="E194" s="109"/>
      <c r="G194" s="76" t="str">
        <f>IF(Master[[#This Row],[ECOREGION - Lookup picker]]="","",Master[[#This Row],[ECOREGION - Lookup picker]])</f>
        <v/>
      </c>
      <c r="H194" s="141" t="str">
        <f>IF(Master[[#This Row],[Ecoregion Original Value]]="","",Master[[#This Row],[Ecoregion Original Value]])</f>
        <v/>
      </c>
    </row>
    <row r="195" spans="2:8" x14ac:dyDescent="0.25">
      <c r="B195" s="141" t="str">
        <f>Master[[#This Row],[Accession Prefix (NPGS)]]&amp;" "&amp;Master[[#This Row],[Accession Number -Assigned]]&amp;" COLLECTED "&amp;TEXT(Master[[#This Row],[Date Collected or Developed]], "MM/DD/YYYY")</f>
        <v xml:space="preserve">  COLLECTED 01/00/1900</v>
      </c>
      <c r="C195" s="141" t="str">
        <f t="shared" si="6"/>
        <v>ECOREGION</v>
      </c>
      <c r="D195" s="17" t="str">
        <f>IF(Master[[#This Row],[ECOREGION - Lookup picker]]="","",Master[[#This Row],[ECOREGION - Lookup picker]])</f>
        <v/>
      </c>
      <c r="E195" s="109"/>
      <c r="G195" s="76" t="str">
        <f>IF(Master[[#This Row],[ECOREGION - Lookup picker]]="","",Master[[#This Row],[ECOREGION - Lookup picker]])</f>
        <v/>
      </c>
      <c r="H195" s="141" t="str">
        <f>IF(Master[[#This Row],[Ecoregion Original Value]]="","",Master[[#This Row],[Ecoregion Original Value]])</f>
        <v/>
      </c>
    </row>
    <row r="196" spans="2:8" x14ac:dyDescent="0.25">
      <c r="B196" s="141" t="str">
        <f>Master[[#This Row],[Accession Prefix (NPGS)]]&amp;" "&amp;Master[[#This Row],[Accession Number -Assigned]]&amp;" COLLECTED "&amp;TEXT(Master[[#This Row],[Date Collected or Developed]], "MM/DD/YYYY")</f>
        <v xml:space="preserve">  COLLECTED 01/00/1900</v>
      </c>
      <c r="C196" s="141" t="str">
        <f t="shared" si="6"/>
        <v>ECOREGION</v>
      </c>
      <c r="D196" s="17" t="str">
        <f>IF(Master[[#This Row],[ECOREGION - Lookup picker]]="","",Master[[#This Row],[ECOREGION - Lookup picker]])</f>
        <v/>
      </c>
      <c r="E196" s="109"/>
      <c r="G196" s="76" t="str">
        <f>IF(Master[[#This Row],[ECOREGION - Lookup picker]]="","",Master[[#This Row],[ECOREGION - Lookup picker]])</f>
        <v/>
      </c>
      <c r="H196" s="141" t="str">
        <f>IF(Master[[#This Row],[Ecoregion Original Value]]="","",Master[[#This Row],[Ecoregion Original Value]])</f>
        <v/>
      </c>
    </row>
    <row r="197" spans="2:8" x14ac:dyDescent="0.25">
      <c r="B197" s="141" t="str">
        <f>Master[[#This Row],[Accession Prefix (NPGS)]]&amp;" "&amp;Master[[#This Row],[Accession Number -Assigned]]&amp;" COLLECTED "&amp;TEXT(Master[[#This Row],[Date Collected or Developed]], "MM/DD/YYYY")</f>
        <v xml:space="preserve">  COLLECTED 01/00/1900</v>
      </c>
      <c r="C197" s="141" t="str">
        <f t="shared" si="6"/>
        <v>ECOREGION</v>
      </c>
      <c r="D197" s="17" t="str">
        <f>IF(Master[[#This Row],[ECOREGION - Lookup picker]]="","",Master[[#This Row],[ECOREGION - Lookup picker]])</f>
        <v/>
      </c>
      <c r="E197" s="109"/>
      <c r="G197" s="76" t="str">
        <f>IF(Master[[#This Row],[ECOREGION - Lookup picker]]="","",Master[[#This Row],[ECOREGION - Lookup picker]])</f>
        <v/>
      </c>
      <c r="H197" s="141" t="str">
        <f>IF(Master[[#This Row],[Ecoregion Original Value]]="","",Master[[#This Row],[Ecoregion Original Value]])</f>
        <v/>
      </c>
    </row>
    <row r="198" spans="2:8" x14ac:dyDescent="0.25">
      <c r="B198" s="141" t="str">
        <f>Master[[#This Row],[Accession Prefix (NPGS)]]&amp;" "&amp;Master[[#This Row],[Accession Number -Assigned]]&amp;" COLLECTED "&amp;TEXT(Master[[#This Row],[Date Collected or Developed]], "MM/DD/YYYY")</f>
        <v xml:space="preserve">  COLLECTED 01/00/1900</v>
      </c>
      <c r="C198" s="141" t="str">
        <f t="shared" si="6"/>
        <v>ECOREGION</v>
      </c>
      <c r="D198" s="17" t="str">
        <f>IF(Master[[#This Row],[ECOREGION - Lookup picker]]="","",Master[[#This Row],[ECOREGION - Lookup picker]])</f>
        <v/>
      </c>
      <c r="E198" s="109"/>
      <c r="G198" s="76" t="str">
        <f>IF(Master[[#This Row],[ECOREGION - Lookup picker]]="","",Master[[#This Row],[ECOREGION - Lookup picker]])</f>
        <v/>
      </c>
      <c r="H198" s="141" t="str">
        <f>IF(Master[[#This Row],[Ecoregion Original Value]]="","",Master[[#This Row],[Ecoregion Original Value]])</f>
        <v/>
      </c>
    </row>
    <row r="199" spans="2:8" x14ac:dyDescent="0.25">
      <c r="B199" s="141" t="str">
        <f>Master[[#This Row],[Accession Prefix (NPGS)]]&amp;" "&amp;Master[[#This Row],[Accession Number -Assigned]]&amp;" COLLECTED "&amp;TEXT(Master[[#This Row],[Date Collected or Developed]], "MM/DD/YYYY")</f>
        <v xml:space="preserve">  COLLECTED 01/00/1900</v>
      </c>
      <c r="C199" s="141" t="str">
        <f t="shared" si="6"/>
        <v>ECOREGION</v>
      </c>
      <c r="D199" s="17" t="str">
        <f>IF(Master[[#This Row],[ECOREGION - Lookup picker]]="","",Master[[#This Row],[ECOREGION - Lookup picker]])</f>
        <v/>
      </c>
      <c r="E199" s="109"/>
      <c r="G199" s="76" t="str">
        <f>IF(Master[[#This Row],[ECOREGION - Lookup picker]]="","",Master[[#This Row],[ECOREGION - Lookup picker]])</f>
        <v/>
      </c>
      <c r="H199" s="141" t="str">
        <f>IF(Master[[#This Row],[Ecoregion Original Value]]="","",Master[[#This Row],[Ecoregion Original Value]])</f>
        <v/>
      </c>
    </row>
    <row r="200" spans="2:8" x14ac:dyDescent="0.25">
      <c r="B200" s="141" t="str">
        <f>Master[[#This Row],[Accession Prefix (NPGS)]]&amp;" "&amp;Master[[#This Row],[Accession Number -Assigned]]&amp;" COLLECTED "&amp;TEXT(Master[[#This Row],[Date Collected or Developed]], "MM/DD/YYYY")</f>
        <v xml:space="preserve">  COLLECTED 01/00/1900</v>
      </c>
      <c r="C200" s="141" t="str">
        <f t="shared" si="6"/>
        <v>ECOREGION</v>
      </c>
      <c r="D200" s="17" t="str">
        <f>IF(Master[[#This Row],[ECOREGION - Lookup picker]]="","",Master[[#This Row],[ECOREGION - Lookup picker]])</f>
        <v/>
      </c>
      <c r="E200" s="109"/>
      <c r="G200" s="76" t="str">
        <f>IF(Master[[#This Row],[ECOREGION - Lookup picker]]="","",Master[[#This Row],[ECOREGION - Lookup picker]])</f>
        <v/>
      </c>
      <c r="H200" s="141" t="str">
        <f>IF(Master[[#This Row],[Ecoregion Original Value]]="","",Master[[#This Row],[Ecoregion Original Value]])</f>
        <v/>
      </c>
    </row>
    <row r="201" spans="2:8" x14ac:dyDescent="0.25">
      <c r="B201" s="141" t="str">
        <f>Master[[#This Row],[Accession Prefix (NPGS)]]&amp;" "&amp;Master[[#This Row],[Accession Number -Assigned]]&amp;" COLLECTED "&amp;TEXT(Master[[#This Row],[Date Collected or Developed]], "MM/DD/YYYY")</f>
        <v xml:space="preserve">  COLLECTED 01/00/1900</v>
      </c>
      <c r="C201" s="141" t="str">
        <f t="shared" si="6"/>
        <v>ECOREGION</v>
      </c>
      <c r="D201" s="17" t="str">
        <f>IF(Master[[#This Row],[ECOREGION - Lookup picker]]="","",Master[[#This Row],[ECOREGION - Lookup picker]])</f>
        <v/>
      </c>
      <c r="E201" s="109"/>
      <c r="G201" s="76" t="str">
        <f>IF(Master[[#This Row],[ECOREGION - Lookup picker]]="","",Master[[#This Row],[ECOREGION - Lookup picker]])</f>
        <v/>
      </c>
      <c r="H201" s="141" t="str">
        <f>IF(Master[[#This Row],[Ecoregion Original Value]]="","",Master[[#This Row],[Ecoregion Original Value]])</f>
        <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1"/>
  </sheetPr>
  <dimension ref="A1:D9"/>
  <sheetViews>
    <sheetView workbookViewId="0">
      <selection activeCell="B16" sqref="B16"/>
    </sheetView>
  </sheetViews>
  <sheetFormatPr defaultColWidth="9.140625" defaultRowHeight="15" x14ac:dyDescent="0.25"/>
  <cols>
    <col min="1" max="1" width="12.7109375" style="82" customWidth="1"/>
    <col min="2" max="2" width="50.7109375" style="66" customWidth="1"/>
    <col min="3" max="3" width="58.140625" style="66" customWidth="1"/>
    <col min="4" max="4" width="48.85546875" style="66" customWidth="1"/>
    <col min="5" max="16384" width="9.140625" style="66"/>
  </cols>
  <sheetData>
    <row r="1" spans="1:4" ht="40.5" customHeight="1" x14ac:dyDescent="0.25">
      <c r="A1" s="82" t="s">
        <v>233</v>
      </c>
      <c r="B1" s="66" t="s">
        <v>235</v>
      </c>
      <c r="C1" s="66" t="s">
        <v>237</v>
      </c>
      <c r="D1" s="66" t="s">
        <v>240</v>
      </c>
    </row>
    <row r="2" spans="1:4" ht="45" customHeight="1" x14ac:dyDescent="0.25">
      <c r="A2" s="82">
        <v>1</v>
      </c>
      <c r="B2" s="66" t="s">
        <v>238</v>
      </c>
    </row>
    <row r="3" spans="1:4" ht="75" x14ac:dyDescent="0.25">
      <c r="A3" s="82">
        <v>2</v>
      </c>
      <c r="B3" s="66" t="s">
        <v>234</v>
      </c>
      <c r="C3" s="66" t="s">
        <v>341</v>
      </c>
    </row>
    <row r="4" spans="1:4" ht="42.75" customHeight="1" x14ac:dyDescent="0.25">
      <c r="A4" s="82">
        <v>3</v>
      </c>
      <c r="B4" s="66" t="s">
        <v>236</v>
      </c>
      <c r="C4" s="66" t="s">
        <v>239</v>
      </c>
    </row>
    <row r="5" spans="1:4" ht="30" x14ac:dyDescent="0.25">
      <c r="A5" s="82">
        <v>4</v>
      </c>
      <c r="B5" s="66" t="s">
        <v>337</v>
      </c>
      <c r="C5" s="66" t="s">
        <v>336</v>
      </c>
    </row>
    <row r="6" spans="1:4" ht="30" x14ac:dyDescent="0.25">
      <c r="A6" s="82">
        <v>5</v>
      </c>
      <c r="B6" s="66" t="s">
        <v>338</v>
      </c>
      <c r="C6" s="66" t="s">
        <v>339</v>
      </c>
      <c r="D6" s="66" t="s">
        <v>568</v>
      </c>
    </row>
    <row r="7" spans="1:4" ht="31.5" customHeight="1" x14ac:dyDescent="0.25">
      <c r="A7" s="82">
        <v>6</v>
      </c>
      <c r="B7" s="66" t="s">
        <v>559</v>
      </c>
      <c r="C7" s="66" t="s">
        <v>561</v>
      </c>
      <c r="D7" s="66" t="s">
        <v>560</v>
      </c>
    </row>
    <row r="8" spans="1:4" ht="30" x14ac:dyDescent="0.25">
      <c r="A8" s="82">
        <v>7</v>
      </c>
      <c r="B8" s="66" t="s">
        <v>340</v>
      </c>
      <c r="C8" s="66" t="s">
        <v>524</v>
      </c>
    </row>
    <row r="9" spans="1:4" ht="30" x14ac:dyDescent="0.25">
      <c r="A9" s="82">
        <v>8</v>
      </c>
      <c r="B9" s="66" t="s">
        <v>342</v>
      </c>
      <c r="C9" s="66" t="s">
        <v>343</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pageSetUpPr fitToPage="1"/>
  </sheetPr>
  <dimension ref="A1:M201"/>
  <sheetViews>
    <sheetView view="pageLayout" zoomScaleNormal="100" workbookViewId="0"/>
  </sheetViews>
  <sheetFormatPr defaultColWidth="9.140625" defaultRowHeight="15" x14ac:dyDescent="0.25"/>
  <cols>
    <col min="1" max="1" width="3.85546875" style="66" customWidth="1"/>
    <col min="2" max="2" width="10.140625" style="66" customWidth="1"/>
    <col min="3" max="3" width="10.5703125" style="66" customWidth="1"/>
    <col min="4" max="4" width="14.85546875" style="82" customWidth="1"/>
    <col min="5" max="5" width="10.85546875" style="87" customWidth="1"/>
    <col min="6" max="6" width="11.5703125" style="66" customWidth="1"/>
    <col min="7" max="7" width="14.28515625" style="66" customWidth="1"/>
    <col min="8" max="8" width="10.28515625" style="66" customWidth="1"/>
    <col min="9" max="9" width="11" style="66" customWidth="1"/>
    <col min="10" max="10" width="12" style="88" customWidth="1"/>
    <col min="11" max="11" width="12.42578125" style="88" customWidth="1"/>
    <col min="12" max="12" width="12" style="66" customWidth="1"/>
    <col min="13" max="13" width="9" style="66" customWidth="1"/>
    <col min="14" max="16384" width="9.140625" style="66"/>
  </cols>
  <sheetData>
    <row r="1" spans="1:13" s="82" customFormat="1" ht="60" x14ac:dyDescent="0.25">
      <c r="A1" s="82" t="s">
        <v>439</v>
      </c>
      <c r="B1" s="82" t="s">
        <v>10</v>
      </c>
      <c r="C1" s="87" t="s">
        <v>31</v>
      </c>
      <c r="D1" s="82" t="s">
        <v>567</v>
      </c>
      <c r="E1" s="87" t="s">
        <v>546</v>
      </c>
      <c r="F1" s="87" t="s">
        <v>229</v>
      </c>
      <c r="G1" s="82" t="s">
        <v>230</v>
      </c>
      <c r="H1" s="82" t="s">
        <v>14</v>
      </c>
      <c r="I1" s="82" t="s">
        <v>335</v>
      </c>
      <c r="J1" s="82" t="s">
        <v>231</v>
      </c>
      <c r="K1" s="88" t="s">
        <v>27</v>
      </c>
      <c r="L1" s="88" t="s">
        <v>28</v>
      </c>
      <c r="M1" s="82" t="s">
        <v>232</v>
      </c>
    </row>
    <row r="2" spans="1:13" ht="150" hidden="1" x14ac:dyDescent="0.25">
      <c r="A2" s="89">
        <f t="shared" ref="A2:A33" si="0">ROW()-2</f>
        <v>0</v>
      </c>
      <c r="B2" s="66" t="str">
        <f>Master[[#This Row],[Accession Prefix (NPGS)]]&amp;" "&amp;Master[[#This Row],[Accession Number -Assigned]]</f>
        <v>W6 57036</v>
      </c>
      <c r="C2" s="90" t="str">
        <f>Master[[#This Row],[Inventory Prefix]]&amp;" "&amp;Master[[#This Row],[Inventory Number]]&amp;" "&amp;Master[[#This Row],[Inventory Suffix]]&amp;" "&amp;Master[[#This Row],[Inventory Type - Lookup Picker]]</f>
        <v>W6 57036 2019o SD</v>
      </c>
      <c r="D2" s="66" t="str">
        <f>IF(Master[[#This Row],[Accession Name (Identifier 1)]]="","",Master[[#This Row],[Accession Name (Identifier 1)]])</f>
        <v>W6 57036</v>
      </c>
      <c r="E2" s="87">
        <f>IF(Master[[#This Row],[Date Collected or Developed]]="","",Master[[#This Row],[Date Collected or Developed]])</f>
        <v>43290</v>
      </c>
      <c r="F2" s="87">
        <f>IF(Master[[#This Row],[Received Date -received by site]]="","",Master[[#This Row],[Received Date -received by site]])</f>
        <v>43734</v>
      </c>
      <c r="G2" s="66" t="str">
        <f>IF(Master[[#This Row],[Taxon -Lookup Picker in GRIN]]="","",Master[[#This Row],[Taxon -Lookup Picker in GRIN]])</f>
        <v>Linum kingii</v>
      </c>
      <c r="H2" s="66" t="str">
        <f>IF(Master[[#This Row],[Inventory Maintenance Policy]]="","",Master[[#This Row],[Inventory Maintenance Policy]])</f>
        <v>w6_native</v>
      </c>
      <c r="I2" s="66" t="str">
        <f>IF(Master[[#This Row],[Geography (Collection) -Lookup Picker in GRIN]]="",#REF!,Master[[#This Row],[Geography (Collection) -Lookup Picker in GRIN]])</f>
        <v>United States, Wyoming, Fremont</v>
      </c>
      <c r="J2" s="66" t="str">
        <f>IF(Master[[#This Row],[Collector Verbatim Locality]]="","",Master[[#This Row],[Collector Verbatim Locality]])</f>
        <v>Comandra umbellata:Psoralidium lanceolatum:Yermo xanthocephalus:Astragalus spatulatus:Draba sp.</v>
      </c>
      <c r="K2" s="91">
        <f>IF(Master[[#This Row],[Latitude -decimal degrees]]="","",Master[[#This Row],[Latitude -decimal degrees]])</f>
        <v>42.686169999999997</v>
      </c>
      <c r="L2" s="91">
        <f>IF(Master[[#This Row],[Longitude -decimal degrees]]="","",Master[[#This Row],[Longitude -decimal degrees]])</f>
        <v>-108.12833999999999</v>
      </c>
      <c r="M2" s="66" t="str">
        <f>IF(Master[[#This Row],[Cooperator (Donor) 1 -full record]]="","",Master[[#This Row],[Cooperator (Donor) 1 -full record]])</f>
        <v>United States Forest Service (Bend)</v>
      </c>
    </row>
    <row r="3" spans="1:13" ht="45" x14ac:dyDescent="0.25">
      <c r="A3" s="89">
        <f t="shared" si="0"/>
        <v>1</v>
      </c>
      <c r="B3" s="66" t="str">
        <f>Master[[#This Row],[Accession Prefix (NPGS)]]&amp;" "&amp;Master[[#This Row],[Accession Number -Assigned]]</f>
        <v xml:space="preserve">W6 </v>
      </c>
      <c r="C3" s="66" t="str">
        <f>Master[[#This Row],[Inventory Prefix]]&amp;" "&amp;Master[[#This Row],[Inventory Number]]&amp;" "&amp;Master[[#This Row],[Inventory Suffix]]&amp;" "&amp;Master[[#This Row],[Inventory Type - Lookup Picker]]</f>
        <v>W6   SD</v>
      </c>
      <c r="D3" s="66" t="str">
        <f>IF(Master[[#This Row],[Accession Name (Identifier 1)]]="","",Master[[#This Row],[Accession Name (Identifier 1)]])</f>
        <v/>
      </c>
      <c r="E3" s="87" t="str">
        <f>IF(Master[[#This Row],[Date Collected or Developed]]="","",Master[[#This Row],[Date Collected or Developed]])</f>
        <v>COLL_DT</v>
      </c>
      <c r="F3" s="87" t="str">
        <f>IF(Master[[#This Row],[Received Date -received by site]]="","",Master[[#This Row],[Received Date -received by site]])</f>
        <v/>
      </c>
      <c r="G3" s="66" t="str">
        <f>IF(Master[[#This Row],[Taxon -Lookup Picker in GRIN]]="","",Master[[#This Row],[Taxon -Lookup Picker in GRIN]])</f>
        <v>NAME</v>
      </c>
      <c r="H3" s="66" t="str">
        <f>IF(Master[[#This Row],[Inventory Maintenance Policy]]="","",Master[[#This Row],[Inventory Maintenance Policy]])</f>
        <v>w6_native</v>
      </c>
      <c r="I3" s="66" t="str">
        <f>IF(Master[[#This Row],[Geography (Collection) -Lookup Picker in GRIN]]="",#REF!,Master[[#This Row],[Geography (Collection) -Lookup Picker in GRIN]])</f>
        <v>COUNTRY/SUB_CNT1/SUB_CNT2</v>
      </c>
      <c r="J3" s="66" t="str">
        <f>IF(Master[[#This Row],[Collector Verbatim Locality]]="","",Master[[#This Row],[Collector Verbatim Locality]])</f>
        <v>SUB_CNT3/GEOG_AREA/LOCALITY</v>
      </c>
      <c r="K3" s="91" t="str">
        <f>IF(Master[[#This Row],[Latitude -decimal degrees]]="","",Master[[#This Row],[Latitude -decimal degrees]])</f>
        <v>LATITUDE_DECIMAL</v>
      </c>
      <c r="L3" s="91" t="str">
        <f>IF(Master[[#This Row],[Longitude -decimal degrees]]="","",Master[[#This Row],[Longitude -decimal degrees]])</f>
        <v>LONGITUDE_DECIMAL</v>
      </c>
      <c r="M3" s="66" t="str">
        <f>IF(Master[[#This Row],[Cooperator (Donor) 1 -full record]]="","",Master[[#This Row],[Cooperator (Donor) 1 -full record]])</f>
        <v/>
      </c>
    </row>
    <row r="4" spans="1:13" ht="300" x14ac:dyDescent="0.25">
      <c r="A4" s="89">
        <f t="shared" si="0"/>
        <v>2</v>
      </c>
      <c r="B4" s="66" t="str">
        <f>Master[[#This Row],[Accession Prefix (NPGS)]]&amp;" "&amp;Master[[#This Row],[Accession Number -Assigned]]</f>
        <v>W6 59590</v>
      </c>
      <c r="C4" s="66" t="str">
        <f>Master[[#This Row],[Inventory Prefix]]&amp;" "&amp;Master[[#This Row],[Inventory Number]]&amp;" "&amp;Master[[#This Row],[Inventory Suffix]]&amp;" "&amp;Master[[#This Row],[Inventory Type - Lookup Picker]]</f>
        <v>W6   SD</v>
      </c>
      <c r="D4" s="66" t="str">
        <f>IF(Master[[#This Row],[Accession Name (Identifier 1)]]="","",Master[[#This Row],[Accession Name (Identifier 1)]])</f>
        <v/>
      </c>
      <c r="E4" s="87">
        <f>IF(Master[[#This Row],[Date Collected or Developed]]="","",Master[[#This Row],[Date Collected or Developed]])</f>
        <v>44013</v>
      </c>
      <c r="F4" s="87">
        <f>IF(Master[[#This Row],[Received Date -received by site]]="","",Master[[#This Row],[Received Date -received by site]])</f>
        <v>44466</v>
      </c>
      <c r="G4" s="66" t="str">
        <f>IF(Master[[#This Row],[Taxon -Lookup Picker in GRIN]]="","",Master[[#This Row],[Taxon -Lookup Picker in GRIN]])</f>
        <v>Packera multilobata</v>
      </c>
      <c r="H4" s="66" t="str">
        <f>IF(Master[[#This Row],[Inventory Maintenance Policy]]="","",Master[[#This Row],[Inventory Maintenance Policy]])</f>
        <v>w6_native</v>
      </c>
      <c r="I4" s="66" t="str">
        <f>IF(Master[[#This Row],[Geography (Collection) -Lookup Picker in GRIN]]="",#REF!,Master[[#This Row],[Geography (Collection) -Lookup Picker in GRIN]])</f>
        <v>United States, Colorado, Grand</v>
      </c>
      <c r="J4" s="66" t="str">
        <f>IF(Master[[#This Row],[Collector Verbatim Locality]]="","",Master[[#This Row],[Collector Verbatim Locality]])</f>
        <v>BLM Area/ Dirt Road/ From Kremmling head east on Park Ave, turn left/north on 22nd St, continue on CO HWY 22 for 2.5 miles, turn left/west on dirt road about .25 miles, collected on both sides of the road</v>
      </c>
      <c r="K4" s="91">
        <f>IF(Master[[#This Row],[Latitude -decimal degrees]]="","",Master[[#This Row],[Latitude -decimal degrees]])</f>
        <v>40.097479999999997</v>
      </c>
      <c r="L4" s="91">
        <f>IF(Master[[#This Row],[Longitude -decimal degrees]]="","",Master[[#This Row],[Longitude -decimal degrees]])</f>
        <v>-106.33926</v>
      </c>
      <c r="M4" s="66" t="str">
        <f>IF(Master[[#This Row],[Cooperator (Donor) 1 -full record]]="","",Master[[#This Row],[Cooperator (Donor) 1 -full record]])</f>
        <v>Bureau of Land Management, SOS project</v>
      </c>
    </row>
    <row r="5" spans="1:13" ht="270" x14ac:dyDescent="0.25">
      <c r="A5" s="89">
        <f t="shared" si="0"/>
        <v>3</v>
      </c>
      <c r="B5" s="66" t="str">
        <f>Master[[#This Row],[Accession Prefix (NPGS)]]&amp;" "&amp;Master[[#This Row],[Accession Number -Assigned]]</f>
        <v>W6 59591</v>
      </c>
      <c r="C5" s="66" t="str">
        <f>Master[[#This Row],[Inventory Prefix]]&amp;" "&amp;Master[[#This Row],[Inventory Number]]&amp;" "&amp;Master[[#This Row],[Inventory Suffix]]&amp;" "&amp;Master[[#This Row],[Inventory Type - Lookup Picker]]</f>
        <v>W6   SD</v>
      </c>
      <c r="D5" s="66" t="str">
        <f>IF(Master[[#This Row],[Accession Name (Identifier 1)]]="","",Master[[#This Row],[Accession Name (Identifier 1)]])</f>
        <v/>
      </c>
      <c r="E5" s="87">
        <f>IF(Master[[#This Row],[Date Collected or Developed]]="","",Master[[#This Row],[Date Collected or Developed]])</f>
        <v>44026</v>
      </c>
      <c r="F5" s="87">
        <f>IF(Master[[#This Row],[Received Date -received by site]]="","",Master[[#This Row],[Received Date -received by site]])</f>
        <v>44466</v>
      </c>
      <c r="G5" s="66" t="str">
        <f>IF(Master[[#This Row],[Taxon -Lookup Picker in GRIN]]="","",Master[[#This Row],[Taxon -Lookup Picker in GRIN]])</f>
        <v>Penstemon osterhoutii</v>
      </c>
      <c r="H5" s="66" t="str">
        <f>IF(Master[[#This Row],[Inventory Maintenance Policy]]="","",Master[[#This Row],[Inventory Maintenance Policy]])</f>
        <v>w6_native</v>
      </c>
      <c r="I5" s="66" t="str">
        <f>IF(Master[[#This Row],[Geography (Collection) -Lookup Picker in GRIN]]="",#REF!,Master[[#This Row],[Geography (Collection) -Lookup Picker in GRIN]])</f>
        <v>United States, Colorado, Eagle</v>
      </c>
      <c r="J5" s="66" t="str">
        <f>IF(Master[[#This Row],[Collector Verbatim Locality]]="","",Master[[#This Row],[Collector Verbatim Locality]])</f>
        <v>BLM Area/ CO HWY 11/ Take CO Rd 1/Trough Rd, Turn right/west onto CO HWY 11 just past Radium River Access, stay on CO HWY 11 for about .5 miles, collection on both sides of road</v>
      </c>
      <c r="K5" s="91">
        <f>IF(Master[[#This Row],[Latitude -decimal degrees]]="","",Master[[#This Row],[Latitude -decimal degrees]])</f>
        <v>39.95758</v>
      </c>
      <c r="L5" s="91">
        <f>IF(Master[[#This Row],[Longitude -decimal degrees]]="","",Master[[#This Row],[Longitude -decimal degrees]])</f>
        <v>-106.55204999999999</v>
      </c>
      <c r="M5" s="66" t="str">
        <f>IF(Master[[#This Row],[Cooperator (Donor) 1 -full record]]="","",Master[[#This Row],[Cooperator (Donor) 1 -full record]])</f>
        <v>Bureau of Land Management, SOS project</v>
      </c>
    </row>
    <row r="6" spans="1:13" ht="409.5" x14ac:dyDescent="0.25">
      <c r="A6" s="89">
        <f t="shared" si="0"/>
        <v>4</v>
      </c>
      <c r="B6" s="66" t="str">
        <f>Master[[#This Row],[Accession Prefix (NPGS)]]&amp;" "&amp;Master[[#This Row],[Accession Number -Assigned]]</f>
        <v>W6 59592</v>
      </c>
      <c r="C6" s="66" t="str">
        <f>Master[[#This Row],[Inventory Prefix]]&amp;" "&amp;Master[[#This Row],[Inventory Number]]&amp;" "&amp;Master[[#This Row],[Inventory Suffix]]&amp;" "&amp;Master[[#This Row],[Inventory Type - Lookup Picker]]</f>
        <v>W6   SD</v>
      </c>
      <c r="D6" s="66" t="str">
        <f>IF(Master[[#This Row],[Accession Name (Identifier 1)]]="","",Master[[#This Row],[Accession Name (Identifier 1)]])</f>
        <v/>
      </c>
      <c r="E6" s="87">
        <f>IF(Master[[#This Row],[Date Collected or Developed]]="","",Master[[#This Row],[Date Collected or Developed]])</f>
        <v>44041</v>
      </c>
      <c r="F6" s="87">
        <f>IF(Master[[#This Row],[Received Date -received by site]]="","",Master[[#This Row],[Received Date -received by site]])</f>
        <v>44466</v>
      </c>
      <c r="G6" s="66" t="str">
        <f>IF(Master[[#This Row],[Taxon -Lookup Picker in GRIN]]="","",Master[[#This Row],[Taxon -Lookup Picker in GRIN]])</f>
        <v>Orthocarpus luteus</v>
      </c>
      <c r="H6" s="66" t="str">
        <f>IF(Master[[#This Row],[Inventory Maintenance Policy]]="","",Master[[#This Row],[Inventory Maintenance Policy]])</f>
        <v>w6_native</v>
      </c>
      <c r="I6" s="66" t="str">
        <f>IF(Master[[#This Row],[Geography (Collection) -Lookup Picker in GRIN]]="",#REF!,Master[[#This Row],[Geography (Collection) -Lookup Picker in GRIN]])</f>
        <v>United States, Colorado, Jackson</v>
      </c>
      <c r="J6" s="66" t="str">
        <f>IF(Master[[#This Row],[Collector Verbatim Locality]]="","",Master[[#This Row],[Collector Verbatim Locality]])</f>
        <v>BLM area/ dirt two-track/ Going northeast on CO-14, turn southwest on 24 to Coalmont. Follow 24 for 7.2 miles and turn north on 5, take 5 for 0.7 miles on 5E. Take two-track northwest through shrubland. Follow two-tack for 0.16 miles. Population is on north and south sides of road.</v>
      </c>
      <c r="K6" s="91">
        <f>IF(Master[[#This Row],[Latitude -decimal degrees]]="","",Master[[#This Row],[Latitude -decimal degrees]])</f>
        <v>40.586970000000001</v>
      </c>
      <c r="L6" s="91">
        <f>IF(Master[[#This Row],[Longitude -decimal degrees]]="","",Master[[#This Row],[Longitude -decimal degrees]])</f>
        <v>-106.54463</v>
      </c>
      <c r="M6" s="66" t="str">
        <f>IF(Master[[#This Row],[Cooperator (Donor) 1 -full record]]="","",Master[[#This Row],[Cooperator (Donor) 1 -full record]])</f>
        <v>Bureau of Land Management, SOS project</v>
      </c>
    </row>
    <row r="7" spans="1:13" ht="405" x14ac:dyDescent="0.25">
      <c r="A7" s="89">
        <f t="shared" si="0"/>
        <v>5</v>
      </c>
      <c r="B7" s="66" t="str">
        <f>Master[[#This Row],[Accession Prefix (NPGS)]]&amp;" "&amp;Master[[#This Row],[Accession Number -Assigned]]</f>
        <v>W6 59593</v>
      </c>
      <c r="C7" s="66" t="str">
        <f>Master[[#This Row],[Inventory Prefix]]&amp;" "&amp;Master[[#This Row],[Inventory Number]]&amp;" "&amp;Master[[#This Row],[Inventory Suffix]]&amp;" "&amp;Master[[#This Row],[Inventory Type - Lookup Picker]]</f>
        <v>W6   SD</v>
      </c>
      <c r="D7" s="66" t="str">
        <f>IF(Master[[#This Row],[Accession Name (Identifier 1)]]="","",Master[[#This Row],[Accession Name (Identifier 1)]])</f>
        <v/>
      </c>
      <c r="E7" s="87">
        <f>IF(Master[[#This Row],[Date Collected or Developed]]="","",Master[[#This Row],[Date Collected or Developed]])</f>
        <v>44047</v>
      </c>
      <c r="F7" s="87">
        <f>IF(Master[[#This Row],[Received Date -received by site]]="","",Master[[#This Row],[Received Date -received by site]])</f>
        <v>44466</v>
      </c>
      <c r="G7" s="66" t="str">
        <f>IF(Master[[#This Row],[Taxon -Lookup Picker in GRIN]]="","",Master[[#This Row],[Taxon -Lookup Picker in GRIN]])</f>
        <v>Purshia tridentata</v>
      </c>
      <c r="H7" s="66" t="str">
        <f>IF(Master[[#This Row],[Inventory Maintenance Policy]]="","",Master[[#This Row],[Inventory Maintenance Policy]])</f>
        <v>w6_native</v>
      </c>
      <c r="I7" s="66" t="str">
        <f>IF(Master[[#This Row],[Geography (Collection) -Lookup Picker in GRIN]]="",#REF!,Master[[#This Row],[Geography (Collection) -Lookup Picker in GRIN]])</f>
        <v>United States, Colorado, Grand</v>
      </c>
      <c r="J7" s="66" t="str">
        <f>IF(Master[[#This Row],[Collector Verbatim Locality]]="","",Master[[#This Row],[Collector Verbatim Locality]])</f>
        <v>BLM area/ Dirt road/trail/ From Kremmling turn south on 6th st/HWY 9, follow for 2.3 miles to CO HWY 1/Trough Rd, turn west, follow for 7.4 miles to dirt road pull off on north side of road, park and walk road about 500 ft north west, population on both sides of road</v>
      </c>
      <c r="K7" s="91">
        <f>IF(Master[[#This Row],[Latitude -decimal degrees]]="","",Master[[#This Row],[Latitude -decimal degrees]])</f>
        <v>39.995480000000001</v>
      </c>
      <c r="L7" s="91">
        <f>IF(Master[[#This Row],[Longitude -decimal degrees]]="","",Master[[#This Row],[Longitude -decimal degrees]])</f>
        <v>-106.47521999999999</v>
      </c>
      <c r="M7" s="66" t="str">
        <f>IF(Master[[#This Row],[Cooperator (Donor) 1 -full record]]="","",Master[[#This Row],[Cooperator (Donor) 1 -full record]])</f>
        <v>Bureau of Land Management, SOS project</v>
      </c>
    </row>
    <row r="8" spans="1:13" ht="409.5" x14ac:dyDescent="0.25">
      <c r="A8" s="89">
        <f t="shared" si="0"/>
        <v>6</v>
      </c>
      <c r="B8" s="66" t="str">
        <f>Master[[#This Row],[Accession Prefix (NPGS)]]&amp;" "&amp;Master[[#This Row],[Accession Number -Assigned]]</f>
        <v>W6 59594</v>
      </c>
      <c r="C8" s="66" t="str">
        <f>Master[[#This Row],[Inventory Prefix]]&amp;" "&amp;Master[[#This Row],[Inventory Number]]&amp;" "&amp;Master[[#This Row],[Inventory Suffix]]&amp;" "&amp;Master[[#This Row],[Inventory Type - Lookup Picker]]</f>
        <v>W6   SD</v>
      </c>
      <c r="D8" s="66" t="str">
        <f>IF(Master[[#This Row],[Accession Name (Identifier 1)]]="","",Master[[#This Row],[Accession Name (Identifier 1)]])</f>
        <v/>
      </c>
      <c r="E8" s="87">
        <f>IF(Master[[#This Row],[Date Collected or Developed]]="","",Master[[#This Row],[Date Collected or Developed]])</f>
        <v>44053</v>
      </c>
      <c r="F8" s="87">
        <f>IF(Master[[#This Row],[Received Date -received by site]]="","",Master[[#This Row],[Received Date -received by site]])</f>
        <v>44466</v>
      </c>
      <c r="G8" s="66" t="str">
        <f>IF(Master[[#This Row],[Taxon -Lookup Picker in GRIN]]="","",Master[[#This Row],[Taxon -Lookup Picker in GRIN]])</f>
        <v>Pascopyrum smithii</v>
      </c>
      <c r="H8" s="66" t="str">
        <f>IF(Master[[#This Row],[Inventory Maintenance Policy]]="","",Master[[#This Row],[Inventory Maintenance Policy]])</f>
        <v>w6_native</v>
      </c>
      <c r="I8" s="66" t="str">
        <f>IF(Master[[#This Row],[Geography (Collection) -Lookup Picker in GRIN]]="",#REF!,Master[[#This Row],[Geography (Collection) -Lookup Picker in GRIN]])</f>
        <v>United States, Colorado, Routt</v>
      </c>
      <c r="J8" s="66" t="str">
        <f>IF(Master[[#This Row],[Collector Verbatim Locality]]="","",Master[[#This Row],[Collector Verbatim Locality]])</f>
        <v>BLM Area/ Ridge Trail/ From Steamboat Springs take US-40W/S Lincoln Ave north, turn left/northwest onto 13th St, continue onto CO Rd 33, turn left/south onto CO Rd 45, for .9 miles to Emerald Mountain, park in the lot and walk up the multi-use trail, species is in lot and follows trails.</v>
      </c>
      <c r="K8" s="91">
        <f>IF(Master[[#This Row],[Latitude -decimal degrees]]="","",Master[[#This Row],[Latitude -decimal degrees]])</f>
        <v>40.454599999999999</v>
      </c>
      <c r="L8" s="91">
        <f>IF(Master[[#This Row],[Longitude -decimal degrees]]="","",Master[[#This Row],[Longitude -decimal degrees]])</f>
        <v>-106.91726</v>
      </c>
      <c r="M8" s="66" t="str">
        <f>IF(Master[[#This Row],[Cooperator (Donor) 1 -full record]]="","",Master[[#This Row],[Cooperator (Donor) 1 -full record]])</f>
        <v>Bureau of Land Management, SOS project</v>
      </c>
    </row>
    <row r="9" spans="1:13" ht="409.5" x14ac:dyDescent="0.25">
      <c r="A9" s="89">
        <f t="shared" si="0"/>
        <v>7</v>
      </c>
      <c r="B9" s="66" t="str">
        <f>Master[[#This Row],[Accession Prefix (NPGS)]]&amp;" "&amp;Master[[#This Row],[Accession Number -Assigned]]</f>
        <v>W6 59595</v>
      </c>
      <c r="C9" s="66" t="str">
        <f>Master[[#This Row],[Inventory Prefix]]&amp;" "&amp;Master[[#This Row],[Inventory Number]]&amp;" "&amp;Master[[#This Row],[Inventory Suffix]]&amp;" "&amp;Master[[#This Row],[Inventory Type - Lookup Picker]]</f>
        <v>W6   SD</v>
      </c>
      <c r="D9" s="66" t="str">
        <f>IF(Master[[#This Row],[Accession Name (Identifier 1)]]="","",Master[[#This Row],[Accession Name (Identifier 1)]])</f>
        <v/>
      </c>
      <c r="E9" s="87">
        <f>IF(Master[[#This Row],[Date Collected or Developed]]="","",Master[[#This Row],[Date Collected or Developed]])</f>
        <v>44055</v>
      </c>
      <c r="F9" s="87">
        <f>IF(Master[[#This Row],[Received Date -received by site]]="","",Master[[#This Row],[Received Date -received by site]])</f>
        <v>44466</v>
      </c>
      <c r="G9" s="66" t="str">
        <f>IF(Master[[#This Row],[Taxon -Lookup Picker in GRIN]]="","",Master[[#This Row],[Taxon -Lookup Picker in GRIN]])</f>
        <v>Erigeron speciosus</v>
      </c>
      <c r="H9" s="66" t="str">
        <f>IF(Master[[#This Row],[Inventory Maintenance Policy]]="","",Master[[#This Row],[Inventory Maintenance Policy]])</f>
        <v>w6_native</v>
      </c>
      <c r="I9" s="66" t="str">
        <f>IF(Master[[#This Row],[Geography (Collection) -Lookup Picker in GRIN]]="",#REF!,Master[[#This Row],[Geography (Collection) -Lookup Picker in GRIN]])</f>
        <v>United States, Colorado, Grand</v>
      </c>
      <c r="J9" s="66" t="str">
        <f>IF(Master[[#This Row],[Collector Verbatim Locality]]="","",Master[[#This Row],[Collector Verbatim Locality]])</f>
        <v>BLM Area/ / From US-40E continue onto CO-134W, turn right/southwest onto COHWY19, continue on CO Rd185, turn right/northwest onto COHWY19/Forest Rd 100, turn right/north onto Forest Rd 101 and follow for about 3.8 miles to bottom of reservoir, park, walk across dirt road to trail, follow for 1.3 miles to GPS point.</v>
      </c>
      <c r="K9" s="91">
        <f>IF(Master[[#This Row],[Latitude -decimal degrees]]="","",Master[[#This Row],[Latitude -decimal degrees]])</f>
        <v>40.195659999999997</v>
      </c>
      <c r="L9" s="91">
        <f>IF(Master[[#This Row],[Longitude -decimal degrees]]="","",Master[[#This Row],[Longitude -decimal degrees]])</f>
        <v>-106.57347</v>
      </c>
      <c r="M9" s="66" t="str">
        <f>IF(Master[[#This Row],[Cooperator (Donor) 1 -full record]]="","",Master[[#This Row],[Cooperator (Donor) 1 -full record]])</f>
        <v>Bureau of Land Management, SOS project</v>
      </c>
    </row>
    <row r="10" spans="1:13" ht="409.5" x14ac:dyDescent="0.25">
      <c r="A10" s="89">
        <f t="shared" si="0"/>
        <v>8</v>
      </c>
      <c r="B10" s="66" t="str">
        <f>Master[[#This Row],[Accession Prefix (NPGS)]]&amp;" "&amp;Master[[#This Row],[Accession Number -Assigned]]</f>
        <v>W6 59596</v>
      </c>
      <c r="C10" s="66" t="str">
        <f>Master[[#This Row],[Inventory Prefix]]&amp;" "&amp;Master[[#This Row],[Inventory Number]]&amp;" "&amp;Master[[#This Row],[Inventory Suffix]]&amp;" "&amp;Master[[#This Row],[Inventory Type - Lookup Picker]]</f>
        <v>W6   SD</v>
      </c>
      <c r="D10" s="66" t="str">
        <f>IF(Master[[#This Row],[Accession Name (Identifier 1)]]="","",Master[[#This Row],[Accession Name (Identifier 1)]])</f>
        <v/>
      </c>
      <c r="E10" s="87">
        <f>IF(Master[[#This Row],[Date Collected or Developed]]="","",Master[[#This Row],[Date Collected or Developed]])</f>
        <v>44056</v>
      </c>
      <c r="F10" s="87">
        <f>IF(Master[[#This Row],[Received Date -received by site]]="","",Master[[#This Row],[Received Date -received by site]])</f>
        <v>44466</v>
      </c>
      <c r="G10" s="66" t="str">
        <f>IF(Master[[#This Row],[Taxon -Lookup Picker in GRIN]]="","",Master[[#This Row],[Taxon -Lookup Picker in GRIN]])</f>
        <v>Eriogonum umbellatum</v>
      </c>
      <c r="H10" s="66" t="str">
        <f>IF(Master[[#This Row],[Inventory Maintenance Policy]]="","",Master[[#This Row],[Inventory Maintenance Policy]])</f>
        <v>w6_native</v>
      </c>
      <c r="I10" s="66" t="str">
        <f>IF(Master[[#This Row],[Geography (Collection) -Lookup Picker in GRIN]]="",#REF!,Master[[#This Row],[Geography (Collection) -Lookup Picker in GRIN]])</f>
        <v>United States, Colorado, Jackson</v>
      </c>
      <c r="J10" s="66" t="str">
        <f>IF(Master[[#This Row],[Collector Verbatim Locality]]="","",Master[[#This Row],[Collector Verbatim Locality]])</f>
        <v>BLM Area/ / From Walden take CO125N about 10 miles up to JCR6W, take a right/east and follow road to North Sand Hills Park info stop, take a right/southeast and follow for about 1 miles, stay right and pass under powerlines .2 miles, take a left/north follow .2 miles to aspen stand</v>
      </c>
      <c r="K10" s="91">
        <f>IF(Master[[#This Row],[Latitude -decimal degrees]]="","",Master[[#This Row],[Latitude -decimal degrees]])</f>
        <v>40.870980000000003</v>
      </c>
      <c r="L10" s="91">
        <f>IF(Master[[#This Row],[Longitude -decimal degrees]]="","",Master[[#This Row],[Longitude -decimal degrees]])</f>
        <v>-106.2063</v>
      </c>
      <c r="M10" s="66" t="str">
        <f>IF(Master[[#This Row],[Cooperator (Donor) 1 -full record]]="","",Master[[#This Row],[Cooperator (Donor) 1 -full record]])</f>
        <v>Bureau of Land Management, SOS project</v>
      </c>
    </row>
    <row r="11" spans="1:13" ht="345" x14ac:dyDescent="0.25">
      <c r="A11" s="89">
        <f t="shared" si="0"/>
        <v>9</v>
      </c>
      <c r="B11" s="66" t="str">
        <f>Master[[#This Row],[Accession Prefix (NPGS)]]&amp;" "&amp;Master[[#This Row],[Accession Number -Assigned]]</f>
        <v>W6 59597</v>
      </c>
      <c r="C11" s="66" t="str">
        <f>Master[[#This Row],[Inventory Prefix]]&amp;" "&amp;Master[[#This Row],[Inventory Number]]&amp;" "&amp;Master[[#This Row],[Inventory Suffix]]&amp;" "&amp;Master[[#This Row],[Inventory Type - Lookup Picker]]</f>
        <v>W6   SD</v>
      </c>
      <c r="D11" s="66" t="str">
        <f>IF(Master[[#This Row],[Accession Name (Identifier 1)]]="","",Master[[#This Row],[Accession Name (Identifier 1)]])</f>
        <v/>
      </c>
      <c r="E11" s="87">
        <f>IF(Master[[#This Row],[Date Collected or Developed]]="","",Master[[#This Row],[Date Collected or Developed]])</f>
        <v>44061</v>
      </c>
      <c r="F11" s="87">
        <f>IF(Master[[#This Row],[Received Date -received by site]]="","",Master[[#This Row],[Received Date -received by site]])</f>
        <v>44466</v>
      </c>
      <c r="G11" s="66" t="str">
        <f>IF(Master[[#This Row],[Taxon -Lookup Picker in GRIN]]="","",Master[[#This Row],[Taxon -Lookup Picker in GRIN]])</f>
        <v>Erigeron speciosus</v>
      </c>
      <c r="H11" s="66" t="str">
        <f>IF(Master[[#This Row],[Inventory Maintenance Policy]]="","",Master[[#This Row],[Inventory Maintenance Policy]])</f>
        <v>w6_native</v>
      </c>
      <c r="I11" s="66" t="str">
        <f>IF(Master[[#This Row],[Geography (Collection) -Lookup Picker in GRIN]]="",#REF!,Master[[#This Row],[Geography (Collection) -Lookup Picker in GRIN]])</f>
        <v>United States, Colorado, Jackson</v>
      </c>
      <c r="J11" s="66" t="str">
        <f>IF(Master[[#This Row],[Collector Verbatim Locality]]="","",Master[[#This Row],[Collector Verbatim Locality]])</f>
        <v>BLM Area/ / From Walden head north on CO125N/CO14E for 10.6 miles, turn left/west on JCRD6W in Cowdrey, follow for 15.2 miles until GPS point. Park and stay to the right, species is along the ditch into the aspens about .3 miles</v>
      </c>
      <c r="K11" s="91">
        <f>IF(Master[[#This Row],[Latitude -decimal degrees]]="","",Master[[#This Row],[Latitude -decimal degrees]])</f>
        <v>40.950040000000001</v>
      </c>
      <c r="L11" s="91">
        <f>IF(Master[[#This Row],[Longitude -decimal degrees]]="","",Master[[#This Row],[Longitude -decimal degrees]])</f>
        <v>-106.51927999999999</v>
      </c>
      <c r="M11" s="66" t="str">
        <f>IF(Master[[#This Row],[Cooperator (Donor) 1 -full record]]="","",Master[[#This Row],[Cooperator (Donor) 1 -full record]])</f>
        <v>Bureau of Land Management, SOS project</v>
      </c>
    </row>
    <row r="12" spans="1:13" ht="345" x14ac:dyDescent="0.25">
      <c r="A12" s="89">
        <f t="shared" si="0"/>
        <v>10</v>
      </c>
      <c r="B12" s="66" t="str">
        <f>Master[[#This Row],[Accession Prefix (NPGS)]]&amp;" "&amp;Master[[#This Row],[Accession Number -Assigned]]</f>
        <v>W6 59598</v>
      </c>
      <c r="C12" s="66" t="str">
        <f>Master[[#This Row],[Inventory Prefix]]&amp;" "&amp;Master[[#This Row],[Inventory Number]]&amp;" "&amp;Master[[#This Row],[Inventory Suffix]]&amp;" "&amp;Master[[#This Row],[Inventory Type - Lookup Picker]]</f>
        <v>W6   SD</v>
      </c>
      <c r="D12" s="66" t="str">
        <f>IF(Master[[#This Row],[Accession Name (Identifier 1)]]="","",Master[[#This Row],[Accession Name (Identifier 1)]])</f>
        <v/>
      </c>
      <c r="E12" s="87">
        <f>IF(Master[[#This Row],[Date Collected or Developed]]="","",Master[[#This Row],[Date Collected or Developed]])</f>
        <v>44061</v>
      </c>
      <c r="F12" s="87">
        <f>IF(Master[[#This Row],[Received Date -received by site]]="","",Master[[#This Row],[Received Date -received by site]])</f>
        <v>44466</v>
      </c>
      <c r="G12" s="66" t="str">
        <f>IF(Master[[#This Row],[Taxon -Lookup Picker in GRIN]]="","",Master[[#This Row],[Taxon -Lookup Picker in GRIN]])</f>
        <v>Elymus elymoides</v>
      </c>
      <c r="H12" s="66" t="str">
        <f>IF(Master[[#This Row],[Inventory Maintenance Policy]]="","",Master[[#This Row],[Inventory Maintenance Policy]])</f>
        <v>w6_native</v>
      </c>
      <c r="I12" s="66" t="str">
        <f>IF(Master[[#This Row],[Geography (Collection) -Lookup Picker in GRIN]]="",#REF!,Master[[#This Row],[Geography (Collection) -Lookup Picker in GRIN]])</f>
        <v>United States, Colorado, Jackson</v>
      </c>
      <c r="J12" s="66" t="str">
        <f>IF(Master[[#This Row],[Collector Verbatim Locality]]="","",Master[[#This Row],[Collector Verbatim Locality]])</f>
        <v>BLM area/ Reservoir/ Going north on CO-125, turn west on County Rd 12 W. Turn north on Co Rd 15 to Walden Reservoir, follow for 1.1 miles and turn west on dirt road toward reservoir. Population is on on both sides of road and floodplain of reservoir.</v>
      </c>
      <c r="K12" s="91">
        <f>IF(Master[[#This Row],[Latitude -decimal degrees]]="","",Master[[#This Row],[Latitude -decimal degrees]])</f>
        <v>40.735590000000002</v>
      </c>
      <c r="L12" s="91">
        <f>IF(Master[[#This Row],[Longitude -decimal degrees]]="","",Master[[#This Row],[Longitude -decimal degrees]])</f>
        <v>-106.31082000000001</v>
      </c>
      <c r="M12" s="66" t="str">
        <f>IF(Master[[#This Row],[Cooperator (Donor) 1 -full record]]="","",Master[[#This Row],[Cooperator (Donor) 1 -full record]])</f>
        <v>Bureau of Land Management, SOS project</v>
      </c>
    </row>
    <row r="13" spans="1:13" ht="409.5" x14ac:dyDescent="0.25">
      <c r="A13" s="89">
        <f t="shared" si="0"/>
        <v>11</v>
      </c>
      <c r="B13" s="66" t="str">
        <f>Master[[#This Row],[Accession Prefix (NPGS)]]&amp;" "&amp;Master[[#This Row],[Accession Number -Assigned]]</f>
        <v>W6 59599</v>
      </c>
      <c r="C13" s="66" t="str">
        <f>Master[[#This Row],[Inventory Prefix]]&amp;" "&amp;Master[[#This Row],[Inventory Number]]&amp;" "&amp;Master[[#This Row],[Inventory Suffix]]&amp;" "&amp;Master[[#This Row],[Inventory Type - Lookup Picker]]</f>
        <v>W6   SD</v>
      </c>
      <c r="D13" s="66" t="str">
        <f>IF(Master[[#This Row],[Accession Name (Identifier 1)]]="","",Master[[#This Row],[Accession Name (Identifier 1)]])</f>
        <v/>
      </c>
      <c r="E13" s="87">
        <f>IF(Master[[#This Row],[Date Collected or Developed]]="","",Master[[#This Row],[Date Collected or Developed]])</f>
        <v>44062</v>
      </c>
      <c r="F13" s="87">
        <f>IF(Master[[#This Row],[Received Date -received by site]]="","",Master[[#This Row],[Received Date -received by site]])</f>
        <v>44466</v>
      </c>
      <c r="G13" s="66" t="str">
        <f>IF(Master[[#This Row],[Taxon -Lookup Picker in GRIN]]="","",Master[[#This Row],[Taxon -Lookup Picker in GRIN]])</f>
        <v>Erigeron speciosus</v>
      </c>
      <c r="H13" s="66" t="str">
        <f>IF(Master[[#This Row],[Inventory Maintenance Policy]]="","",Master[[#This Row],[Inventory Maintenance Policy]])</f>
        <v>w6_native</v>
      </c>
      <c r="I13" s="66" t="str">
        <f>IF(Master[[#This Row],[Geography (Collection) -Lookup Picker in GRIN]]="",#REF!,Master[[#This Row],[Geography (Collection) -Lookup Picker in GRIN]])</f>
        <v>United States, Colorado, Grand</v>
      </c>
      <c r="J13" s="66" t="str">
        <f>IF(Master[[#This Row],[Collector Verbatim Locality]]="","",Master[[#This Row],[Collector Verbatim Locality]])</f>
        <v>BLM area/ / Going south on US-40, turn east onto Co HWY 27/Forest Rd 103 to Chimney Rock. Follow for 8.6 miles. Pull off in the turn out to the west. Follow Lindsey Creek south west through National Forest on game trails for about 2 miles. Population is on south facing hillside on north side of creek.</v>
      </c>
      <c r="K13" s="91">
        <f>IF(Master[[#This Row],[Latitude -decimal degrees]]="","",Master[[#This Row],[Latitude -decimal degrees]])</f>
        <v>40.324449999999999</v>
      </c>
      <c r="L13" s="91">
        <f>IF(Master[[#This Row],[Longitude -decimal degrees]]="","",Master[[#This Row],[Longitude -decimal degrees]])</f>
        <v>-106.44546</v>
      </c>
      <c r="M13" s="66" t="str">
        <f>IF(Master[[#This Row],[Cooperator (Donor) 1 -full record]]="","",Master[[#This Row],[Cooperator (Donor) 1 -full record]])</f>
        <v>Bureau of Land Management, SOS project</v>
      </c>
    </row>
    <row r="14" spans="1:13" ht="409.5" x14ac:dyDescent="0.25">
      <c r="A14" s="89">
        <f t="shared" si="0"/>
        <v>12</v>
      </c>
      <c r="B14" s="66" t="str">
        <f>Master[[#This Row],[Accession Prefix (NPGS)]]&amp;" "&amp;Master[[#This Row],[Accession Number -Assigned]]</f>
        <v>W6 59600</v>
      </c>
      <c r="C14" s="66" t="str">
        <f>Master[[#This Row],[Inventory Prefix]]&amp;" "&amp;Master[[#This Row],[Inventory Number]]&amp;" "&amp;Master[[#This Row],[Inventory Suffix]]&amp;" "&amp;Master[[#This Row],[Inventory Type - Lookup Picker]]</f>
        <v>W6   SD</v>
      </c>
      <c r="D14" s="66" t="str">
        <f>IF(Master[[#This Row],[Accession Name (Identifier 1)]]="","",Master[[#This Row],[Accession Name (Identifier 1)]])</f>
        <v/>
      </c>
      <c r="E14" s="87">
        <f>IF(Master[[#This Row],[Date Collected or Developed]]="","",Master[[#This Row],[Date Collected or Developed]])</f>
        <v>44063</v>
      </c>
      <c r="F14" s="87">
        <f>IF(Master[[#This Row],[Received Date -received by site]]="","",Master[[#This Row],[Received Date -received by site]])</f>
        <v>44466</v>
      </c>
      <c r="G14" s="66" t="str">
        <f>IF(Master[[#This Row],[Taxon -Lookup Picker in GRIN]]="","",Master[[#This Row],[Taxon -Lookup Picker in GRIN]])</f>
        <v>Hymenoxys hoopesii</v>
      </c>
      <c r="H14" s="66" t="str">
        <f>IF(Master[[#This Row],[Inventory Maintenance Policy]]="","",Master[[#This Row],[Inventory Maintenance Policy]])</f>
        <v>w6_native</v>
      </c>
      <c r="I14" s="66" t="str">
        <f>IF(Master[[#This Row],[Geography (Collection) -Lookup Picker in GRIN]]="",#REF!,Master[[#This Row],[Geography (Collection) -Lookup Picker in GRIN]])</f>
        <v>United States, Colorado, Grand</v>
      </c>
      <c r="J14" s="66" t="str">
        <f>IF(Master[[#This Row],[Collector Verbatim Locality]]="","",Master[[#This Row],[Collector Verbatim Locality]])</f>
        <v>BLM area/ Trail/ From Wolford Reservoir Overlook, take US-40 south to CO-134. Turn west onto CO-134, follow for 2 miles. Turn west onto County Highway 19, follow for 3.8 miles where the road become Forest Road 100. Continue on 100. Turn northeast onto Forest Road 101 to Red Dirt Reservoir, follow 101 for 3.1 miles and take the first east turn toward the reservoir. Park at gate that leads out east over dam. Walk over dam and follow trail north around reservoir about 1.5 miles. Population is west of trail in aspen grove and sagebrush north and east of trees.</v>
      </c>
      <c r="K14" s="91">
        <f>IF(Master[[#This Row],[Latitude -decimal degrees]]="","",Master[[#This Row],[Latitude -decimal degrees]])</f>
        <v>40.195639999999997</v>
      </c>
      <c r="L14" s="91">
        <f>IF(Master[[#This Row],[Longitude -decimal degrees]]="","",Master[[#This Row],[Longitude -decimal degrees]])</f>
        <v>-106.57347</v>
      </c>
      <c r="M14" s="66" t="str">
        <f>IF(Master[[#This Row],[Cooperator (Donor) 1 -full record]]="","",Master[[#This Row],[Cooperator (Donor) 1 -full record]])</f>
        <v>Bureau of Land Management, SOS project</v>
      </c>
    </row>
    <row r="15" spans="1:13" ht="330" x14ac:dyDescent="0.25">
      <c r="A15" s="89">
        <f t="shared" si="0"/>
        <v>13</v>
      </c>
      <c r="B15" s="66" t="str">
        <f>Master[[#This Row],[Accession Prefix (NPGS)]]&amp;" "&amp;Master[[#This Row],[Accession Number -Assigned]]</f>
        <v>W6 59601</v>
      </c>
      <c r="C15" s="66" t="str">
        <f>Master[[#This Row],[Inventory Prefix]]&amp;" "&amp;Master[[#This Row],[Inventory Number]]&amp;" "&amp;Master[[#This Row],[Inventory Suffix]]&amp;" "&amp;Master[[#This Row],[Inventory Type - Lookup Picker]]</f>
        <v>W6   SD</v>
      </c>
      <c r="D15" s="66" t="str">
        <f>IF(Master[[#This Row],[Accession Name (Identifier 1)]]="","",Master[[#This Row],[Accession Name (Identifier 1)]])</f>
        <v/>
      </c>
      <c r="E15" s="87">
        <f>IF(Master[[#This Row],[Date Collected or Developed]]="","",Master[[#This Row],[Date Collected or Developed]])</f>
        <v>44069</v>
      </c>
      <c r="F15" s="87">
        <f>IF(Master[[#This Row],[Received Date -received by site]]="","",Master[[#This Row],[Received Date -received by site]])</f>
        <v>44466</v>
      </c>
      <c r="G15" s="66" t="str">
        <f>IF(Master[[#This Row],[Taxon -Lookup Picker in GRIN]]="","",Master[[#This Row],[Taxon -Lookup Picker in GRIN]])</f>
        <v>Heliomeris multiflora</v>
      </c>
      <c r="H15" s="66" t="str">
        <f>IF(Master[[#This Row],[Inventory Maintenance Policy]]="","",Master[[#This Row],[Inventory Maintenance Policy]])</f>
        <v>w6_native</v>
      </c>
      <c r="I15" s="66" t="str">
        <f>IF(Master[[#This Row],[Geography (Collection) -Lookup Picker in GRIN]]="",#REF!,Master[[#This Row],[Geography (Collection) -Lookup Picker in GRIN]])</f>
        <v>United States, Colorado, Jackson</v>
      </c>
      <c r="J15" s="66" t="str">
        <f>IF(Master[[#This Row],[Collector Verbatim Locality]]="","",Master[[#This Row],[Collector Verbatim Locality]])</f>
        <v>BLM Area/ Dirt trail/ Take CO-14 E off Us-40 E, follow road about .5 miles, there are small pull-offs on either side of road, park car and go under fenced gate, follow game trails south up the hill about another .5 miles to GPS point</v>
      </c>
      <c r="K15" s="91">
        <f>IF(Master[[#This Row],[Latitude -decimal degrees]]="","",Master[[#This Row],[Latitude -decimal degrees]])</f>
        <v>40.384689999999999</v>
      </c>
      <c r="L15" s="91">
        <f>IF(Master[[#This Row],[Longitude -decimal degrees]]="","",Master[[#This Row],[Longitude -decimal degrees]])</f>
        <v>-106.57035999999999</v>
      </c>
      <c r="M15" s="66" t="str">
        <f>IF(Master[[#This Row],[Cooperator (Donor) 1 -full record]]="","",Master[[#This Row],[Cooperator (Donor) 1 -full record]])</f>
        <v>Bureau of Land Management, SOS project</v>
      </c>
    </row>
    <row r="16" spans="1:13" ht="405" x14ac:dyDescent="0.25">
      <c r="A16" s="89">
        <f t="shared" si="0"/>
        <v>14</v>
      </c>
      <c r="B16" s="66" t="str">
        <f>Master[[#This Row],[Accession Prefix (NPGS)]]&amp;" "&amp;Master[[#This Row],[Accession Number -Assigned]]</f>
        <v>W6 59602</v>
      </c>
      <c r="C16" s="66" t="str">
        <f>Master[[#This Row],[Inventory Prefix]]&amp;" "&amp;Master[[#This Row],[Inventory Number]]&amp;" "&amp;Master[[#This Row],[Inventory Suffix]]&amp;" "&amp;Master[[#This Row],[Inventory Type - Lookup Picker]]</f>
        <v>W6   SD</v>
      </c>
      <c r="D16" s="66" t="str">
        <f>IF(Master[[#This Row],[Accession Name (Identifier 1)]]="","",Master[[#This Row],[Accession Name (Identifier 1)]])</f>
        <v/>
      </c>
      <c r="E16" s="87">
        <f>IF(Master[[#This Row],[Date Collected or Developed]]="","",Master[[#This Row],[Date Collected or Developed]])</f>
        <v>44070</v>
      </c>
      <c r="F16" s="87">
        <f>IF(Master[[#This Row],[Received Date -received by site]]="","",Master[[#This Row],[Received Date -received by site]])</f>
        <v>44466</v>
      </c>
      <c r="G16" s="66" t="str">
        <f>IF(Master[[#This Row],[Taxon -Lookup Picker in GRIN]]="","",Master[[#This Row],[Taxon -Lookup Picker in GRIN]])</f>
        <v>Erigeron speciosus</v>
      </c>
      <c r="H16" s="66" t="str">
        <f>IF(Master[[#This Row],[Inventory Maintenance Policy]]="","",Master[[#This Row],[Inventory Maintenance Policy]])</f>
        <v>w6_native</v>
      </c>
      <c r="I16" s="66" t="str">
        <f>IF(Master[[#This Row],[Geography (Collection) -Lookup Picker in GRIN]]="",#REF!,Master[[#This Row],[Geography (Collection) -Lookup Picker in GRIN]])</f>
        <v>United States, Colorado, Grand</v>
      </c>
      <c r="J16" s="66" t="str">
        <f>IF(Master[[#This Row],[Collector Verbatim Locality]]="","",Master[[#This Row],[Collector Verbatim Locality]])</f>
        <v>BLM Area/ Dirt road, trail/ From Tabernash, head south on US-40E, turn left/east onto CO HWY 83, turn left/north onto CO Rd 84/FS 129, turn left/north onto Strawberry Rd, continue onto US Forest Service Road 2751 for about 2.4 miles to GPS point</v>
      </c>
      <c r="K16" s="91">
        <f>IF(Master[[#This Row],[Latitude -decimal degrees]]="","",Master[[#This Row],[Latitude -decimal degrees]])</f>
        <v>40.023269999999997</v>
      </c>
      <c r="L16" s="91">
        <f>IF(Master[[#This Row],[Longitude -decimal degrees]]="","",Master[[#This Row],[Longitude -decimal degrees]])</f>
        <v>-106.84023000000001</v>
      </c>
      <c r="M16" s="66" t="str">
        <f>IF(Master[[#This Row],[Cooperator (Donor) 1 -full record]]="","",Master[[#This Row],[Cooperator (Donor) 1 -full record]])</f>
        <v>Bureau of Land Management, SOS project</v>
      </c>
    </row>
    <row r="17" spans="1:13" ht="409.5" x14ac:dyDescent="0.25">
      <c r="A17" s="89">
        <f t="shared" si="0"/>
        <v>15</v>
      </c>
      <c r="B17" s="66" t="str">
        <f>Master[[#This Row],[Accession Prefix (NPGS)]]&amp;" "&amp;Master[[#This Row],[Accession Number -Assigned]]</f>
        <v>W6 59603</v>
      </c>
      <c r="C17" s="66" t="str">
        <f>Master[[#This Row],[Inventory Prefix]]&amp;" "&amp;Master[[#This Row],[Inventory Number]]&amp;" "&amp;Master[[#This Row],[Inventory Suffix]]&amp;" "&amp;Master[[#This Row],[Inventory Type - Lookup Picker]]</f>
        <v>W6   SD</v>
      </c>
      <c r="D17" s="66" t="str">
        <f>IF(Master[[#This Row],[Accession Name (Identifier 1)]]="","",Master[[#This Row],[Accession Name (Identifier 1)]])</f>
        <v/>
      </c>
      <c r="E17" s="87">
        <f>IF(Master[[#This Row],[Date Collected or Developed]]="","",Master[[#This Row],[Date Collected or Developed]])</f>
        <v>44076</v>
      </c>
      <c r="F17" s="87">
        <f>IF(Master[[#This Row],[Received Date -received by site]]="","",Master[[#This Row],[Received Date -received by site]])</f>
        <v>44466</v>
      </c>
      <c r="G17" s="66" t="str">
        <f>IF(Master[[#This Row],[Taxon -Lookup Picker in GRIN]]="","",Master[[#This Row],[Taxon -Lookup Picker in GRIN]])</f>
        <v>Erigeron speciosus</v>
      </c>
      <c r="H17" s="66" t="str">
        <f>IF(Master[[#This Row],[Inventory Maintenance Policy]]="","",Master[[#This Row],[Inventory Maintenance Policy]])</f>
        <v>w6_native</v>
      </c>
      <c r="I17" s="66" t="str">
        <f>IF(Master[[#This Row],[Geography (Collection) -Lookup Picker in GRIN]]="",#REF!,Master[[#This Row],[Geography (Collection) -Lookup Picker in GRIN]])</f>
        <v>United States, Colorado, Routt</v>
      </c>
      <c r="J17" s="66" t="str">
        <f>IF(Master[[#This Row],[Collector Verbatim Locality]]="","",Master[[#This Row],[Collector Verbatim Locality]])</f>
        <v>BLM area/ Dirt road/trail/ From Toponas going south CO-131, 2.4 miles after passing CO-134 turn off, turn into King Mountain Trailhead parking lot. Park and walk southwest up old dirt road about 0.55 miles where footpath head northwest off dirt road toward aspen grove. Population is about 0.2 miles down trail, on both sides of trail in sagebrush.</v>
      </c>
      <c r="K17" s="91">
        <f>IF(Master[[#This Row],[Latitude -decimal degrees]]="","",Master[[#This Row],[Latitude -decimal degrees]])</f>
        <v>40.027670000000001</v>
      </c>
      <c r="L17" s="91">
        <f>IF(Master[[#This Row],[Longitude -decimal degrees]]="","",Master[[#This Row],[Longitude -decimal degrees]])</f>
        <v>-106.79264999999999</v>
      </c>
      <c r="M17" s="66" t="str">
        <f>IF(Master[[#This Row],[Cooperator (Donor) 1 -full record]]="","",Master[[#This Row],[Cooperator (Donor) 1 -full record]])</f>
        <v>Bureau of Land Management, SOS project</v>
      </c>
    </row>
    <row r="18" spans="1:13" ht="409.5" x14ac:dyDescent="0.25">
      <c r="A18" s="89">
        <f t="shared" si="0"/>
        <v>16</v>
      </c>
      <c r="B18" s="66" t="str">
        <f>Master[[#This Row],[Accession Prefix (NPGS)]]&amp;" "&amp;Master[[#This Row],[Accession Number -Assigned]]</f>
        <v>W6 59604</v>
      </c>
      <c r="C18" s="66" t="str">
        <f>Master[[#This Row],[Inventory Prefix]]&amp;" "&amp;Master[[#This Row],[Inventory Number]]&amp;" "&amp;Master[[#This Row],[Inventory Suffix]]&amp;" "&amp;Master[[#This Row],[Inventory Type - Lookup Picker]]</f>
        <v>W6   SD</v>
      </c>
      <c r="D18" s="66" t="str">
        <f>IF(Master[[#This Row],[Accession Name (Identifier 1)]]="","",Master[[#This Row],[Accession Name (Identifier 1)]])</f>
        <v/>
      </c>
      <c r="E18" s="87">
        <f>IF(Master[[#This Row],[Date Collected or Developed]]="","",Master[[#This Row],[Date Collected or Developed]])</f>
        <v>44077</v>
      </c>
      <c r="F18" s="87">
        <f>IF(Master[[#This Row],[Received Date -received by site]]="","",Master[[#This Row],[Received Date -received by site]])</f>
        <v>44466</v>
      </c>
      <c r="G18" s="66" t="str">
        <f>IF(Master[[#This Row],[Taxon -Lookup Picker in GRIN]]="","",Master[[#This Row],[Taxon -Lookup Picker in GRIN]])</f>
        <v>Orthocarpus luteus</v>
      </c>
      <c r="H18" s="66" t="str">
        <f>IF(Master[[#This Row],[Inventory Maintenance Policy]]="","",Master[[#This Row],[Inventory Maintenance Policy]])</f>
        <v>w6_native</v>
      </c>
      <c r="I18" s="66" t="str">
        <f>IF(Master[[#This Row],[Geography (Collection) -Lookup Picker in GRIN]]="",#REF!,Master[[#This Row],[Geography (Collection) -Lookup Picker in GRIN]])</f>
        <v>United States, Colorado, Grand</v>
      </c>
      <c r="J18" s="66" t="str">
        <f>IF(Master[[#This Row],[Collector Verbatim Locality]]="","",Master[[#This Row],[Collector Verbatim Locality]])</f>
        <v>BLM area/ Dirt road/trail/ From Tabernash going south on US-40, go east onto Co HWY 83. At the split go north on USFS 129/County Rd 84. Follow 84 for 0.8 miles and go west onto Strawberry Rd. Follow Strawberry Rd/USFS 2751 for 2.8 miles. Pull into camp spot on southwest side of road. Population is in field at campsite, along USFS 2751, and along trail that goes from campsite on east side of road. Trail runs parallel to 2751 and comes out at pull off to the east 0.6 miles from campsite.</v>
      </c>
      <c r="K18" s="91">
        <f>IF(Master[[#This Row],[Latitude -decimal degrees]]="","",Master[[#This Row],[Latitude -decimal degrees]])</f>
        <v>40.019669999999998</v>
      </c>
      <c r="L18" s="91">
        <f>IF(Master[[#This Row],[Longitude -decimal degrees]]="","",Master[[#This Row],[Longitude -decimal degrees]])</f>
        <v>-106.84244</v>
      </c>
      <c r="M18" s="66" t="str">
        <f>IF(Master[[#This Row],[Cooperator (Donor) 1 -full record]]="","",Master[[#This Row],[Cooperator (Donor) 1 -full record]])</f>
        <v>Bureau of Land Management, SOS project</v>
      </c>
    </row>
    <row r="19" spans="1:13" ht="330" x14ac:dyDescent="0.25">
      <c r="A19" s="89">
        <f t="shared" si="0"/>
        <v>17</v>
      </c>
      <c r="B19" s="66" t="str">
        <f>Master[[#This Row],[Accession Prefix (NPGS)]]&amp;" "&amp;Master[[#This Row],[Accession Number -Assigned]]</f>
        <v>W6 59605</v>
      </c>
      <c r="C19" s="66" t="str">
        <f>Master[[#This Row],[Inventory Prefix]]&amp;" "&amp;Master[[#This Row],[Inventory Number]]&amp;" "&amp;Master[[#This Row],[Inventory Suffix]]&amp;" "&amp;Master[[#This Row],[Inventory Type - Lookup Picker]]</f>
        <v>W6   SD</v>
      </c>
      <c r="D19" s="66" t="str">
        <f>IF(Master[[#This Row],[Accession Name (Identifier 1)]]="","",Master[[#This Row],[Accession Name (Identifier 1)]])</f>
        <v/>
      </c>
      <c r="E19" s="87">
        <f>IF(Master[[#This Row],[Date Collected or Developed]]="","",Master[[#This Row],[Date Collected or Developed]])</f>
        <v>44084</v>
      </c>
      <c r="F19" s="87">
        <f>IF(Master[[#This Row],[Received Date -received by site]]="","",Master[[#This Row],[Received Date -received by site]])</f>
        <v>44466</v>
      </c>
      <c r="G19" s="66" t="str">
        <f>IF(Master[[#This Row],[Taxon -Lookup Picker in GRIN]]="","",Master[[#This Row],[Taxon -Lookup Picker in GRIN]])</f>
        <v>Mentzelia multiflora</v>
      </c>
      <c r="H19" s="66" t="str">
        <f>IF(Master[[#This Row],[Inventory Maintenance Policy]]="","",Master[[#This Row],[Inventory Maintenance Policy]])</f>
        <v>w6_native</v>
      </c>
      <c r="I19" s="66" t="str">
        <f>IF(Master[[#This Row],[Geography (Collection) -Lookup Picker in GRIN]]="",#REF!,Master[[#This Row],[Geography (Collection) -Lookup Picker in GRIN]])</f>
        <v>United States, Colorado, Eagle</v>
      </c>
      <c r="J19" s="66" t="str">
        <f>IF(Master[[#This Row],[Collector Verbatim Locality]]="","",Master[[#This Row],[Collector Verbatim Locality]])</f>
        <v>BLM area/ Dirt road/ Take CO-131 south from Toponas, turn south west on Colorado River Rd headed southwest toward Bond. Follow Colorado River Rd for 1 mile. Population is on northwest side of road on berm.</v>
      </c>
      <c r="K19" s="91">
        <f>IF(Master[[#This Row],[Latitude -decimal degrees]]="","",Master[[#This Row],[Latitude -decimal degrees]])</f>
        <v>39.911209999999997</v>
      </c>
      <c r="L19" s="91">
        <f>IF(Master[[#This Row],[Longitude -decimal degrees]]="","",Master[[#This Row],[Longitude -decimal degrees]])</f>
        <v>-106.74414</v>
      </c>
      <c r="M19" s="66" t="str">
        <f>IF(Master[[#This Row],[Cooperator (Donor) 1 -full record]]="","",Master[[#This Row],[Cooperator (Donor) 1 -full record]])</f>
        <v>Bureau of Land Management, SOS project</v>
      </c>
    </row>
    <row r="20" spans="1:13" ht="409.5" x14ac:dyDescent="0.25">
      <c r="A20" s="89">
        <f t="shared" si="0"/>
        <v>18</v>
      </c>
      <c r="B20" s="66" t="str">
        <f>Master[[#This Row],[Accession Prefix (NPGS)]]&amp;" "&amp;Master[[#This Row],[Accession Number -Assigned]]</f>
        <v>W6 59606</v>
      </c>
      <c r="C20" s="66" t="str">
        <f>Master[[#This Row],[Inventory Prefix]]&amp;" "&amp;Master[[#This Row],[Inventory Number]]&amp;" "&amp;Master[[#This Row],[Inventory Suffix]]&amp;" "&amp;Master[[#This Row],[Inventory Type - Lookup Picker]]</f>
        <v>W6   SD</v>
      </c>
      <c r="D20" s="66" t="str">
        <f>IF(Master[[#This Row],[Accession Name (Identifier 1)]]="","",Master[[#This Row],[Accession Name (Identifier 1)]])</f>
        <v/>
      </c>
      <c r="E20" s="87">
        <f>IF(Master[[#This Row],[Date Collected or Developed]]="","",Master[[#This Row],[Date Collected or Developed]])</f>
        <v>44089</v>
      </c>
      <c r="F20" s="87">
        <f>IF(Master[[#This Row],[Received Date -received by site]]="","",Master[[#This Row],[Received Date -received by site]])</f>
        <v>44466</v>
      </c>
      <c r="G20" s="66" t="str">
        <f>IF(Master[[#This Row],[Taxon -Lookup Picker in GRIN]]="","",Master[[#This Row],[Taxon -Lookup Picker in GRIN]])</f>
        <v>Ericameria nauseosa</v>
      </c>
      <c r="H20" s="66" t="str">
        <f>IF(Master[[#This Row],[Inventory Maintenance Policy]]="","",Master[[#This Row],[Inventory Maintenance Policy]])</f>
        <v>w6_native</v>
      </c>
      <c r="I20" s="66" t="str">
        <f>IF(Master[[#This Row],[Geography (Collection) -Lookup Picker in GRIN]]="",#REF!,Master[[#This Row],[Geography (Collection) -Lookup Picker in GRIN]])</f>
        <v>United States, Colorado, Jackson</v>
      </c>
      <c r="J20" s="66" t="str">
        <f>IF(Master[[#This Row],[Collector Verbatim Locality]]="","",Master[[#This Row],[Collector Verbatim Locality]])</f>
        <v>BLM area/ OHV area/ From Cowdrey go north on 125, turn east onto 6E, follow 6E for 3.4 miles and turn southeast toward North Sand Hills. Continue southeast for 2.3 miles driving past the information center. Turn northeast up hill toward dunefield 0.8 miles past info center. Travel northeast up sandy road 0.24 miles until arriving at aspen grove camp site. Population is northeast and southeast of camp site/aspen grove in sagebrush shrubland.</v>
      </c>
      <c r="K20" s="91">
        <f>IF(Master[[#This Row],[Latitude -decimal degrees]]="","",Master[[#This Row],[Latitude -decimal degrees]])</f>
        <v>40.870539999999998</v>
      </c>
      <c r="L20" s="91">
        <f>IF(Master[[#This Row],[Longitude -decimal degrees]]="","",Master[[#This Row],[Longitude -decimal degrees]])</f>
        <v>-106.2068</v>
      </c>
      <c r="M20" s="66" t="str">
        <f>IF(Master[[#This Row],[Cooperator (Donor) 1 -full record]]="","",Master[[#This Row],[Cooperator (Donor) 1 -full record]])</f>
        <v>Bureau of Land Management, SOS project</v>
      </c>
    </row>
    <row r="21" spans="1:13" ht="315" x14ac:dyDescent="0.25">
      <c r="A21" s="89">
        <f t="shared" si="0"/>
        <v>19</v>
      </c>
      <c r="B21" s="66" t="str">
        <f>Master[[#This Row],[Accession Prefix (NPGS)]]&amp;" "&amp;Master[[#This Row],[Accession Number -Assigned]]</f>
        <v>W6 59607</v>
      </c>
      <c r="C21" s="66" t="str">
        <f>Master[[#This Row],[Inventory Prefix]]&amp;" "&amp;Master[[#This Row],[Inventory Number]]&amp;" "&amp;Master[[#This Row],[Inventory Suffix]]&amp;" "&amp;Master[[#This Row],[Inventory Type - Lookup Picker]]</f>
        <v>W6   SD</v>
      </c>
      <c r="D21" s="66" t="str">
        <f>IF(Master[[#This Row],[Accession Name (Identifier 1)]]="","",Master[[#This Row],[Accession Name (Identifier 1)]])</f>
        <v/>
      </c>
      <c r="E21" s="87">
        <f>IF(Master[[#This Row],[Date Collected or Developed]]="","",Master[[#This Row],[Date Collected or Developed]])</f>
        <v>44089</v>
      </c>
      <c r="F21" s="87">
        <f>IF(Master[[#This Row],[Received Date -received by site]]="","",Master[[#This Row],[Received Date -received by site]])</f>
        <v>44466</v>
      </c>
      <c r="G21" s="66" t="str">
        <f>IF(Master[[#This Row],[Taxon -Lookup Picker in GRIN]]="","",Master[[#This Row],[Taxon -Lookup Picker in GRIN]])</f>
        <v>Elymus elymoides</v>
      </c>
      <c r="H21" s="66" t="str">
        <f>IF(Master[[#This Row],[Inventory Maintenance Policy]]="","",Master[[#This Row],[Inventory Maintenance Policy]])</f>
        <v>w6_native</v>
      </c>
      <c r="I21" s="66" t="str">
        <f>IF(Master[[#This Row],[Geography (Collection) -Lookup Picker in GRIN]]="",#REF!,Master[[#This Row],[Geography (Collection) -Lookup Picker in GRIN]])</f>
        <v>United States, Colorado, Jackson</v>
      </c>
      <c r="J21" s="66" t="str">
        <f>IF(Master[[#This Row],[Collector Verbatim Locality]]="","",Master[[#This Row],[Collector Verbatim Locality]])</f>
        <v>BLM Area/ / From US-40E/CO-14E intersection take CO-14E for 17.4 miles, turn right/east onto CO Rd 34, follow for about 3 miles, take a slight right/southeast and follow dirt road to GPS point. Population is in grassy fields</v>
      </c>
      <c r="K21" s="91">
        <f>IF(Master[[#This Row],[Latitude -decimal degrees]]="","",Master[[#This Row],[Latitude -decimal degrees]])</f>
        <v>40.564219999999999</v>
      </c>
      <c r="L21" s="91">
        <f>IF(Master[[#This Row],[Longitude -decimal degrees]]="","",Master[[#This Row],[Longitude -decimal degrees]])</f>
        <v>-106.34797</v>
      </c>
      <c r="M21" s="66" t="str">
        <f>IF(Master[[#This Row],[Cooperator (Donor) 1 -full record]]="","",Master[[#This Row],[Cooperator (Donor) 1 -full record]])</f>
        <v>Bureau of Land Management, SOS project</v>
      </c>
    </row>
    <row r="22" spans="1:13" ht="210" x14ac:dyDescent="0.25">
      <c r="A22" s="89">
        <f t="shared" si="0"/>
        <v>20</v>
      </c>
      <c r="B22" s="89" t="str">
        <f>Master[[#This Row],[Accession Prefix (NPGS)]]&amp;" "&amp;Master[[#This Row],[Accession Number -Assigned]]</f>
        <v>W6 59608</v>
      </c>
      <c r="C22" s="89" t="str">
        <f>Master[[#This Row],[Inventory Prefix]]&amp;" "&amp;Master[[#This Row],[Inventory Number]]&amp;" "&amp;Master[[#This Row],[Inventory Suffix]]&amp;" "&amp;Master[[#This Row],[Inventory Type - Lookup Picker]]</f>
        <v>W6   SD</v>
      </c>
      <c r="D22" s="89" t="str">
        <f>IF(Master[[#This Row],[Accession Name (Identifier 1)]]="","",Master[[#This Row],[Accession Name (Identifier 1)]])</f>
        <v/>
      </c>
      <c r="E22" s="87">
        <f>IF(Master[[#This Row],[Date Collected or Developed]]="","",Master[[#This Row],[Date Collected or Developed]])</f>
        <v>44090</v>
      </c>
      <c r="F22" s="87">
        <f>IF(Master[[#This Row],[Received Date -received by site]]="","",Master[[#This Row],[Received Date -received by site]])</f>
        <v>44466</v>
      </c>
      <c r="G22" s="89" t="str">
        <f>IF(Master[[#This Row],[Taxon -Lookup Picker in GRIN]]="","",Master[[#This Row],[Taxon -Lookup Picker in GRIN]])</f>
        <v>Asclepias speciosa</v>
      </c>
      <c r="H22" s="89" t="str">
        <f>IF(Master[[#This Row],[Inventory Maintenance Policy]]="","",Master[[#This Row],[Inventory Maintenance Policy]])</f>
        <v>w6_native</v>
      </c>
      <c r="I22" s="89" t="str">
        <f>IF(Master[[#This Row],[Geography (Collection) -Lookup Picker in GRIN]]="",#REF!,Master[[#This Row],[Geography (Collection) -Lookup Picker in GRIN]])</f>
        <v>United States, Colorado, Eagle</v>
      </c>
      <c r="J22" s="89" t="str">
        <f>IF(Master[[#This Row],[Collector Verbatim Locality]]="","",Master[[#This Row],[Collector Verbatim Locality]])</f>
        <v>BLM Area/ CO-131/ From Wolcott, follow CO-131 north to GPS point, about .4 miles. Collection is along ditch .4 miles up/west the road</v>
      </c>
      <c r="K22" s="91">
        <f>IF(Master[[#This Row],[Latitude -decimal degrees]]="","",Master[[#This Row],[Latitude -decimal degrees]])</f>
        <v>39.704500000000003</v>
      </c>
      <c r="L22" s="91">
        <f>IF(Master[[#This Row],[Longitude -decimal degrees]]="","",Master[[#This Row],[Longitude -decimal degrees]])</f>
        <v>-106.68017</v>
      </c>
      <c r="M22" s="66" t="str">
        <f>IF(Master[[#This Row],[Cooperator (Donor) 1 -full record]]="","",Master[[#This Row],[Cooperator (Donor) 1 -full record]])</f>
        <v>Bureau of Land Management, SOS project</v>
      </c>
    </row>
    <row r="23" spans="1:13" ht="180" x14ac:dyDescent="0.25">
      <c r="A23" s="89">
        <f t="shared" si="0"/>
        <v>21</v>
      </c>
      <c r="B23" s="89" t="str">
        <f>Master[[#This Row],[Accession Prefix (NPGS)]]&amp;" "&amp;Master[[#This Row],[Accession Number -Assigned]]</f>
        <v>W6 59609</v>
      </c>
      <c r="C23" s="89" t="str">
        <f>Master[[#This Row],[Inventory Prefix]]&amp;" "&amp;Master[[#This Row],[Inventory Number]]&amp;" "&amp;Master[[#This Row],[Inventory Suffix]]&amp;" "&amp;Master[[#This Row],[Inventory Type - Lookup Picker]]</f>
        <v>W6   SD</v>
      </c>
      <c r="D23" s="89" t="str">
        <f>IF(Master[[#This Row],[Accession Name (Identifier 1)]]="","",Master[[#This Row],[Accession Name (Identifier 1)]])</f>
        <v/>
      </c>
      <c r="E23" s="87">
        <f>IF(Master[[#This Row],[Date Collected or Developed]]="","",Master[[#This Row],[Date Collected or Developed]])</f>
        <v>44090</v>
      </c>
      <c r="F23" s="87">
        <f>IF(Master[[#This Row],[Received Date -received by site]]="","",Master[[#This Row],[Received Date -received by site]])</f>
        <v>44466</v>
      </c>
      <c r="G23" s="89" t="str">
        <f>IF(Master[[#This Row],[Taxon -Lookup Picker in GRIN]]="","",Master[[#This Row],[Taxon -Lookup Picker in GRIN]])</f>
        <v>Chrysothamnus viscidiflorus</v>
      </c>
      <c r="H23" s="89" t="str">
        <f>IF(Master[[#This Row],[Inventory Maintenance Policy]]="","",Master[[#This Row],[Inventory Maintenance Policy]])</f>
        <v>w6_native</v>
      </c>
      <c r="I23" s="89" t="str">
        <f>IF(Master[[#This Row],[Geography (Collection) -Lookup Picker in GRIN]]="",#REF!,Master[[#This Row],[Geography (Collection) -Lookup Picker in GRIN]])</f>
        <v>United States, Colorado, Grand</v>
      </c>
      <c r="J23" s="89" t="str">
        <f>IF(Master[[#This Row],[Collector Verbatim Locality]]="","",Master[[#This Row],[Collector Verbatim Locality]])</f>
        <v>BLM Area/ Dirt road/ From Parshall take CO HWY 20 from US-40 E, follow for about 3.7 miles, park and walk to GPS point</v>
      </c>
      <c r="K23" s="91">
        <f>IF(Master[[#This Row],[Latitude -decimal degrees]]="","",Master[[#This Row],[Latitude -decimal degrees]])</f>
        <v>40.065899999999999</v>
      </c>
      <c r="L23" s="91">
        <f>IF(Master[[#This Row],[Longitude -decimal degrees]]="","",Master[[#This Row],[Longitude -decimal degrees]])</f>
        <v>-106.13357999999999</v>
      </c>
      <c r="M23" s="66" t="str">
        <f>IF(Master[[#This Row],[Cooperator (Donor) 1 -full record]]="","",Master[[#This Row],[Cooperator (Donor) 1 -full record]])</f>
        <v>Bureau of Land Management, SOS project</v>
      </c>
    </row>
    <row r="24" spans="1:13" ht="409.5" x14ac:dyDescent="0.25">
      <c r="A24" s="89">
        <f t="shared" si="0"/>
        <v>22</v>
      </c>
      <c r="B24" s="89" t="str">
        <f>Master[[#This Row],[Accession Prefix (NPGS)]]&amp;" "&amp;Master[[#This Row],[Accession Number -Assigned]]</f>
        <v>W6 59610</v>
      </c>
      <c r="C24" s="89" t="str">
        <f>Master[[#This Row],[Inventory Prefix]]&amp;" "&amp;Master[[#This Row],[Inventory Number]]&amp;" "&amp;Master[[#This Row],[Inventory Suffix]]&amp;" "&amp;Master[[#This Row],[Inventory Type - Lookup Picker]]</f>
        <v>W6   SD</v>
      </c>
      <c r="D24" s="89" t="str">
        <f>IF(Master[[#This Row],[Accession Name (Identifier 1)]]="","",Master[[#This Row],[Accession Name (Identifier 1)]])</f>
        <v/>
      </c>
      <c r="E24" s="87">
        <f>IF(Master[[#This Row],[Date Collected or Developed]]="","",Master[[#This Row],[Date Collected or Developed]])</f>
        <v>44091</v>
      </c>
      <c r="F24" s="87">
        <f>IF(Master[[#This Row],[Received Date -received by site]]="","",Master[[#This Row],[Received Date -received by site]])</f>
        <v>44466</v>
      </c>
      <c r="G24" s="89" t="str">
        <f>IF(Master[[#This Row],[Taxon -Lookup Picker in GRIN]]="","",Master[[#This Row],[Taxon -Lookup Picker in GRIN]])</f>
        <v>Ericameria nauseosa</v>
      </c>
      <c r="H24" s="89" t="str">
        <f>IF(Master[[#This Row],[Inventory Maintenance Policy]]="","",Master[[#This Row],[Inventory Maintenance Policy]])</f>
        <v>w6_native</v>
      </c>
      <c r="I24" s="89" t="str">
        <f>IF(Master[[#This Row],[Geography (Collection) -Lookup Picker in GRIN]]="",#REF!,Master[[#This Row],[Geography (Collection) -Lookup Picker in GRIN]])</f>
        <v>United States, Colorado, Jackson</v>
      </c>
      <c r="J24" s="89" t="str">
        <f>IF(Master[[#This Row],[Collector Verbatim Locality]]="","",Master[[#This Row],[Collector Verbatim Locality]])</f>
        <v>BLM area/ Dirt road/ From Coalmont on 26, take CO-14 southwest for 9 miles. Turn west onto dirt road with mailbox at the end running parallel to Lawrence Number 1 Ditch. Follow for 0.2 miles and veer south at split in road. Population is 0.15 miles down road, both northwest and southeast sides of road.</v>
      </c>
      <c r="K24" s="91">
        <f>IF(Master[[#This Row],[Latitude -decimal degrees]]="","",Master[[#This Row],[Latitude -decimal degrees]])</f>
        <v>40.444310000000002</v>
      </c>
      <c r="L24" s="91">
        <f>IF(Master[[#This Row],[Longitude -decimal degrees]]="","",Master[[#This Row],[Longitude -decimal degrees]])</f>
        <v>-106.45126</v>
      </c>
      <c r="M24" s="66" t="str">
        <f>IF(Master[[#This Row],[Cooperator (Donor) 1 -full record]]="","",Master[[#This Row],[Cooperator (Donor) 1 -full record]])</f>
        <v>Bureau of Land Management, SOS project</v>
      </c>
    </row>
    <row r="25" spans="1:13" ht="255" x14ac:dyDescent="0.25">
      <c r="A25" s="89">
        <f t="shared" si="0"/>
        <v>23</v>
      </c>
      <c r="B25" s="89" t="str">
        <f>Master[[#This Row],[Accession Prefix (NPGS)]]&amp;" "&amp;Master[[#This Row],[Accession Number -Assigned]]</f>
        <v>W6 59611</v>
      </c>
      <c r="C25" s="89" t="str">
        <f>Master[[#This Row],[Inventory Prefix]]&amp;" "&amp;Master[[#This Row],[Inventory Number]]&amp;" "&amp;Master[[#This Row],[Inventory Suffix]]&amp;" "&amp;Master[[#This Row],[Inventory Type - Lookup Picker]]</f>
        <v>W6   SD</v>
      </c>
      <c r="D25" s="89" t="str">
        <f>IF(Master[[#This Row],[Accession Name (Identifier 1)]]="","",Master[[#This Row],[Accession Name (Identifier 1)]])</f>
        <v/>
      </c>
      <c r="E25" s="87">
        <f>IF(Master[[#This Row],[Date Collected or Developed]]="","",Master[[#This Row],[Date Collected or Developed]])</f>
        <v>44098</v>
      </c>
      <c r="F25" s="87">
        <f>IF(Master[[#This Row],[Received Date -received by site]]="","",Master[[#This Row],[Received Date -received by site]])</f>
        <v>44466</v>
      </c>
      <c r="G25" s="89" t="str">
        <f>IF(Master[[#This Row],[Taxon -Lookup Picker in GRIN]]="","",Master[[#This Row],[Taxon -Lookup Picker in GRIN]])</f>
        <v>Chrysothamnus viscidiflorus</v>
      </c>
      <c r="H25" s="89" t="str">
        <f>IF(Master[[#This Row],[Inventory Maintenance Policy]]="","",Master[[#This Row],[Inventory Maintenance Policy]])</f>
        <v>w6_native</v>
      </c>
      <c r="I25" s="89" t="str">
        <f>IF(Master[[#This Row],[Geography (Collection) -Lookup Picker in GRIN]]="",#REF!,Master[[#This Row],[Geography (Collection) -Lookup Picker in GRIN]])</f>
        <v>United States, Colorado, Grand</v>
      </c>
      <c r="J25" s="89" t="str">
        <f>IF(Master[[#This Row],[Collector Verbatim Locality]]="","",Master[[#This Row],[Collector Verbatim Locality]])</f>
        <v>BLM Area/ / Highway 9 to Williams Peak Rd/FS200, go through gate, follow dirt road about 1.5 miles to GPS point. Collected on right/south side continuing uphill</v>
      </c>
      <c r="K25" s="91">
        <f>IF(Master[[#This Row],[Latitude -decimal degrees]]="","",Master[[#This Row],[Latitude -decimal degrees]])</f>
        <v>34.914870000000001</v>
      </c>
      <c r="L25" s="91">
        <f>IF(Master[[#This Row],[Longitude -decimal degrees]]="","",Master[[#This Row],[Longitude -decimal degrees]])</f>
        <v>-106.30195999999999</v>
      </c>
      <c r="M25" s="66" t="str">
        <f>IF(Master[[#This Row],[Cooperator (Donor) 1 -full record]]="","",Master[[#This Row],[Cooperator (Donor) 1 -full record]])</f>
        <v>Bureau of Land Management, SOS project</v>
      </c>
    </row>
    <row r="26" spans="1:13" ht="300" x14ac:dyDescent="0.25">
      <c r="A26" s="89">
        <f t="shared" si="0"/>
        <v>24</v>
      </c>
      <c r="B26" s="89" t="str">
        <f>Master[[#This Row],[Accession Prefix (NPGS)]]&amp;" "&amp;Master[[#This Row],[Accession Number -Assigned]]</f>
        <v>W6 59612</v>
      </c>
      <c r="C26" s="89" t="str">
        <f>Master[[#This Row],[Inventory Prefix]]&amp;" "&amp;Master[[#This Row],[Inventory Number]]&amp;" "&amp;Master[[#This Row],[Inventory Suffix]]&amp;" "&amp;Master[[#This Row],[Inventory Type - Lookup Picker]]</f>
        <v>W6   SD</v>
      </c>
      <c r="D26" s="89" t="str">
        <f>IF(Master[[#This Row],[Accession Name (Identifier 1)]]="","",Master[[#This Row],[Accession Name (Identifier 1)]])</f>
        <v/>
      </c>
      <c r="E26" s="87">
        <f>IF(Master[[#This Row],[Date Collected or Developed]]="","",Master[[#This Row],[Date Collected or Developed]])</f>
        <v>44098</v>
      </c>
      <c r="F26" s="87">
        <f>IF(Master[[#This Row],[Received Date -received by site]]="","",Master[[#This Row],[Received Date -received by site]])</f>
        <v>44466</v>
      </c>
      <c r="G26" s="89" t="str">
        <f>IF(Master[[#This Row],[Taxon -Lookup Picker in GRIN]]="","",Master[[#This Row],[Taxon -Lookup Picker in GRIN]])</f>
        <v>Ericameria nauseosa</v>
      </c>
      <c r="H26" s="89" t="str">
        <f>IF(Master[[#This Row],[Inventory Maintenance Policy]]="","",Master[[#This Row],[Inventory Maintenance Policy]])</f>
        <v>w6_native</v>
      </c>
      <c r="I26" s="89" t="str">
        <f>IF(Master[[#This Row],[Geography (Collection) -Lookup Picker in GRIN]]="",#REF!,Master[[#This Row],[Geography (Collection) -Lookup Picker in GRIN]])</f>
        <v>United States, Colorado, Grand</v>
      </c>
      <c r="J26" s="89" t="str">
        <f>IF(Master[[#This Row],[Collector Verbatim Locality]]="","",Master[[#This Row],[Collector Verbatim Locality]])</f>
        <v>BLM Area/ / From Kremmling head east on Park Ave/US-40, turn left/north onto 22nd St, continue onto CO HWY 22 for about 8.3 miles, turn left/north onto County Rd 2, follow for about 5.3 miles to GPS point</v>
      </c>
      <c r="K26" s="91">
        <f>IF(Master[[#This Row],[Latitude -decimal degrees]]="","",Master[[#This Row],[Latitude -decimal degrees]])</f>
        <v>40.201250000000002</v>
      </c>
      <c r="L26" s="91">
        <f>IF(Master[[#This Row],[Longitude -decimal degrees]]="","",Master[[#This Row],[Longitude -decimal degrees]])</f>
        <v>-106.33041</v>
      </c>
      <c r="M26" s="66" t="str">
        <f>IF(Master[[#This Row],[Cooperator (Donor) 1 -full record]]="","",Master[[#This Row],[Cooperator (Donor) 1 -full record]])</f>
        <v>Bureau of Land Management, SOS project</v>
      </c>
    </row>
    <row r="27" spans="1:13" ht="409.5" x14ac:dyDescent="0.25">
      <c r="A27" s="89">
        <f t="shared" si="0"/>
        <v>25</v>
      </c>
      <c r="B27" s="89" t="str">
        <f>Master[[#This Row],[Accession Prefix (NPGS)]]&amp;" "&amp;Master[[#This Row],[Accession Number -Assigned]]</f>
        <v>W6 59613</v>
      </c>
      <c r="C27" s="89" t="str">
        <f>Master[[#This Row],[Inventory Prefix]]&amp;" "&amp;Master[[#This Row],[Inventory Number]]&amp;" "&amp;Master[[#This Row],[Inventory Suffix]]&amp;" "&amp;Master[[#This Row],[Inventory Type - Lookup Picker]]</f>
        <v>W6   SD</v>
      </c>
      <c r="D27" s="89" t="str">
        <f>IF(Master[[#This Row],[Accession Name (Identifier 1)]]="","",Master[[#This Row],[Accession Name (Identifier 1)]])</f>
        <v/>
      </c>
      <c r="E27" s="87">
        <f>IF(Master[[#This Row],[Date Collected or Developed]]="","",Master[[#This Row],[Date Collected or Developed]])</f>
        <v>44104</v>
      </c>
      <c r="F27" s="87">
        <f>IF(Master[[#This Row],[Received Date -received by site]]="","",Master[[#This Row],[Received Date -received by site]])</f>
        <v>44466</v>
      </c>
      <c r="G27" s="89" t="str">
        <f>IF(Master[[#This Row],[Taxon -Lookup Picker in GRIN]]="","",Master[[#This Row],[Taxon -Lookup Picker in GRIN]])</f>
        <v>Chrysothamnus viscidiflorus</v>
      </c>
      <c r="H27" s="89" t="str">
        <f>IF(Master[[#This Row],[Inventory Maintenance Policy]]="","",Master[[#This Row],[Inventory Maintenance Policy]])</f>
        <v>w6_native</v>
      </c>
      <c r="I27" s="89" t="str">
        <f>IF(Master[[#This Row],[Geography (Collection) -Lookup Picker in GRIN]]="",#REF!,Master[[#This Row],[Geography (Collection) -Lookup Picker in GRIN]])</f>
        <v>United States, Colorado, Eagle</v>
      </c>
      <c r="J27" s="89" t="str">
        <f>IF(Master[[#This Row],[Collector Verbatim Locality]]="","",Master[[#This Row],[Collector Verbatim Locality]])</f>
        <v>BLM area/ Dirt road/ Take CO-131 south from Toponas, turn south west on Colorado River Rd, follow for 1.4 miles and turn north 8600. Follow 8600 for 0.4 miles taking the two-track northwest. Stop at Y. Population is about 0.1 miles on both west and east sides of ditch spreading up the hillsides.</v>
      </c>
      <c r="K27" s="91">
        <f>IF(Master[[#This Row],[Latitude -decimal degrees]]="","",Master[[#This Row],[Latitude -decimal degrees]])</f>
        <v>39.910409999999999</v>
      </c>
      <c r="L27" s="91">
        <f>IF(Master[[#This Row],[Longitude -decimal degrees]]="","",Master[[#This Row],[Longitude -decimal degrees]])</f>
        <v>-106.75167</v>
      </c>
      <c r="M27" s="66" t="str">
        <f>IF(Master[[#This Row],[Cooperator (Donor) 1 -full record]]="","",Master[[#This Row],[Cooperator (Donor) 1 -full record]])</f>
        <v>Bureau of Land Management, SOS project</v>
      </c>
    </row>
    <row r="28" spans="1:13" ht="345" x14ac:dyDescent="0.25">
      <c r="A28" s="89">
        <f t="shared" si="0"/>
        <v>26</v>
      </c>
      <c r="B28" s="89" t="str">
        <f>Master[[#This Row],[Accession Prefix (NPGS)]]&amp;" "&amp;Master[[#This Row],[Accession Number -Assigned]]</f>
        <v>W6 59614</v>
      </c>
      <c r="C28" s="89" t="str">
        <f>Master[[#This Row],[Inventory Prefix]]&amp;" "&amp;Master[[#This Row],[Inventory Number]]&amp;" "&amp;Master[[#This Row],[Inventory Suffix]]&amp;" "&amp;Master[[#This Row],[Inventory Type - Lookup Picker]]</f>
        <v>W6   SD</v>
      </c>
      <c r="D28" s="89" t="str">
        <f>IF(Master[[#This Row],[Accession Name (Identifier 1)]]="","",Master[[#This Row],[Accession Name (Identifier 1)]])</f>
        <v/>
      </c>
      <c r="E28" s="87">
        <f>IF(Master[[#This Row],[Date Collected or Developed]]="","",Master[[#This Row],[Date Collected or Developed]])</f>
        <v>44104</v>
      </c>
      <c r="F28" s="87">
        <f>IF(Master[[#This Row],[Received Date -received by site]]="","",Master[[#This Row],[Received Date -received by site]])</f>
        <v>44466</v>
      </c>
      <c r="G28" s="89" t="str">
        <f>IF(Master[[#This Row],[Taxon -Lookup Picker in GRIN]]="","",Master[[#This Row],[Taxon -Lookup Picker in GRIN]])</f>
        <v>Ericameria nauseosa</v>
      </c>
      <c r="H28" s="89" t="str">
        <f>IF(Master[[#This Row],[Inventory Maintenance Policy]]="","",Master[[#This Row],[Inventory Maintenance Policy]])</f>
        <v>w6_native</v>
      </c>
      <c r="I28" s="89" t="str">
        <f>IF(Master[[#This Row],[Geography (Collection) -Lookup Picker in GRIN]]="",#REF!,Master[[#This Row],[Geography (Collection) -Lookup Picker in GRIN]])</f>
        <v>United States, Colorado, Eagle</v>
      </c>
      <c r="J28" s="89" t="str">
        <f>IF(Master[[#This Row],[Collector Verbatim Locality]]="","",Master[[#This Row],[Collector Verbatim Locality]])</f>
        <v>BLM Area/ / From Toponas, head south on CO-131 S, after about 2 miles take a right/west onto Colorado River Rd, follow for about 1.5 miles then take a right/north onto 8600, follow for about .4 miles, park and walk out to GPS point</v>
      </c>
      <c r="K28" s="91">
        <f>IF(Master[[#This Row],[Latitude -decimal degrees]]="","",Master[[#This Row],[Latitude -decimal degrees]])</f>
        <v>39.910420000000002</v>
      </c>
      <c r="L28" s="91">
        <f>IF(Master[[#This Row],[Longitude -decimal degrees]]="","",Master[[#This Row],[Longitude -decimal degrees]])</f>
        <v>-106.75167999999999</v>
      </c>
      <c r="M28" s="66" t="str">
        <f>IF(Master[[#This Row],[Cooperator (Donor) 1 -full record]]="","",Master[[#This Row],[Cooperator (Donor) 1 -full record]])</f>
        <v>Bureau of Land Management, SOS project</v>
      </c>
    </row>
    <row r="29" spans="1:13" ht="270" x14ac:dyDescent="0.25">
      <c r="A29" s="89">
        <f t="shared" si="0"/>
        <v>27</v>
      </c>
      <c r="B29" s="89" t="str">
        <f>Master[[#This Row],[Accession Prefix (NPGS)]]&amp;" "&amp;Master[[#This Row],[Accession Number -Assigned]]</f>
        <v>W6 59615</v>
      </c>
      <c r="C29" s="89" t="str">
        <f>Master[[#This Row],[Inventory Prefix]]&amp;" "&amp;Master[[#This Row],[Inventory Number]]&amp;" "&amp;Master[[#This Row],[Inventory Suffix]]&amp;" "&amp;Master[[#This Row],[Inventory Type - Lookup Picker]]</f>
        <v>W6   SD</v>
      </c>
      <c r="D29" s="89" t="str">
        <f>IF(Master[[#This Row],[Accession Name (Identifier 1)]]="","",Master[[#This Row],[Accession Name (Identifier 1)]])</f>
        <v/>
      </c>
      <c r="E29" s="87">
        <f>IF(Master[[#This Row],[Date Collected or Developed]]="","",Master[[#This Row],[Date Collected or Developed]])</f>
        <v>44112</v>
      </c>
      <c r="F29" s="87">
        <f>IF(Master[[#This Row],[Received Date -received by site]]="","",Master[[#This Row],[Received Date -received by site]])</f>
        <v>44466</v>
      </c>
      <c r="G29" s="89" t="str">
        <f>IF(Master[[#This Row],[Taxon -Lookup Picker in GRIN]]="","",Master[[#This Row],[Taxon -Lookup Picker in GRIN]])</f>
        <v>Ericameria nauseosa</v>
      </c>
      <c r="H29" s="89" t="str">
        <f>IF(Master[[#This Row],[Inventory Maintenance Policy]]="","",Master[[#This Row],[Inventory Maintenance Policy]])</f>
        <v>w6_native</v>
      </c>
      <c r="I29" s="89" t="str">
        <f>IF(Master[[#This Row],[Geography (Collection) -Lookup Picker in GRIN]]="",#REF!,Master[[#This Row],[Geography (Collection) -Lookup Picker in GRIN]])</f>
        <v>United States, Colorado, Grand</v>
      </c>
      <c r="J29" s="89" t="str">
        <f>IF(Master[[#This Row],[Collector Verbatim Locality]]="","",Master[[#This Row],[Collector Verbatim Locality]])</f>
        <v>BLM Area/ / From Kremmling head south on CO-9S/6th St for about 2 miles, turn left/east onto CO HWY 33, follow for 6 miles to pull off on left/north, park and walk over to GPS point</v>
      </c>
      <c r="K29" s="91">
        <f>IF(Master[[#This Row],[Latitude -decimal degrees]]="","",Master[[#This Row],[Latitude -decimal degrees]])</f>
        <v>40.460680000000004</v>
      </c>
      <c r="L29" s="91">
        <f>IF(Master[[#This Row],[Longitude -decimal degrees]]="","",Master[[#This Row],[Longitude -decimal degrees]])</f>
        <v>-106.26926</v>
      </c>
      <c r="M29" s="66" t="str">
        <f>IF(Master[[#This Row],[Cooperator (Donor) 1 -full record]]="","",Master[[#This Row],[Cooperator (Donor) 1 -full record]])</f>
        <v>Bureau of Land Management, SOS project</v>
      </c>
    </row>
    <row r="30" spans="1:13" ht="409.5" x14ac:dyDescent="0.25">
      <c r="A30" s="89">
        <f t="shared" si="0"/>
        <v>28</v>
      </c>
      <c r="B30" s="89" t="str">
        <f>Master[[#This Row],[Accession Prefix (NPGS)]]&amp;" "&amp;Master[[#This Row],[Accession Number -Assigned]]</f>
        <v>W6 59616</v>
      </c>
      <c r="C30" s="89" t="str">
        <f>Master[[#This Row],[Inventory Prefix]]&amp;" "&amp;Master[[#This Row],[Inventory Number]]&amp;" "&amp;Master[[#This Row],[Inventory Suffix]]&amp;" "&amp;Master[[#This Row],[Inventory Type - Lookup Picker]]</f>
        <v>W6   SD</v>
      </c>
      <c r="D30" s="89" t="str">
        <f>IF(Master[[#This Row],[Accession Name (Identifier 1)]]="","",Master[[#This Row],[Accession Name (Identifier 1)]])</f>
        <v/>
      </c>
      <c r="E30" s="87">
        <f>IF(Master[[#This Row],[Date Collected or Developed]]="","",Master[[#This Row],[Date Collected or Developed]])</f>
        <v>44126</v>
      </c>
      <c r="F30" s="87">
        <f>IF(Master[[#This Row],[Received Date -received by site]]="","",Master[[#This Row],[Received Date -received by site]])</f>
        <v>44466</v>
      </c>
      <c r="G30" s="89" t="str">
        <f>IF(Master[[#This Row],[Taxon -Lookup Picker in GRIN]]="","",Master[[#This Row],[Taxon -Lookup Picker in GRIN]])</f>
        <v>Artemisia tridentata subsp. vaseyana</v>
      </c>
      <c r="H30" s="89" t="str">
        <f>IF(Master[[#This Row],[Inventory Maintenance Policy]]="","",Master[[#This Row],[Inventory Maintenance Policy]])</f>
        <v>w6_native</v>
      </c>
      <c r="I30" s="89" t="str">
        <f>IF(Master[[#This Row],[Geography (Collection) -Lookup Picker in GRIN]]="",#REF!,Master[[#This Row],[Geography (Collection) -Lookup Picker in GRIN]])</f>
        <v>United States, Colorado, Routt</v>
      </c>
      <c r="J30" s="89" t="str">
        <f>IF(Master[[#This Row],[Collector Verbatim Locality]]="","",Master[[#This Row],[Collector Verbatim Locality]])</f>
        <v>BLM Area/ Ridge Trail/ From Steamboat Springs take US-40W/S Lincoln Ave north, turn left/northwest onto 13th St, continue onto CO Rd 33, turn left/south onto CO Rd 45, for .9 miles to Emerald Mountain, park in the lot and walk up the multi-use trail, species is in lot and follows trails</v>
      </c>
      <c r="K30" s="91">
        <f>IF(Master[[#This Row],[Latitude -decimal degrees]]="","",Master[[#This Row],[Latitude -decimal degrees]])</f>
        <v>40.454320000000003</v>
      </c>
      <c r="L30" s="91">
        <f>IF(Master[[#This Row],[Longitude -decimal degrees]]="","",Master[[#This Row],[Longitude -decimal degrees]])</f>
        <v>-106.91705</v>
      </c>
      <c r="M30" s="66" t="str">
        <f>IF(Master[[#This Row],[Cooperator (Donor) 1 -full record]]="","",Master[[#This Row],[Cooperator (Donor) 1 -full record]])</f>
        <v>Bureau of Land Management, SOS project</v>
      </c>
    </row>
    <row r="31" spans="1:13" ht="165" x14ac:dyDescent="0.25">
      <c r="A31" s="89">
        <f t="shared" si="0"/>
        <v>29</v>
      </c>
      <c r="B31" s="89" t="str">
        <f>Master[[#This Row],[Accession Prefix (NPGS)]]&amp;" "&amp;Master[[#This Row],[Accession Number -Assigned]]</f>
        <v>W6 59617</v>
      </c>
      <c r="C31" s="89" t="str">
        <f>Master[[#This Row],[Inventory Prefix]]&amp;" "&amp;Master[[#This Row],[Inventory Number]]&amp;" "&amp;Master[[#This Row],[Inventory Suffix]]&amp;" "&amp;Master[[#This Row],[Inventory Type - Lookup Picker]]</f>
        <v>W6   SD</v>
      </c>
      <c r="D31" s="89" t="str">
        <f>IF(Master[[#This Row],[Accession Name (Identifier 1)]]="","",Master[[#This Row],[Accession Name (Identifier 1)]])</f>
        <v/>
      </c>
      <c r="E31" s="87">
        <f>IF(Master[[#This Row],[Date Collected or Developed]]="","",Master[[#This Row],[Date Collected or Developed]])</f>
        <v>44068</v>
      </c>
      <c r="F31" s="87">
        <f>IF(Master[[#This Row],[Received Date -received by site]]="","",Master[[#This Row],[Received Date -received by site]])</f>
        <v>44466</v>
      </c>
      <c r="G31" s="89" t="str">
        <f>IF(Master[[#This Row],[Taxon -Lookup Picker in GRIN]]="","",Master[[#This Row],[Taxon -Lookup Picker in GRIN]])</f>
        <v>Puccinellia nuttalliana</v>
      </c>
      <c r="H31" s="89" t="str">
        <f>IF(Master[[#This Row],[Inventory Maintenance Policy]]="","",Master[[#This Row],[Inventory Maintenance Policy]])</f>
        <v>w6_native</v>
      </c>
      <c r="I31" s="89" t="str">
        <f>IF(Master[[#This Row],[Geography (Collection) -Lookup Picker in GRIN]]="",#REF!,Master[[#This Row],[Geography (Collection) -Lookup Picker in GRIN]])</f>
        <v>United States, California, Mono</v>
      </c>
      <c r="J31" s="89" t="str">
        <f>IF(Master[[#This Row],[Collector Verbatim Locality]]="","",Master[[#This Row],[Collector Verbatim Locality]])</f>
        <v>Inyo National Forest/ Mono Lake/ Grassy area near lakeshore. North of large rabbitbrush patch.</v>
      </c>
      <c r="K31" s="91">
        <f>IF(Master[[#This Row],[Latitude -decimal degrees]]="","",Master[[#This Row],[Latitude -decimal degrees]])</f>
        <v>38.052909999999997</v>
      </c>
      <c r="L31" s="91">
        <f>IF(Master[[#This Row],[Longitude -decimal degrees]]="","",Master[[#This Row],[Longitude -decimal degrees]])</f>
        <v>-119.07544</v>
      </c>
      <c r="M31" s="66" t="str">
        <f>IF(Master[[#This Row],[Cooperator (Donor) 1 -full record]]="","",Master[[#This Row],[Cooperator (Donor) 1 -full record]])</f>
        <v>Bureau of Land Management, SOS project</v>
      </c>
    </row>
    <row r="32" spans="1:13" ht="300" x14ac:dyDescent="0.25">
      <c r="A32" s="89">
        <f t="shared" si="0"/>
        <v>30</v>
      </c>
      <c r="B32" s="89" t="str">
        <f>Master[[#This Row],[Accession Prefix (NPGS)]]&amp;" "&amp;Master[[#This Row],[Accession Number -Assigned]]</f>
        <v>W6 59618</v>
      </c>
      <c r="C32" s="89" t="str">
        <f>Master[[#This Row],[Inventory Prefix]]&amp;" "&amp;Master[[#This Row],[Inventory Number]]&amp;" "&amp;Master[[#This Row],[Inventory Suffix]]&amp;" "&amp;Master[[#This Row],[Inventory Type - Lookup Picker]]</f>
        <v>W6   SD</v>
      </c>
      <c r="D32" s="89" t="str">
        <f>IF(Master[[#This Row],[Accession Name (Identifier 1)]]="","",Master[[#This Row],[Accession Name (Identifier 1)]])</f>
        <v/>
      </c>
      <c r="E32" s="87">
        <f>IF(Master[[#This Row],[Date Collected or Developed]]="","",Master[[#This Row],[Date Collected or Developed]])</f>
        <v>44076</v>
      </c>
      <c r="F32" s="87">
        <f>IF(Master[[#This Row],[Received Date -received by site]]="","",Master[[#This Row],[Received Date -received by site]])</f>
        <v>44466</v>
      </c>
      <c r="G32" s="89" t="str">
        <f>IF(Master[[#This Row],[Taxon -Lookup Picker in GRIN]]="","",Master[[#This Row],[Taxon -Lookup Picker in GRIN]])</f>
        <v>Eriogonum umbellatum</v>
      </c>
      <c r="H32" s="89" t="str">
        <f>IF(Master[[#This Row],[Inventory Maintenance Policy]]="","",Master[[#This Row],[Inventory Maintenance Policy]])</f>
        <v>w6_native</v>
      </c>
      <c r="I32" s="89" t="str">
        <f>IF(Master[[#This Row],[Geography (Collection) -Lookup Picker in GRIN]]="",#REF!,Master[[#This Row],[Geography (Collection) -Lookup Picker in GRIN]])</f>
        <v>United States, California, Mono</v>
      </c>
      <c r="J32" s="89" t="str">
        <f>IF(Master[[#This Row],[Collector Verbatim Locality]]="","",Master[[#This Row],[Collector Verbatim Locality]])</f>
        <v>Inyo National Forest/ Grant Lake/ End of service road. West of 158, drive to turnaround point, hike East towards Grant Lake Marina, between road and first "shelf"/plateau</v>
      </c>
      <c r="K32" s="91">
        <f>IF(Master[[#This Row],[Latitude -decimal degrees]]="","",Master[[#This Row],[Latitude -decimal degrees]])</f>
        <v>37.834879999999998</v>
      </c>
      <c r="L32" s="91">
        <f>IF(Master[[#This Row],[Longitude -decimal degrees]]="","",Master[[#This Row],[Longitude -decimal degrees]])</f>
        <v>-119.12738</v>
      </c>
      <c r="M32" s="66" t="str">
        <f>IF(Master[[#This Row],[Cooperator (Donor) 1 -full record]]="","",Master[[#This Row],[Cooperator (Donor) 1 -full record]])</f>
        <v>Bureau of Land Management, SOS project</v>
      </c>
    </row>
    <row r="33" spans="1:13" ht="409.5" x14ac:dyDescent="0.25">
      <c r="A33" s="89">
        <f t="shared" si="0"/>
        <v>31</v>
      </c>
      <c r="B33" s="89" t="str">
        <f>Master[[#This Row],[Accession Prefix (NPGS)]]&amp;" "&amp;Master[[#This Row],[Accession Number -Assigned]]</f>
        <v>W6 59619</v>
      </c>
      <c r="C33" s="89" t="str">
        <f>Master[[#This Row],[Inventory Prefix]]&amp;" "&amp;Master[[#This Row],[Inventory Number]]&amp;" "&amp;Master[[#This Row],[Inventory Suffix]]&amp;" "&amp;Master[[#This Row],[Inventory Type - Lookup Picker]]</f>
        <v>W6   SD</v>
      </c>
      <c r="D33" s="89" t="str">
        <f>IF(Master[[#This Row],[Accession Name (Identifier 1)]]="","",Master[[#This Row],[Accession Name (Identifier 1)]])</f>
        <v/>
      </c>
      <c r="E33" s="87">
        <f>IF(Master[[#This Row],[Date Collected or Developed]]="","",Master[[#This Row],[Date Collected or Developed]])</f>
        <v>44077</v>
      </c>
      <c r="F33" s="87">
        <f>IF(Master[[#This Row],[Received Date -received by site]]="","",Master[[#This Row],[Received Date -received by site]])</f>
        <v>44466</v>
      </c>
      <c r="G33" s="89" t="str">
        <f>IF(Master[[#This Row],[Taxon -Lookup Picker in GRIN]]="","",Master[[#This Row],[Taxon -Lookup Picker in GRIN]])</f>
        <v>Angelica lineariloba</v>
      </c>
      <c r="H33" s="89" t="str">
        <f>IF(Master[[#This Row],[Inventory Maintenance Policy]]="","",Master[[#This Row],[Inventory Maintenance Policy]])</f>
        <v>w6_native</v>
      </c>
      <c r="I33" s="89" t="str">
        <f>IF(Master[[#This Row],[Geography (Collection) -Lookup Picker in GRIN]]="",#REF!,Master[[#This Row],[Geography (Collection) -Lookup Picker in GRIN]])</f>
        <v>United States, California, Mono</v>
      </c>
      <c r="J33" s="89" t="str">
        <f>IF(Master[[#This Row],[Collector Verbatim Locality]]="","",Master[[#This Row],[Collector Verbatim Locality]])</f>
        <v>Inyo National Forest/ Mono Craters/ From 395 S, turn east onto HWY 120. Follow 120 for approx. 3 miles. Then turn left onto Mono Craters road. Follow dirt road for approx. 0.3 miles, keeping left at fork. Road ends in parking area. Follow hiking path around the mountain and up through the valley for approx. 1.5 miles, Plants are on either side of trail up and down slope.</v>
      </c>
      <c r="K33" s="91">
        <f>IF(Master[[#This Row],[Latitude -decimal degrees]]="","",Master[[#This Row],[Latitude -decimal degrees]])</f>
        <v>37.850439999999999</v>
      </c>
      <c r="L33" s="91">
        <f>IF(Master[[#This Row],[Longitude -decimal degrees]]="","",Master[[#This Row],[Longitude -decimal degrees]])</f>
        <v>-119.08277</v>
      </c>
      <c r="M33" s="66" t="str">
        <f>IF(Master[[#This Row],[Cooperator (Donor) 1 -full record]]="","",Master[[#This Row],[Cooperator (Donor) 1 -full record]])</f>
        <v>Bureau of Land Management, SOS project</v>
      </c>
    </row>
    <row r="34" spans="1:13" ht="285" x14ac:dyDescent="0.25">
      <c r="A34" s="89">
        <f t="shared" ref="A34:A65" si="1">ROW()-2</f>
        <v>32</v>
      </c>
      <c r="B34" s="89" t="str">
        <f>Master[[#This Row],[Accession Prefix (NPGS)]]&amp;" "&amp;Master[[#This Row],[Accession Number -Assigned]]</f>
        <v>W6 59620</v>
      </c>
      <c r="C34" s="89" t="str">
        <f>Master[[#This Row],[Inventory Prefix]]&amp;" "&amp;Master[[#This Row],[Inventory Number]]&amp;" "&amp;Master[[#This Row],[Inventory Suffix]]&amp;" "&amp;Master[[#This Row],[Inventory Type - Lookup Picker]]</f>
        <v>W6   SD</v>
      </c>
      <c r="D34" s="89" t="str">
        <f>IF(Master[[#This Row],[Accession Name (Identifier 1)]]="","",Master[[#This Row],[Accession Name (Identifier 1)]])</f>
        <v/>
      </c>
      <c r="E34" s="87">
        <f>IF(Master[[#This Row],[Date Collected or Developed]]="","",Master[[#This Row],[Date Collected or Developed]])</f>
        <v>44084</v>
      </c>
      <c r="F34" s="87">
        <f>IF(Master[[#This Row],[Received Date -received by site]]="","",Master[[#This Row],[Received Date -received by site]])</f>
        <v>44466</v>
      </c>
      <c r="G34" s="89" t="str">
        <f>IF(Master[[#This Row],[Taxon -Lookup Picker in GRIN]]="","",Master[[#This Row],[Taxon -Lookup Picker in GRIN]])</f>
        <v>Asclepias fascicularis</v>
      </c>
      <c r="H34" s="89" t="str">
        <f>IF(Master[[#This Row],[Inventory Maintenance Policy]]="","",Master[[#This Row],[Inventory Maintenance Policy]])</f>
        <v>w6_native</v>
      </c>
      <c r="I34" s="89" t="str">
        <f>IF(Master[[#This Row],[Geography (Collection) -Lookup Picker in GRIN]]="",#REF!,Master[[#This Row],[Geography (Collection) -Lookup Picker in GRIN]])</f>
        <v>United States, Nevada, Washoe</v>
      </c>
      <c r="J34" s="89" t="str">
        <f>IF(Master[[#This Row],[Collector Verbatim Locality]]="","",Master[[#This Row],[Collector Verbatim Locality]])</f>
        <v>Washoe Lake State Park/ Miner's Mayhem parking lot/ West of Eastlake Blvd., off of County road 222. Around parking lot with mine maze and between this parking lot and the group area parking lot.</v>
      </c>
      <c r="K34" s="91">
        <f>IF(Master[[#This Row],[Latitude -decimal degrees]]="","",Master[[#This Row],[Latitude -decimal degrees]])</f>
        <v>39.239249999999998</v>
      </c>
      <c r="L34" s="91">
        <f>IF(Master[[#This Row],[Longitude -decimal degrees]]="","",Master[[#This Row],[Longitude -decimal degrees]])</f>
        <v>-119.76730000000001</v>
      </c>
      <c r="M34" s="66" t="str">
        <f>IF(Master[[#This Row],[Cooperator (Donor) 1 -full record]]="","",Master[[#This Row],[Cooperator (Donor) 1 -full record]])</f>
        <v>Bureau of Land Management, SOS project</v>
      </c>
    </row>
    <row r="35" spans="1:13" ht="270" x14ac:dyDescent="0.25">
      <c r="A35" s="89">
        <f t="shared" si="1"/>
        <v>33</v>
      </c>
      <c r="B35" s="89" t="str">
        <f>Master[[#This Row],[Accession Prefix (NPGS)]]&amp;" "&amp;Master[[#This Row],[Accession Number -Assigned]]</f>
        <v>W6 59621</v>
      </c>
      <c r="C35" s="89" t="str">
        <f>Master[[#This Row],[Inventory Prefix]]&amp;" "&amp;Master[[#This Row],[Inventory Number]]&amp;" "&amp;Master[[#This Row],[Inventory Suffix]]&amp;" "&amp;Master[[#This Row],[Inventory Type - Lookup Picker]]</f>
        <v>W6   SD</v>
      </c>
      <c r="D35" s="89" t="str">
        <f>IF(Master[[#This Row],[Accession Name (Identifier 1)]]="","",Master[[#This Row],[Accession Name (Identifier 1)]])</f>
        <v/>
      </c>
      <c r="E35" s="87">
        <f>IF(Master[[#This Row],[Date Collected or Developed]]="","",Master[[#This Row],[Date Collected or Developed]])</f>
        <v>44096</v>
      </c>
      <c r="F35" s="87">
        <f>IF(Master[[#This Row],[Received Date -received by site]]="","",Master[[#This Row],[Received Date -received by site]])</f>
        <v>44466</v>
      </c>
      <c r="G35" s="89" t="str">
        <f>IF(Master[[#This Row],[Taxon -Lookup Picker in GRIN]]="","",Master[[#This Row],[Taxon -Lookup Picker in GRIN]])</f>
        <v>Asclepias speciosa</v>
      </c>
      <c r="H35" s="89" t="str">
        <f>IF(Master[[#This Row],[Inventory Maintenance Policy]]="","",Master[[#This Row],[Inventory Maintenance Policy]])</f>
        <v>w6_native</v>
      </c>
      <c r="I35" s="89" t="str">
        <f>IF(Master[[#This Row],[Geography (Collection) -Lookup Picker in GRIN]]="",#REF!,Master[[#This Row],[Geography (Collection) -Lookup Picker in GRIN]])</f>
        <v>United States, Nevada, Lyon</v>
      </c>
      <c r="J35" s="89" t="str">
        <f>IF(Master[[#This Row],[Collector Verbatim Locality]]="","",Master[[#This Row],[Collector Verbatim Locality]])</f>
        <v>/ / 136 E Walker Rd., Yerington, NV Farthest north pasture, road runs between properties, follow for 1/8 mile until secondary road on right; will see Showy under willow.</v>
      </c>
      <c r="K35" s="91">
        <f>IF(Master[[#This Row],[Latitude -decimal degrees]]="","",Master[[#This Row],[Latitude -decimal degrees]])</f>
        <v>38.782940000000004</v>
      </c>
      <c r="L35" s="91">
        <f>IF(Master[[#This Row],[Longitude -decimal degrees]]="","",Master[[#This Row],[Longitude -decimal degrees]])</f>
        <v>-119.0333</v>
      </c>
      <c r="M35" s="66" t="str">
        <f>IF(Master[[#This Row],[Cooperator (Donor) 1 -full record]]="","",Master[[#This Row],[Cooperator (Donor) 1 -full record]])</f>
        <v>Bureau of Land Management, SOS project</v>
      </c>
    </row>
    <row r="36" spans="1:13" ht="135" x14ac:dyDescent="0.25">
      <c r="A36" s="89">
        <f t="shared" si="1"/>
        <v>34</v>
      </c>
      <c r="B36" s="89" t="str">
        <f>Master[[#This Row],[Accession Prefix (NPGS)]]&amp;" "&amp;Master[[#This Row],[Accession Number -Assigned]]</f>
        <v>W6 59622</v>
      </c>
      <c r="C36" s="89" t="str">
        <f>Master[[#This Row],[Inventory Prefix]]&amp;" "&amp;Master[[#This Row],[Inventory Number]]&amp;" "&amp;Master[[#This Row],[Inventory Suffix]]&amp;" "&amp;Master[[#This Row],[Inventory Type - Lookup Picker]]</f>
        <v>W6   SD</v>
      </c>
      <c r="D36" s="89" t="str">
        <f>IF(Master[[#This Row],[Accession Name (Identifier 1)]]="","",Master[[#This Row],[Accession Name (Identifier 1)]])</f>
        <v/>
      </c>
      <c r="E36" s="87">
        <f>IF(Master[[#This Row],[Date Collected or Developed]]="","",Master[[#This Row],[Date Collected or Developed]])</f>
        <v>44096</v>
      </c>
      <c r="F36" s="87">
        <f>IF(Master[[#This Row],[Received Date -received by site]]="","",Master[[#This Row],[Received Date -received by site]])</f>
        <v>44466</v>
      </c>
      <c r="G36" s="89" t="str">
        <f>IF(Master[[#This Row],[Taxon -Lookup Picker in GRIN]]="","",Master[[#This Row],[Taxon -Lookup Picker in GRIN]])</f>
        <v>Grindelia squarrosa</v>
      </c>
      <c r="H36" s="89" t="str">
        <f>IF(Master[[#This Row],[Inventory Maintenance Policy]]="","",Master[[#This Row],[Inventory Maintenance Policy]])</f>
        <v>w6_native</v>
      </c>
      <c r="I36" s="89" t="str">
        <f>IF(Master[[#This Row],[Geography (Collection) -Lookup Picker in GRIN]]="",#REF!,Master[[#This Row],[Geography (Collection) -Lookup Picker in GRIN]])</f>
        <v>United States, Nevada, Lyon</v>
      </c>
      <c r="J36" s="89" t="str">
        <f>IF(Master[[#This Row],[Collector Verbatim Locality]]="","",Master[[#This Row],[Collector Verbatim Locality]])</f>
        <v>Santa Margarita Ranch/ West pasture/ 136 E Walker Rd., Yerington, NV</v>
      </c>
      <c r="K36" s="91">
        <f>IF(Master[[#This Row],[Latitude -decimal degrees]]="","",Master[[#This Row],[Latitude -decimal degrees]])</f>
        <v>38.765189999999997</v>
      </c>
      <c r="L36" s="91">
        <f>IF(Master[[#This Row],[Longitude -decimal degrees]]="","",Master[[#This Row],[Longitude -decimal degrees]])</f>
        <v>-119.01963000000001</v>
      </c>
      <c r="M36" s="66" t="str">
        <f>IF(Master[[#This Row],[Cooperator (Donor) 1 -full record]]="","",Master[[#This Row],[Cooperator (Donor) 1 -full record]])</f>
        <v>Bureau of Land Management, SOS project</v>
      </c>
    </row>
    <row r="37" spans="1:13" ht="255" x14ac:dyDescent="0.25">
      <c r="A37" s="89">
        <f t="shared" si="1"/>
        <v>35</v>
      </c>
      <c r="B37" s="89" t="str">
        <f>Master[[#This Row],[Accession Prefix (NPGS)]]&amp;" "&amp;Master[[#This Row],[Accession Number -Assigned]]</f>
        <v>W6 59623</v>
      </c>
      <c r="C37" s="89" t="str">
        <f>Master[[#This Row],[Inventory Prefix]]&amp;" "&amp;Master[[#This Row],[Inventory Number]]&amp;" "&amp;Master[[#This Row],[Inventory Suffix]]&amp;" "&amp;Master[[#This Row],[Inventory Type - Lookup Picker]]</f>
        <v>W6   SD</v>
      </c>
      <c r="D37" s="89" t="str">
        <f>IF(Master[[#This Row],[Accession Name (Identifier 1)]]="","",Master[[#This Row],[Accession Name (Identifier 1)]])</f>
        <v/>
      </c>
      <c r="E37" s="87">
        <f>IF(Master[[#This Row],[Date Collected or Developed]]="","",Master[[#This Row],[Date Collected or Developed]])</f>
        <v>44114</v>
      </c>
      <c r="F37" s="87">
        <f>IF(Master[[#This Row],[Received Date -received by site]]="","",Master[[#This Row],[Received Date -received by site]])</f>
        <v>44466</v>
      </c>
      <c r="G37" s="89" t="str">
        <f>IF(Master[[#This Row],[Taxon -Lookup Picker in GRIN]]="","",Master[[#This Row],[Taxon -Lookup Picker in GRIN]])</f>
        <v>Rumex hymenosepalus</v>
      </c>
      <c r="H37" s="89" t="str">
        <f>IF(Master[[#This Row],[Inventory Maintenance Policy]]="","",Master[[#This Row],[Inventory Maintenance Policy]])</f>
        <v>w6_native</v>
      </c>
      <c r="I37" s="89" t="str">
        <f>IF(Master[[#This Row],[Geography (Collection) -Lookup Picker in GRIN]]="",#REF!,Master[[#This Row],[Geography (Collection) -Lookup Picker in GRIN]])</f>
        <v>United States, Nevada, Washoe</v>
      </c>
      <c r="J37" s="89" t="str">
        <f>IF(Master[[#This Row],[Collector Verbatim Locality]]="","",Master[[#This Row],[Collector Verbatim Locality]])</f>
        <v>Washoe Lake State Park/ Sand dunes and playa lake area/ Park at Miner Mayhem play area, hike northwest towards sand dunes (~0.5 miles), species along both sand dunes</v>
      </c>
      <c r="K37" s="91">
        <f>IF(Master[[#This Row],[Latitude -decimal degrees]]="","",Master[[#This Row],[Latitude -decimal degrees]])</f>
        <v>39.243250000000003</v>
      </c>
      <c r="L37" s="91">
        <f>IF(Master[[#This Row],[Longitude -decimal degrees]]="","",Master[[#This Row],[Longitude -decimal degrees]])</f>
        <v>-119.76819</v>
      </c>
      <c r="M37" s="66" t="str">
        <f>IF(Master[[#This Row],[Cooperator (Donor) 1 -full record]]="","",Master[[#This Row],[Cooperator (Donor) 1 -full record]])</f>
        <v>Bureau of Land Management, SOS project</v>
      </c>
    </row>
    <row r="38" spans="1:13" ht="270" x14ac:dyDescent="0.25">
      <c r="A38" s="89">
        <f t="shared" si="1"/>
        <v>36</v>
      </c>
      <c r="B38" s="89" t="str">
        <f>Master[[#This Row],[Accession Prefix (NPGS)]]&amp;" "&amp;Master[[#This Row],[Accession Number -Assigned]]</f>
        <v>W6 59624</v>
      </c>
      <c r="C38" s="89" t="str">
        <f>Master[[#This Row],[Inventory Prefix]]&amp;" "&amp;Master[[#This Row],[Inventory Number]]&amp;" "&amp;Master[[#This Row],[Inventory Suffix]]&amp;" "&amp;Master[[#This Row],[Inventory Type - Lookup Picker]]</f>
        <v>W6   SD</v>
      </c>
      <c r="D38" s="89" t="str">
        <f>IF(Master[[#This Row],[Accession Name (Identifier 1)]]="","",Master[[#This Row],[Accession Name (Identifier 1)]])</f>
        <v/>
      </c>
      <c r="E38" s="87">
        <f>IF(Master[[#This Row],[Date Collected or Developed]]="","",Master[[#This Row],[Date Collected or Developed]])</f>
        <v>44114</v>
      </c>
      <c r="F38" s="87">
        <f>IF(Master[[#This Row],[Received Date -received by site]]="","",Master[[#This Row],[Received Date -received by site]])</f>
        <v>44466</v>
      </c>
      <c r="G38" s="89" t="str">
        <f>IF(Master[[#This Row],[Taxon -Lookup Picker in GRIN]]="","",Master[[#This Row],[Taxon -Lookup Picker in GRIN]])</f>
        <v>Ericameria nauseosa</v>
      </c>
      <c r="H38" s="89" t="str">
        <f>IF(Master[[#This Row],[Inventory Maintenance Policy]]="","",Master[[#This Row],[Inventory Maintenance Policy]])</f>
        <v>w6_native</v>
      </c>
      <c r="I38" s="89" t="str">
        <f>IF(Master[[#This Row],[Geography (Collection) -Lookup Picker in GRIN]]="",#REF!,Master[[#This Row],[Geography (Collection) -Lookup Picker in GRIN]])</f>
        <v>United States, Nevada, Washoe</v>
      </c>
      <c r="J38" s="89" t="str">
        <f>IF(Master[[#This Row],[Collector Verbatim Locality]]="","",Master[[#This Row],[Collector Verbatim Locality]])</f>
        <v>Washoe Lake State Park/ Miner's Mayhem, sand dunes, playa lakes, Deadman's trail/ Park at Miner's Mayhem play area, hike northwest towards sand dunes, species is abundant</v>
      </c>
      <c r="K38" s="91">
        <f>IF(Master[[#This Row],[Latitude -decimal degrees]]="","",Master[[#This Row],[Latitude -decimal degrees]])</f>
        <v>39.241500000000002</v>
      </c>
      <c r="L38" s="91">
        <f>IF(Master[[#This Row],[Longitude -decimal degrees]]="","",Master[[#This Row],[Longitude -decimal degrees]])</f>
        <v>-119.76672000000001</v>
      </c>
      <c r="M38" s="66" t="str">
        <f>IF(Master[[#This Row],[Cooperator (Donor) 1 -full record]]="","",Master[[#This Row],[Cooperator (Donor) 1 -full record]])</f>
        <v>Bureau of Land Management, SOS project</v>
      </c>
    </row>
    <row r="39" spans="1:13" ht="285" x14ac:dyDescent="0.25">
      <c r="A39" s="89">
        <f t="shared" si="1"/>
        <v>37</v>
      </c>
      <c r="B39" s="89" t="str">
        <f>Master[[#This Row],[Accession Prefix (NPGS)]]&amp;" "&amp;Master[[#This Row],[Accession Number -Assigned]]</f>
        <v>W6 59625</v>
      </c>
      <c r="C39" s="89" t="str">
        <f>Master[[#This Row],[Inventory Prefix]]&amp;" "&amp;Master[[#This Row],[Inventory Number]]&amp;" "&amp;Master[[#This Row],[Inventory Suffix]]&amp;" "&amp;Master[[#This Row],[Inventory Type - Lookup Picker]]</f>
        <v>W6   SD</v>
      </c>
      <c r="D39" s="89" t="str">
        <f>IF(Master[[#This Row],[Accession Name (Identifier 1)]]="","",Master[[#This Row],[Accession Name (Identifier 1)]])</f>
        <v/>
      </c>
      <c r="E39" s="87">
        <f>IF(Master[[#This Row],[Date Collected or Developed]]="","",Master[[#This Row],[Date Collected or Developed]])</f>
        <v>44114</v>
      </c>
      <c r="F39" s="87">
        <f>IF(Master[[#This Row],[Received Date -received by site]]="","",Master[[#This Row],[Received Date -received by site]])</f>
        <v>44466</v>
      </c>
      <c r="G39" s="89" t="str">
        <f>IF(Master[[#This Row],[Taxon -Lookup Picker in GRIN]]="","",Master[[#This Row],[Taxon -Lookup Picker in GRIN]])</f>
        <v>Typha latifolia</v>
      </c>
      <c r="H39" s="89" t="str">
        <f>IF(Master[[#This Row],[Inventory Maintenance Policy]]="","",Master[[#This Row],[Inventory Maintenance Policy]])</f>
        <v>w6_native</v>
      </c>
      <c r="I39" s="89" t="str">
        <f>IF(Master[[#This Row],[Geography (Collection) -Lookup Picker in GRIN]]="",#REF!,Master[[#This Row],[Geography (Collection) -Lookup Picker in GRIN]])</f>
        <v>United States, Nevada, Washoe</v>
      </c>
      <c r="J39" s="89" t="str">
        <f>IF(Master[[#This Row],[Collector Verbatim Locality]]="","",Master[[#This Row],[Collector Verbatim Locality]])</f>
        <v>Washoe Lake State Park/ Deadman's trail, Western shoreline/ Hike east on Deadman's trail about 100 yards until trail forks, cross stream on foot bridge on right, species southeast of foot bridge</v>
      </c>
      <c r="K39" s="91">
        <f>IF(Master[[#This Row],[Latitude -decimal degrees]]="","",Master[[#This Row],[Latitude -decimal degrees]])</f>
        <v>39.237769999999998</v>
      </c>
      <c r="L39" s="91">
        <f>IF(Master[[#This Row],[Longitude -decimal degrees]]="","",Master[[#This Row],[Longitude -decimal degrees]])</f>
        <v>-119.76366</v>
      </c>
      <c r="M39" s="66" t="str">
        <f>IF(Master[[#This Row],[Cooperator (Donor) 1 -full record]]="","",Master[[#This Row],[Cooperator (Donor) 1 -full record]])</f>
        <v>Bureau of Land Management, SOS project</v>
      </c>
    </row>
    <row r="40" spans="1:13" ht="225" x14ac:dyDescent="0.25">
      <c r="A40" s="89">
        <f t="shared" si="1"/>
        <v>38</v>
      </c>
      <c r="B40" s="89" t="str">
        <f>Master[[#This Row],[Accession Prefix (NPGS)]]&amp;" "&amp;Master[[#This Row],[Accession Number -Assigned]]</f>
        <v>W6 59626</v>
      </c>
      <c r="C40" s="89" t="str">
        <f>Master[[#This Row],[Inventory Prefix]]&amp;" "&amp;Master[[#This Row],[Inventory Number]]&amp;" "&amp;Master[[#This Row],[Inventory Suffix]]&amp;" "&amp;Master[[#This Row],[Inventory Type - Lookup Picker]]</f>
        <v>W6   SD</v>
      </c>
      <c r="D40" s="89" t="str">
        <f>IF(Master[[#This Row],[Accession Name (Identifier 1)]]="","",Master[[#This Row],[Accession Name (Identifier 1)]])</f>
        <v/>
      </c>
      <c r="E40" s="87">
        <f>IF(Master[[#This Row],[Date Collected or Developed]]="","",Master[[#This Row],[Date Collected or Developed]])</f>
        <v>44118</v>
      </c>
      <c r="F40" s="87">
        <f>IF(Master[[#This Row],[Received Date -received by site]]="","",Master[[#This Row],[Received Date -received by site]])</f>
        <v>44466</v>
      </c>
      <c r="G40" s="89" t="str">
        <f>IF(Master[[#This Row],[Taxon -Lookup Picker in GRIN]]="","",Master[[#This Row],[Taxon -Lookup Picker in GRIN]])</f>
        <v>Symphyotrichum ascendens</v>
      </c>
      <c r="H40" s="89" t="str">
        <f>IF(Master[[#This Row],[Inventory Maintenance Policy]]="","",Master[[#This Row],[Inventory Maintenance Policy]])</f>
        <v>w6_native</v>
      </c>
      <c r="I40" s="89" t="str">
        <f>IF(Master[[#This Row],[Geography (Collection) -Lookup Picker in GRIN]]="",#REF!,Master[[#This Row],[Geography (Collection) -Lookup Picker in GRIN]])</f>
        <v>United States, Nevada, Washoe</v>
      </c>
      <c r="J40" s="89" t="str">
        <f>IF(Master[[#This Row],[Collector Verbatim Locality]]="","",Master[[#This Row],[Collector Verbatim Locality]])</f>
        <v>Washoe Lake State Park/ Deadman's Trail/ Take Deadman's Trail up to fork, go right, just after foot bridge, hike up hill about 200 feet. Sps on left.</v>
      </c>
      <c r="K40" s="91">
        <f>IF(Master[[#This Row],[Latitude -decimal degrees]]="","",Master[[#This Row],[Latitude -decimal degrees]])</f>
        <v>39.237499999999997</v>
      </c>
      <c r="L40" s="91">
        <f>IF(Master[[#This Row],[Longitude -decimal degrees]]="","",Master[[#This Row],[Longitude -decimal degrees]])</f>
        <v>-119.76336000000001</v>
      </c>
      <c r="M40" s="66" t="str">
        <f>IF(Master[[#This Row],[Cooperator (Donor) 1 -full record]]="","",Master[[#This Row],[Cooperator (Donor) 1 -full record]])</f>
        <v>Bureau of Land Management, SOS project</v>
      </c>
    </row>
    <row r="41" spans="1:13" ht="150" x14ac:dyDescent="0.25">
      <c r="A41" s="89">
        <f t="shared" si="1"/>
        <v>39</v>
      </c>
      <c r="B41" s="89" t="str">
        <f>Master[[#This Row],[Accession Prefix (NPGS)]]&amp;" "&amp;Master[[#This Row],[Accession Number -Assigned]]</f>
        <v>W6 59627</v>
      </c>
      <c r="C41" s="89" t="str">
        <f>Master[[#This Row],[Inventory Prefix]]&amp;" "&amp;Master[[#This Row],[Inventory Number]]&amp;" "&amp;Master[[#This Row],[Inventory Suffix]]&amp;" "&amp;Master[[#This Row],[Inventory Type - Lookup Picker]]</f>
        <v>W6   SD</v>
      </c>
      <c r="D41" s="89" t="str">
        <f>IF(Master[[#This Row],[Accession Name (Identifier 1)]]="","",Master[[#This Row],[Accession Name (Identifier 1)]])</f>
        <v/>
      </c>
      <c r="E41" s="87">
        <f>IF(Master[[#This Row],[Date Collected or Developed]]="","",Master[[#This Row],[Date Collected or Developed]])</f>
        <v>44118</v>
      </c>
      <c r="F41" s="87">
        <f>IF(Master[[#This Row],[Received Date -received by site]]="","",Master[[#This Row],[Received Date -received by site]])</f>
        <v>44466</v>
      </c>
      <c r="G41" s="89" t="str">
        <f>IF(Master[[#This Row],[Taxon -Lookup Picker in GRIN]]="","",Master[[#This Row],[Taxon -Lookup Picker in GRIN]])</f>
        <v>Leymus cinereus</v>
      </c>
      <c r="H41" s="89" t="str">
        <f>IF(Master[[#This Row],[Inventory Maintenance Policy]]="","",Master[[#This Row],[Inventory Maintenance Policy]])</f>
        <v>w6_native</v>
      </c>
      <c r="I41" s="89" t="str">
        <f>IF(Master[[#This Row],[Geography (Collection) -Lookup Picker in GRIN]]="",#REF!,Master[[#This Row],[Geography (Collection) -Lookup Picker in GRIN]])</f>
        <v>United States, Nevada, Washoe</v>
      </c>
      <c r="J41" s="89" t="str">
        <f>IF(Master[[#This Row],[Collector Verbatim Locality]]="","",Master[[#This Row],[Collector Verbatim Locality]])</f>
        <v>Washoe Lake State Park/ Deadman's trail/ Take deadman's trail, at fork, go right, hike ~100f up hill</v>
      </c>
      <c r="K41" s="91">
        <f>IF(Master[[#This Row],[Latitude -decimal degrees]]="","",Master[[#This Row],[Latitude -decimal degrees]])</f>
        <v>39.237609999999997</v>
      </c>
      <c r="L41" s="91">
        <f>IF(Master[[#This Row],[Longitude -decimal degrees]]="","",Master[[#This Row],[Longitude -decimal degrees]])</f>
        <v>-119.76361</v>
      </c>
      <c r="M41" s="66" t="str">
        <f>IF(Master[[#This Row],[Cooperator (Donor) 1 -full record]]="","",Master[[#This Row],[Cooperator (Donor) 1 -full record]])</f>
        <v>Bureau of Land Management, SOS project</v>
      </c>
    </row>
    <row r="42" spans="1:13" ht="195" x14ac:dyDescent="0.25">
      <c r="A42" s="89">
        <f t="shared" si="1"/>
        <v>40</v>
      </c>
      <c r="B42" s="89" t="str">
        <f>Master[[#This Row],[Accession Prefix (NPGS)]]&amp;" "&amp;Master[[#This Row],[Accession Number -Assigned]]</f>
        <v>W6 59628</v>
      </c>
      <c r="C42" s="89" t="str">
        <f>Master[[#This Row],[Inventory Prefix]]&amp;" "&amp;Master[[#This Row],[Inventory Number]]&amp;" "&amp;Master[[#This Row],[Inventory Suffix]]&amp;" "&amp;Master[[#This Row],[Inventory Type - Lookup Picker]]</f>
        <v>W6   SD</v>
      </c>
      <c r="D42" s="89" t="str">
        <f>IF(Master[[#This Row],[Accession Name (Identifier 1)]]="","",Master[[#This Row],[Accession Name (Identifier 1)]])</f>
        <v/>
      </c>
      <c r="E42" s="87">
        <f>IF(Master[[#This Row],[Date Collected or Developed]]="","",Master[[#This Row],[Date Collected or Developed]])</f>
        <v>44118</v>
      </c>
      <c r="F42" s="87">
        <f>IF(Master[[#This Row],[Received Date -received by site]]="","",Master[[#This Row],[Received Date -received by site]])</f>
        <v>44466</v>
      </c>
      <c r="G42" s="89" t="str">
        <f>IF(Master[[#This Row],[Taxon -Lookup Picker in GRIN]]="","",Master[[#This Row],[Taxon -Lookup Picker in GRIN]])</f>
        <v>Hordeum jubatum</v>
      </c>
      <c r="H42" s="89" t="str">
        <f>IF(Master[[#This Row],[Inventory Maintenance Policy]]="","",Master[[#This Row],[Inventory Maintenance Policy]])</f>
        <v>w6_native</v>
      </c>
      <c r="I42" s="89" t="str">
        <f>IF(Master[[#This Row],[Geography (Collection) -Lookup Picker in GRIN]]="",#REF!,Master[[#This Row],[Geography (Collection) -Lookup Picker in GRIN]])</f>
        <v>United States, Nevada, Washoe</v>
      </c>
      <c r="J42" s="89" t="str">
        <f>IF(Master[[#This Row],[Collector Verbatim Locality]]="","",Master[[#This Row],[Collector Verbatim Locality]])</f>
        <v>Washoe Lake State Park/ Playa lake area/ Park at miner's mayhem, walk toward sand dunes. species found around playa lake</v>
      </c>
      <c r="K42" s="91">
        <f>IF(Master[[#This Row],[Latitude -decimal degrees]]="","",Master[[#This Row],[Latitude -decimal degrees]])</f>
        <v>39.242800000000003</v>
      </c>
      <c r="L42" s="91">
        <f>IF(Master[[#This Row],[Longitude -decimal degrees]]="","",Master[[#This Row],[Longitude -decimal degrees]])</f>
        <v>-119.76711</v>
      </c>
      <c r="M42" s="89" t="str">
        <f>IF(Master[[#This Row],[Cooperator (Donor) 1 -full record]]="","",Master[[#This Row],[Cooperator (Donor) 1 -full record]])</f>
        <v>Bureau of Land Management, SOS project</v>
      </c>
    </row>
    <row r="43" spans="1:13" ht="195" x14ac:dyDescent="0.25">
      <c r="A43" s="89">
        <f t="shared" si="1"/>
        <v>41</v>
      </c>
      <c r="B43" s="89" t="str">
        <f>Master[[#This Row],[Accession Prefix (NPGS)]]&amp;" "&amp;Master[[#This Row],[Accession Number -Assigned]]</f>
        <v>W6 59629</v>
      </c>
      <c r="C43" s="89" t="str">
        <f>Master[[#This Row],[Inventory Prefix]]&amp;" "&amp;Master[[#This Row],[Inventory Number]]&amp;" "&amp;Master[[#This Row],[Inventory Suffix]]&amp;" "&amp;Master[[#This Row],[Inventory Type - Lookup Picker]]</f>
        <v>W6   SD</v>
      </c>
      <c r="D43" s="89" t="str">
        <f>IF(Master[[#This Row],[Accession Name (Identifier 1)]]="","",Master[[#This Row],[Accession Name (Identifier 1)]])</f>
        <v/>
      </c>
      <c r="E43" s="87">
        <f>IF(Master[[#This Row],[Date Collected or Developed]]="","",Master[[#This Row],[Date Collected or Developed]])</f>
        <v>44119</v>
      </c>
      <c r="F43" s="87">
        <f>IF(Master[[#This Row],[Received Date -received by site]]="","",Master[[#This Row],[Received Date -received by site]])</f>
        <v>44466</v>
      </c>
      <c r="G43" s="89" t="str">
        <f>IF(Master[[#This Row],[Taxon -Lookup Picker in GRIN]]="","",Master[[#This Row],[Taxon -Lookup Picker in GRIN]])</f>
        <v>Symphyotrichum frondosum</v>
      </c>
      <c r="H43" s="89" t="str">
        <f>IF(Master[[#This Row],[Inventory Maintenance Policy]]="","",Master[[#This Row],[Inventory Maintenance Policy]])</f>
        <v>w6_native</v>
      </c>
      <c r="I43" s="89" t="str">
        <f>IF(Master[[#This Row],[Geography (Collection) -Lookup Picker in GRIN]]="",#REF!,Master[[#This Row],[Geography (Collection) -Lookup Picker in GRIN]])</f>
        <v>United States, Nevada, Washoe</v>
      </c>
      <c r="J43" s="89" t="str">
        <f>IF(Master[[#This Row],[Collector Verbatim Locality]]="","",Master[[#This Row],[Collector Verbatim Locality]])</f>
        <v>Washoe Lake State Park/ Playa Lake/ Park at miner mayhem, walk toward sand dunes. Species located between two sand dunes</v>
      </c>
      <c r="K43" s="91">
        <f>IF(Master[[#This Row],[Latitude -decimal degrees]]="","",Master[[#This Row],[Latitude -decimal degrees]])</f>
        <v>39.243409999999997</v>
      </c>
      <c r="L43" s="91">
        <f>IF(Master[[#This Row],[Longitude -decimal degrees]]="","",Master[[#This Row],[Longitude -decimal degrees]])</f>
        <v>-119.76766000000001</v>
      </c>
      <c r="M43" s="89" t="str">
        <f>IF(Master[[#This Row],[Cooperator (Donor) 1 -full record]]="","",Master[[#This Row],[Cooperator (Donor) 1 -full record]])</f>
        <v>Bureau of Land Management, SOS project</v>
      </c>
    </row>
    <row r="44" spans="1:13" ht="315" x14ac:dyDescent="0.25">
      <c r="A44" s="89">
        <f t="shared" si="1"/>
        <v>42</v>
      </c>
      <c r="B44" s="89" t="str">
        <f>Master[[#This Row],[Accession Prefix (NPGS)]]&amp;" "&amp;Master[[#This Row],[Accession Number -Assigned]]</f>
        <v>W6 59630</v>
      </c>
      <c r="C44" s="89" t="str">
        <f>Master[[#This Row],[Inventory Prefix]]&amp;" "&amp;Master[[#This Row],[Inventory Number]]&amp;" "&amp;Master[[#This Row],[Inventory Suffix]]&amp;" "&amp;Master[[#This Row],[Inventory Type - Lookup Picker]]</f>
        <v>W6   SD</v>
      </c>
      <c r="D44" s="89" t="str">
        <f>IF(Master[[#This Row],[Accession Name (Identifier 1)]]="","",Master[[#This Row],[Accession Name (Identifier 1)]])</f>
        <v/>
      </c>
      <c r="E44" s="87">
        <f>IF(Master[[#This Row],[Date Collected or Developed]]="","",Master[[#This Row],[Date Collected or Developed]])</f>
        <v>44119</v>
      </c>
      <c r="F44" s="87">
        <f>IF(Master[[#This Row],[Received Date -received by site]]="","",Master[[#This Row],[Received Date -received by site]])</f>
        <v>44466</v>
      </c>
      <c r="G44" s="89" t="str">
        <f>IF(Master[[#This Row],[Taxon -Lookup Picker in GRIN]]="","",Master[[#This Row],[Taxon -Lookup Picker in GRIN]])</f>
        <v>Atriplex canescens</v>
      </c>
      <c r="H44" s="89" t="str">
        <f>IF(Master[[#This Row],[Inventory Maintenance Policy]]="","",Master[[#This Row],[Inventory Maintenance Policy]])</f>
        <v>w6_native</v>
      </c>
      <c r="I44" s="89" t="str">
        <f>IF(Master[[#This Row],[Geography (Collection) -Lookup Picker in GRIN]]="",#REF!,Master[[#This Row],[Geography (Collection) -Lookup Picker in GRIN]])</f>
        <v>United States, Nevada, Washoe</v>
      </c>
      <c r="J44" s="89" t="str">
        <f>IF(Master[[#This Row],[Collector Verbatim Locality]]="","",Master[[#This Row],[Collector Verbatim Locality]])</f>
        <v>Washoe Lake State Park/ / From the group parking lot and restroom area, hike north along the lake shore for about 2 miles. Salt bush shrubs can be found on east facing slopes about 200 feet from lake shore</v>
      </c>
      <c r="K44" s="91">
        <f>IF(Master[[#This Row],[Latitude -decimal degrees]]="","",Master[[#This Row],[Latitude -decimal degrees]])</f>
        <v>39.24841</v>
      </c>
      <c r="L44" s="91">
        <f>IF(Master[[#This Row],[Longitude -decimal degrees]]="","",Master[[#This Row],[Longitude -decimal degrees]])</f>
        <v>-119.76763</v>
      </c>
      <c r="M44" s="89" t="str">
        <f>IF(Master[[#This Row],[Cooperator (Donor) 1 -full record]]="","",Master[[#This Row],[Cooperator (Donor) 1 -full record]])</f>
        <v>Bureau of Land Management, SOS project</v>
      </c>
    </row>
    <row r="45" spans="1:13" ht="345" x14ac:dyDescent="0.25">
      <c r="A45" s="89">
        <f t="shared" si="1"/>
        <v>43</v>
      </c>
      <c r="B45" s="89" t="str">
        <f>Master[[#This Row],[Accession Prefix (NPGS)]]&amp;" "&amp;Master[[#This Row],[Accession Number -Assigned]]</f>
        <v>W6 59631</v>
      </c>
      <c r="C45" s="89" t="str">
        <f>Master[[#This Row],[Inventory Prefix]]&amp;" "&amp;Master[[#This Row],[Inventory Number]]&amp;" "&amp;Master[[#This Row],[Inventory Suffix]]&amp;" "&amp;Master[[#This Row],[Inventory Type - Lookup Picker]]</f>
        <v>W6   SD</v>
      </c>
      <c r="D45" s="89" t="str">
        <f>IF(Master[[#This Row],[Accession Name (Identifier 1)]]="","",Master[[#This Row],[Accession Name (Identifier 1)]])</f>
        <v/>
      </c>
      <c r="E45" s="87">
        <f>IF(Master[[#This Row],[Date Collected or Developed]]="","",Master[[#This Row],[Date Collected or Developed]])</f>
        <v>44124</v>
      </c>
      <c r="F45" s="87">
        <f>IF(Master[[#This Row],[Received Date -received by site]]="","",Master[[#This Row],[Received Date -received by site]])</f>
        <v>44466</v>
      </c>
      <c r="G45" s="89" t="str">
        <f>IF(Master[[#This Row],[Taxon -Lookup Picker in GRIN]]="","",Master[[#This Row],[Taxon -Lookup Picker in GRIN]])</f>
        <v>Rosa woodsii</v>
      </c>
      <c r="H45" s="89" t="str">
        <f>IF(Master[[#This Row],[Inventory Maintenance Policy]]="","",Master[[#This Row],[Inventory Maintenance Policy]])</f>
        <v>w6_native</v>
      </c>
      <c r="I45" s="89" t="str">
        <f>IF(Master[[#This Row],[Geography (Collection) -Lookup Picker in GRIN]]="",#REF!,Master[[#This Row],[Geography (Collection) -Lookup Picker in GRIN]])</f>
        <v>United States, Nevada, Churchill</v>
      </c>
      <c r="J45" s="89" t="str">
        <f>IF(Master[[#This Row],[Collector Verbatim Locality]]="","",Master[[#This Row],[Collector Verbatim Locality]])</f>
        <v>Desatoya Mountains/ Smith Creek Ranch/ Take 722 for approximately 22.2 miles, take a left, drive 7.5 miles, keep left at fork, drive 6.7 miles, to homestead, keep straight for 4.8 miles to site, near wooden outhouse and dilapidated building</v>
      </c>
      <c r="K45" s="91">
        <f>IF(Master[[#This Row],[Latitude -decimal degrees]]="","",Master[[#This Row],[Latitude -decimal degrees]])</f>
        <v>39.349440000000001</v>
      </c>
      <c r="L45" s="91">
        <f>IF(Master[[#This Row],[Longitude -decimal degrees]]="","",Master[[#This Row],[Longitude -decimal degrees]])</f>
        <v>-117.69555</v>
      </c>
      <c r="M45" s="89" t="str">
        <f>IF(Master[[#This Row],[Cooperator (Donor) 1 -full record]]="","",Master[[#This Row],[Cooperator (Donor) 1 -full record]])</f>
        <v>Bureau of Land Management, SOS project</v>
      </c>
    </row>
    <row r="46" spans="1:13" ht="225" x14ac:dyDescent="0.25">
      <c r="A46" s="89">
        <f t="shared" si="1"/>
        <v>44</v>
      </c>
      <c r="B46" s="89" t="str">
        <f>Master[[#This Row],[Accession Prefix (NPGS)]]&amp;" "&amp;Master[[#This Row],[Accession Number -Assigned]]</f>
        <v>W6 59632</v>
      </c>
      <c r="C46" s="89" t="str">
        <f>Master[[#This Row],[Inventory Prefix]]&amp;" "&amp;Master[[#This Row],[Inventory Number]]&amp;" "&amp;Master[[#This Row],[Inventory Suffix]]&amp;" "&amp;Master[[#This Row],[Inventory Type - Lookup Picker]]</f>
        <v>W6   SD</v>
      </c>
      <c r="D46" s="89" t="str">
        <f>IF(Master[[#This Row],[Accession Name (Identifier 1)]]="","",Master[[#This Row],[Accession Name (Identifier 1)]])</f>
        <v/>
      </c>
      <c r="E46" s="87">
        <f>IF(Master[[#This Row],[Date Collected or Developed]]="","",Master[[#This Row],[Date Collected or Developed]])</f>
        <v>44131</v>
      </c>
      <c r="F46" s="87">
        <f>IF(Master[[#This Row],[Received Date -received by site]]="","",Master[[#This Row],[Received Date -received by site]])</f>
        <v>44466</v>
      </c>
      <c r="G46" s="89" t="str">
        <f>IF(Master[[#This Row],[Taxon -Lookup Picker in GRIN]]="","",Master[[#This Row],[Taxon -Lookup Picker in GRIN]])</f>
        <v>Ericameria nauseosa subsp. consimilis var. oreophila</v>
      </c>
      <c r="H46" s="89" t="str">
        <f>IF(Master[[#This Row],[Inventory Maintenance Policy]]="","",Master[[#This Row],[Inventory Maintenance Policy]])</f>
        <v>w6_native</v>
      </c>
      <c r="I46" s="89" t="str">
        <f>IF(Master[[#This Row],[Geography (Collection) -Lookup Picker in GRIN]]="",#REF!,Master[[#This Row],[Geography (Collection) -Lookup Picker in GRIN]])</f>
        <v>United States, Nevada, Lyon</v>
      </c>
      <c r="J46" s="89" t="str">
        <f>IF(Master[[#This Row],[Collector Verbatim Locality]]="","",Master[[#This Row],[Collector Verbatim Locality]])</f>
        <v>Santa margarita ranch/ west pasture/ Park alongside fence, species is visible all over pasture. 136 E Walker Road, Yerington, NV</v>
      </c>
      <c r="K46" s="91">
        <f>IF(Master[[#This Row],[Latitude -decimal degrees]]="","",Master[[#This Row],[Latitude -decimal degrees]])</f>
        <v>38.765270000000001</v>
      </c>
      <c r="L46" s="91">
        <f>IF(Master[[#This Row],[Longitude -decimal degrees]]="","",Master[[#This Row],[Longitude -decimal degrees]])</f>
        <v>-119.01888</v>
      </c>
      <c r="M46" s="89" t="str">
        <f>IF(Master[[#This Row],[Cooperator (Donor) 1 -full record]]="","",Master[[#This Row],[Cooperator (Donor) 1 -full record]])</f>
        <v>Bureau of Land Management, SOS project</v>
      </c>
    </row>
    <row r="47" spans="1:13" ht="180" x14ac:dyDescent="0.25">
      <c r="A47" s="89">
        <f t="shared" si="1"/>
        <v>45</v>
      </c>
      <c r="B47" s="89" t="str">
        <f>Master[[#This Row],[Accession Prefix (NPGS)]]&amp;" "&amp;Master[[#This Row],[Accession Number -Assigned]]</f>
        <v>W6 59633</v>
      </c>
      <c r="C47" s="89" t="str">
        <f>Master[[#This Row],[Inventory Prefix]]&amp;" "&amp;Master[[#This Row],[Inventory Number]]&amp;" "&amp;Master[[#This Row],[Inventory Suffix]]&amp;" "&amp;Master[[#This Row],[Inventory Type - Lookup Picker]]</f>
        <v>W6   SD</v>
      </c>
      <c r="D47" s="89" t="str">
        <f>IF(Master[[#This Row],[Accession Name (Identifier 1)]]="","",Master[[#This Row],[Accession Name (Identifier 1)]])</f>
        <v/>
      </c>
      <c r="E47" s="87">
        <f>IF(Master[[#This Row],[Date Collected or Developed]]="","",Master[[#This Row],[Date Collected or Developed]])</f>
        <v>44145</v>
      </c>
      <c r="F47" s="87">
        <f>IF(Master[[#This Row],[Received Date -received by site]]="","",Master[[#This Row],[Received Date -received by site]])</f>
        <v>44466</v>
      </c>
      <c r="G47" s="89" t="str">
        <f>IF(Master[[#This Row],[Taxon -Lookup Picker in GRIN]]="","",Master[[#This Row],[Taxon -Lookup Picker in GRIN]])</f>
        <v>Atriplex canescens var. canescens</v>
      </c>
      <c r="H47" s="89" t="str">
        <f>IF(Master[[#This Row],[Inventory Maintenance Policy]]="","",Master[[#This Row],[Inventory Maintenance Policy]])</f>
        <v>w6_native</v>
      </c>
      <c r="I47" s="89" t="str">
        <f>IF(Master[[#This Row],[Geography (Collection) -Lookup Picker in GRIN]]="",#REF!,Master[[#This Row],[Geography (Collection) -Lookup Picker in GRIN]])</f>
        <v>United States, Nevada, Washoe</v>
      </c>
      <c r="J47" s="89" t="str">
        <f>IF(Master[[#This Row],[Collector Verbatim Locality]]="","",Master[[#This Row],[Collector Verbatim Locality]])</f>
        <v>McCarran Ranch Preserve/ 102 Ranch Trailhead/ Park at 102 Ranch Trailhead. Plants are directly behind the fence.</v>
      </c>
      <c r="K47" s="91">
        <f>IF(Master[[#This Row],[Latitude -decimal degrees]]="","",Master[[#This Row],[Latitude -decimal degrees]])</f>
        <v>39.565719999999999</v>
      </c>
      <c r="L47" s="91">
        <f>IF(Master[[#This Row],[Longitude -decimal degrees]]="","",Master[[#This Row],[Longitude -decimal degrees]])</f>
        <v>-119.49182999999999</v>
      </c>
      <c r="M47" s="89" t="str">
        <f>IF(Master[[#This Row],[Cooperator (Donor) 1 -full record]]="","",Master[[#This Row],[Cooperator (Donor) 1 -full record]])</f>
        <v>Bureau of Land Management, SOS project</v>
      </c>
    </row>
    <row r="48" spans="1:13" ht="180" x14ac:dyDescent="0.25">
      <c r="A48" s="89">
        <f t="shared" si="1"/>
        <v>46</v>
      </c>
      <c r="B48" s="89" t="str">
        <f>Master[[#This Row],[Accession Prefix (NPGS)]]&amp;" "&amp;Master[[#This Row],[Accession Number -Assigned]]</f>
        <v>W6 59634</v>
      </c>
      <c r="C48" s="89" t="str">
        <f>Master[[#This Row],[Inventory Prefix]]&amp;" "&amp;Master[[#This Row],[Inventory Number]]&amp;" "&amp;Master[[#This Row],[Inventory Suffix]]&amp;" "&amp;Master[[#This Row],[Inventory Type - Lookup Picker]]</f>
        <v>W6   SD</v>
      </c>
      <c r="D48" s="89" t="str">
        <f>IF(Master[[#This Row],[Accession Name (Identifier 1)]]="","",Master[[#This Row],[Accession Name (Identifier 1)]])</f>
        <v/>
      </c>
      <c r="E48" s="87">
        <f>IF(Master[[#This Row],[Date Collected or Developed]]="","",Master[[#This Row],[Date Collected or Developed]])</f>
        <v>44145</v>
      </c>
      <c r="F48" s="87">
        <f>IF(Master[[#This Row],[Received Date -received by site]]="","",Master[[#This Row],[Received Date -received by site]])</f>
        <v>44466</v>
      </c>
      <c r="G48" s="89" t="str">
        <f>IF(Master[[#This Row],[Taxon -Lookup Picker in GRIN]]="","",Master[[#This Row],[Taxon -Lookup Picker in GRIN]])</f>
        <v>Atriplex torreyi</v>
      </c>
      <c r="H48" s="89" t="str">
        <f>IF(Master[[#This Row],[Inventory Maintenance Policy]]="","",Master[[#This Row],[Inventory Maintenance Policy]])</f>
        <v>w6_native</v>
      </c>
      <c r="I48" s="89" t="str">
        <f>IF(Master[[#This Row],[Geography (Collection) -Lookup Picker in GRIN]]="",#REF!,Master[[#This Row],[Geography (Collection) -Lookup Picker in GRIN]])</f>
        <v>United States, Nevada, Washoe</v>
      </c>
      <c r="J48" s="89" t="str">
        <f>IF(Master[[#This Row],[Collector Verbatim Locality]]="","",Master[[#This Row],[Collector Verbatim Locality]])</f>
        <v>McCarran Ranch Preserve/ 102 Ranch Trailhead/ Park at 102 Ranch Trailhead. Plants are directly behind fence.</v>
      </c>
      <c r="K48" s="91">
        <f>IF(Master[[#This Row],[Latitude -decimal degrees]]="","",Master[[#This Row],[Latitude -decimal degrees]])</f>
        <v>39.565719999999999</v>
      </c>
      <c r="L48" s="91">
        <f>IF(Master[[#This Row],[Longitude -decimal degrees]]="","",Master[[#This Row],[Longitude -decimal degrees]])</f>
        <v>-119.49182999999999</v>
      </c>
      <c r="M48" s="89" t="str">
        <f>IF(Master[[#This Row],[Cooperator (Donor) 1 -full record]]="","",Master[[#This Row],[Cooperator (Donor) 1 -full record]])</f>
        <v>Bureau of Land Management, SOS project</v>
      </c>
    </row>
    <row r="49" spans="1:13" ht="330" x14ac:dyDescent="0.25">
      <c r="A49" s="89">
        <f t="shared" si="1"/>
        <v>47</v>
      </c>
      <c r="B49" s="89" t="str">
        <f>Master[[#This Row],[Accession Prefix (NPGS)]]&amp;" "&amp;Master[[#This Row],[Accession Number -Assigned]]</f>
        <v>W6 59635</v>
      </c>
      <c r="C49" s="89" t="str">
        <f>Master[[#This Row],[Inventory Prefix]]&amp;" "&amp;Master[[#This Row],[Inventory Number]]&amp;" "&amp;Master[[#This Row],[Inventory Suffix]]&amp;" "&amp;Master[[#This Row],[Inventory Type - Lookup Picker]]</f>
        <v>W6   SD</v>
      </c>
      <c r="D49" s="89" t="str">
        <f>IF(Master[[#This Row],[Accession Name (Identifier 1)]]="","",Master[[#This Row],[Accession Name (Identifier 1)]])</f>
        <v/>
      </c>
      <c r="E49" s="87">
        <f>IF(Master[[#This Row],[Date Collected or Developed]]="","",Master[[#This Row],[Date Collected or Developed]])</f>
        <v>44154</v>
      </c>
      <c r="F49" s="87">
        <f>IF(Master[[#This Row],[Received Date -received by site]]="","",Master[[#This Row],[Received Date -received by site]])</f>
        <v>44466</v>
      </c>
      <c r="G49" s="89" t="str">
        <f>IF(Master[[#This Row],[Taxon -Lookup Picker in GRIN]]="","",Master[[#This Row],[Taxon -Lookup Picker in GRIN]])</f>
        <v>Pectis papposa</v>
      </c>
      <c r="H49" s="89" t="str">
        <f>IF(Master[[#This Row],[Inventory Maintenance Policy]]="","",Master[[#This Row],[Inventory Maintenance Policy]])</f>
        <v>w6_native</v>
      </c>
      <c r="I49" s="89" t="str">
        <f>IF(Master[[#This Row],[Geography (Collection) -Lookup Picker in GRIN]]="",#REF!,Master[[#This Row],[Geography (Collection) -Lookup Picker in GRIN]])</f>
        <v>United States, Nevada, Lyon</v>
      </c>
      <c r="J49" s="89" t="str">
        <f>IF(Master[[#This Row],[Collector Verbatim Locality]]="","",Master[[#This Row],[Collector Verbatim Locality]])</f>
        <v>Fort Churchill St Park/ Off-Road Recreation Area/ Turn onto Simpson Road from Alt. 95. Follow dirt road for about 1/2 mile to open parking area. Plants are located between Park fence and the highway.</v>
      </c>
      <c r="K49" s="91">
        <f>IF(Master[[#This Row],[Latitude -decimal degrees]]="","",Master[[#This Row],[Latitude -decimal degrees]])</f>
        <v>39.279220000000002</v>
      </c>
      <c r="L49" s="91">
        <f>IF(Master[[#This Row],[Longitude -decimal degrees]]="","",Master[[#This Row],[Longitude -decimal degrees]])</f>
        <v>-119.23858</v>
      </c>
      <c r="M49" s="89" t="str">
        <f>IF(Master[[#This Row],[Cooperator (Donor) 1 -full record]]="","",Master[[#This Row],[Cooperator (Donor) 1 -full record]])</f>
        <v>Bureau of Land Management, SOS project</v>
      </c>
    </row>
    <row r="50" spans="1:13" ht="90" x14ac:dyDescent="0.25">
      <c r="A50" s="89">
        <f t="shared" si="1"/>
        <v>48</v>
      </c>
      <c r="B50" s="89" t="str">
        <f>Master[[#This Row],[Accession Prefix (NPGS)]]&amp;" "&amp;Master[[#This Row],[Accession Number -Assigned]]</f>
        <v>W6 59636</v>
      </c>
      <c r="C50" s="89" t="str">
        <f>Master[[#This Row],[Inventory Prefix]]&amp;" "&amp;Master[[#This Row],[Inventory Number]]&amp;" "&amp;Master[[#This Row],[Inventory Suffix]]&amp;" "&amp;Master[[#This Row],[Inventory Type - Lookup Picker]]</f>
        <v>W6   SD</v>
      </c>
      <c r="D50" s="89" t="str">
        <f>IF(Master[[#This Row],[Accession Name (Identifier 1)]]="","",Master[[#This Row],[Accession Name (Identifier 1)]])</f>
        <v/>
      </c>
      <c r="E50" s="87">
        <f>IF(Master[[#This Row],[Date Collected or Developed]]="","",Master[[#This Row],[Date Collected or Developed]])</f>
        <v>44158</v>
      </c>
      <c r="F50" s="87">
        <f>IF(Master[[#This Row],[Received Date -received by site]]="","",Master[[#This Row],[Received Date -received by site]])</f>
        <v>44466</v>
      </c>
      <c r="G50" s="89" t="str">
        <f>IF(Master[[#This Row],[Taxon -Lookup Picker in GRIN]]="","",Master[[#This Row],[Taxon -Lookup Picker in GRIN]])</f>
        <v>Artemisia tridentata subsp. tridentata</v>
      </c>
      <c r="H50" s="89" t="str">
        <f>IF(Master[[#This Row],[Inventory Maintenance Policy]]="","",Master[[#This Row],[Inventory Maintenance Policy]])</f>
        <v>w6_native</v>
      </c>
      <c r="I50" s="89" t="str">
        <f>IF(Master[[#This Row],[Geography (Collection) -Lookup Picker in GRIN]]="",#REF!,Master[[#This Row],[Geography (Collection) -Lookup Picker in GRIN]])</f>
        <v>United States, Nevada, Washoe</v>
      </c>
      <c r="J50" s="89" t="str">
        <f>IF(Master[[#This Row],[Collector Verbatim Locality]]="","",Master[[#This Row],[Collector Verbatim Locality]])</f>
        <v>Bedell Flats/ / Plants are found along the road.</v>
      </c>
      <c r="K50" s="91">
        <f>IF(Master[[#This Row],[Latitude -decimal degrees]]="","",Master[[#This Row],[Latitude -decimal degrees]])</f>
        <v>39.859160000000003</v>
      </c>
      <c r="L50" s="91">
        <f>IF(Master[[#This Row],[Longitude -decimal degrees]]="","",Master[[#This Row],[Longitude -decimal degrees]])</f>
        <v>-119.825</v>
      </c>
      <c r="M50" s="89" t="str">
        <f>IF(Master[[#This Row],[Cooperator (Donor) 1 -full record]]="","",Master[[#This Row],[Cooperator (Donor) 1 -full record]])</f>
        <v>Bureau of Land Management, SOS project</v>
      </c>
    </row>
    <row r="51" spans="1:13" ht="135" x14ac:dyDescent="0.25">
      <c r="A51" s="89">
        <f t="shared" si="1"/>
        <v>49</v>
      </c>
      <c r="B51" s="89" t="str">
        <f>Master[[#This Row],[Accession Prefix (NPGS)]]&amp;" "&amp;Master[[#This Row],[Accession Number -Assigned]]</f>
        <v>W6 59637</v>
      </c>
      <c r="C51" s="89" t="str">
        <f>Master[[#This Row],[Inventory Prefix]]&amp;" "&amp;Master[[#This Row],[Inventory Number]]&amp;" "&amp;Master[[#This Row],[Inventory Suffix]]&amp;" "&amp;Master[[#This Row],[Inventory Type - Lookup Picker]]</f>
        <v>W6   SD</v>
      </c>
      <c r="D51" s="89" t="str">
        <f>IF(Master[[#This Row],[Accession Name (Identifier 1)]]="","",Master[[#This Row],[Accession Name (Identifier 1)]])</f>
        <v/>
      </c>
      <c r="E51" s="87">
        <f>IF(Master[[#This Row],[Date Collected or Developed]]="","",Master[[#This Row],[Date Collected or Developed]])</f>
        <v>44168</v>
      </c>
      <c r="F51" s="87">
        <f>IF(Master[[#This Row],[Received Date -received by site]]="","",Master[[#This Row],[Received Date -received by site]])</f>
        <v>44466</v>
      </c>
      <c r="G51" s="89" t="str">
        <f>IF(Master[[#This Row],[Taxon -Lookup Picker in GRIN]]="","",Master[[#This Row],[Taxon -Lookup Picker in GRIN]])</f>
        <v>Typha latifolia</v>
      </c>
      <c r="H51" s="89" t="str">
        <f>IF(Master[[#This Row],[Inventory Maintenance Policy]]="","",Master[[#This Row],[Inventory Maintenance Policy]])</f>
        <v>w6_native</v>
      </c>
      <c r="I51" s="89" t="str">
        <f>IF(Master[[#This Row],[Geography (Collection) -Lookup Picker in GRIN]]="",#REF!,Master[[#This Row],[Geography (Collection) -Lookup Picker in GRIN]])</f>
        <v>United States, Nevada, Lyon</v>
      </c>
      <c r="J51" s="89" t="str">
        <f>IF(Master[[#This Row],[Collector Verbatim Locality]]="","",Master[[#This Row],[Collector Verbatim Locality]])</f>
        <v>Santa Margarita Ranch/ / Santa Margarita Ranch service roads along river.</v>
      </c>
      <c r="K51" s="91">
        <f>IF(Master[[#This Row],[Latitude -decimal degrees]]="","",Master[[#This Row],[Latitude -decimal degrees]])</f>
        <v>38.776940000000003</v>
      </c>
      <c r="L51" s="91">
        <f>IF(Master[[#This Row],[Longitude -decimal degrees]]="","",Master[[#This Row],[Longitude -decimal degrees]])</f>
        <v>-119.02916</v>
      </c>
      <c r="M51" s="89" t="str">
        <f>IF(Master[[#This Row],[Cooperator (Donor) 1 -full record]]="","",Master[[#This Row],[Cooperator (Donor) 1 -full record]])</f>
        <v>Bureau of Land Management, SOS project</v>
      </c>
    </row>
    <row r="52" spans="1:13" ht="135" x14ac:dyDescent="0.25">
      <c r="A52" s="89">
        <f t="shared" si="1"/>
        <v>50</v>
      </c>
      <c r="B52" s="89" t="str">
        <f>Master[[#This Row],[Accession Prefix (NPGS)]]&amp;" "&amp;Master[[#This Row],[Accession Number -Assigned]]</f>
        <v>W6 59638</v>
      </c>
      <c r="C52" s="89" t="str">
        <f>Master[[#This Row],[Inventory Prefix]]&amp;" "&amp;Master[[#This Row],[Inventory Number]]&amp;" "&amp;Master[[#This Row],[Inventory Suffix]]&amp;" "&amp;Master[[#This Row],[Inventory Type - Lookup Picker]]</f>
        <v>W6   SD</v>
      </c>
      <c r="D52" s="89" t="str">
        <f>IF(Master[[#This Row],[Accession Name (Identifier 1)]]="","",Master[[#This Row],[Accession Name (Identifier 1)]])</f>
        <v/>
      </c>
      <c r="E52" s="87">
        <f>IF(Master[[#This Row],[Date Collected or Developed]]="","",Master[[#This Row],[Date Collected or Developed]])</f>
        <v>44168</v>
      </c>
      <c r="F52" s="87">
        <f>IF(Master[[#This Row],[Received Date -received by site]]="","",Master[[#This Row],[Received Date -received by site]])</f>
        <v>44466</v>
      </c>
      <c r="G52" s="89" t="str">
        <f>IF(Master[[#This Row],[Taxon -Lookup Picker in GRIN]]="","",Master[[#This Row],[Taxon -Lookup Picker in GRIN]])</f>
        <v>Euthamia occidentalis</v>
      </c>
      <c r="H52" s="89" t="str">
        <f>IF(Master[[#This Row],[Inventory Maintenance Policy]]="","",Master[[#This Row],[Inventory Maintenance Policy]])</f>
        <v>w6_native</v>
      </c>
      <c r="I52" s="89" t="str">
        <f>IF(Master[[#This Row],[Geography (Collection) -Lookup Picker in GRIN]]="",#REF!,Master[[#This Row],[Geography (Collection) -Lookup Picker in GRIN]])</f>
        <v>United States, Nevada, Lyon</v>
      </c>
      <c r="J52" s="89" t="str">
        <f>IF(Master[[#This Row],[Collector Verbatim Locality]]="","",Master[[#This Row],[Collector Verbatim Locality]])</f>
        <v>Santa Margarita Ranch/ / Santa Margarita Ranch service roads along river</v>
      </c>
      <c r="K52" s="91">
        <f>IF(Master[[#This Row],[Latitude -decimal degrees]]="","",Master[[#This Row],[Latitude -decimal degrees]])</f>
        <v>38.779470000000003</v>
      </c>
      <c r="L52" s="91">
        <f>IF(Master[[#This Row],[Longitude -decimal degrees]]="","",Master[[#This Row],[Longitude -decimal degrees]])</f>
        <v>-119.02327</v>
      </c>
      <c r="M52" s="89" t="str">
        <f>IF(Master[[#This Row],[Cooperator (Donor) 1 -full record]]="","",Master[[#This Row],[Cooperator (Donor) 1 -full record]])</f>
        <v>Bureau of Land Management, SOS project</v>
      </c>
    </row>
    <row r="53" spans="1:13" ht="135" x14ac:dyDescent="0.25">
      <c r="A53" s="89">
        <f t="shared" si="1"/>
        <v>51</v>
      </c>
      <c r="B53" s="89" t="str">
        <f>Master[[#This Row],[Accession Prefix (NPGS)]]&amp;" "&amp;Master[[#This Row],[Accession Number -Assigned]]</f>
        <v>W6 59639</v>
      </c>
      <c r="C53" s="89" t="str">
        <f>Master[[#This Row],[Inventory Prefix]]&amp;" "&amp;Master[[#This Row],[Inventory Number]]&amp;" "&amp;Master[[#This Row],[Inventory Suffix]]&amp;" "&amp;Master[[#This Row],[Inventory Type - Lookup Picker]]</f>
        <v>W6   SD</v>
      </c>
      <c r="D53" s="89" t="str">
        <f>IF(Master[[#This Row],[Accession Name (Identifier 1)]]="","",Master[[#This Row],[Accession Name (Identifier 1)]])</f>
        <v/>
      </c>
      <c r="E53" s="87">
        <f>IF(Master[[#This Row],[Date Collected or Developed]]="","",Master[[#This Row],[Date Collected or Developed]])</f>
        <v>44168</v>
      </c>
      <c r="F53" s="87">
        <f>IF(Master[[#This Row],[Received Date -received by site]]="","",Master[[#This Row],[Received Date -received by site]])</f>
        <v>44466</v>
      </c>
      <c r="G53" s="89" t="str">
        <f>IF(Master[[#This Row],[Taxon -Lookup Picker in GRIN]]="","",Master[[#This Row],[Taxon -Lookup Picker in GRIN]])</f>
        <v>Euthamia occidentalis</v>
      </c>
      <c r="H53" s="89" t="str">
        <f>IF(Master[[#This Row],[Inventory Maintenance Policy]]="","",Master[[#This Row],[Inventory Maintenance Policy]])</f>
        <v>w6_native</v>
      </c>
      <c r="I53" s="89" t="str">
        <f>IF(Master[[#This Row],[Geography (Collection) -Lookup Picker in GRIN]]="",#REF!,Master[[#This Row],[Geography (Collection) -Lookup Picker in GRIN]])</f>
        <v>United States, Nevada, Lyon</v>
      </c>
      <c r="J53" s="89" t="str">
        <f>IF(Master[[#This Row],[Collector Verbatim Locality]]="","",Master[[#This Row],[Collector Verbatim Locality]])</f>
        <v>Santa Margarita Ranch/ / Santa Margarita Ranch service roads along river</v>
      </c>
      <c r="K53" s="91">
        <f>IF(Master[[#This Row],[Latitude -decimal degrees]]="","",Master[[#This Row],[Latitude -decimal degrees]])</f>
        <v>38.776940000000003</v>
      </c>
      <c r="L53" s="91">
        <f>IF(Master[[#This Row],[Longitude -decimal degrees]]="","",Master[[#This Row],[Longitude -decimal degrees]])</f>
        <v>-119.02916</v>
      </c>
      <c r="M53" s="89" t="str">
        <f>IF(Master[[#This Row],[Cooperator (Donor) 1 -full record]]="","",Master[[#This Row],[Cooperator (Donor) 1 -full record]])</f>
        <v>Bureau of Land Management, SOS project</v>
      </c>
    </row>
    <row r="54" spans="1:13" ht="210" x14ac:dyDescent="0.25">
      <c r="A54" s="89">
        <f t="shared" si="1"/>
        <v>52</v>
      </c>
      <c r="B54" s="89" t="str">
        <f>Master[[#This Row],[Accession Prefix (NPGS)]]&amp;" "&amp;Master[[#This Row],[Accession Number -Assigned]]</f>
        <v>W6 59640</v>
      </c>
      <c r="C54" s="89" t="str">
        <f>Master[[#This Row],[Inventory Prefix]]&amp;" "&amp;Master[[#This Row],[Inventory Number]]&amp;" "&amp;Master[[#This Row],[Inventory Suffix]]&amp;" "&amp;Master[[#This Row],[Inventory Type - Lookup Picker]]</f>
        <v>W6   SD</v>
      </c>
      <c r="D54" s="89" t="str">
        <f>IF(Master[[#This Row],[Accession Name (Identifier 1)]]="","",Master[[#This Row],[Accession Name (Identifier 1)]])</f>
        <v/>
      </c>
      <c r="E54" s="87">
        <f>IF(Master[[#This Row],[Date Collected or Developed]]="","",Master[[#This Row],[Date Collected or Developed]])</f>
        <v>44180</v>
      </c>
      <c r="F54" s="87">
        <f>IF(Master[[#This Row],[Received Date -received by site]]="","",Master[[#This Row],[Received Date -received by site]])</f>
        <v>44466</v>
      </c>
      <c r="G54" s="89" t="str">
        <f>IF(Master[[#This Row],[Taxon -Lookup Picker in GRIN]]="","",Master[[#This Row],[Taxon -Lookup Picker in GRIN]])</f>
        <v>Artemisia tridentata</v>
      </c>
      <c r="H54" s="89" t="str">
        <f>IF(Master[[#This Row],[Inventory Maintenance Policy]]="","",Master[[#This Row],[Inventory Maintenance Policy]])</f>
        <v>w6_native</v>
      </c>
      <c r="I54" s="89" t="str">
        <f>IF(Master[[#This Row],[Geography (Collection) -Lookup Picker in GRIN]]="",#REF!,Master[[#This Row],[Geography (Collection) -Lookup Picker in GRIN]])</f>
        <v>United States, Nevada, Washoe</v>
      </c>
      <c r="J54" s="89" t="str">
        <f>IF(Master[[#This Row],[Collector Verbatim Locality]]="","",Master[[#This Row],[Collector Verbatim Locality]])</f>
        <v>Washoe Lake State Park/ / West of Eastlake Blvs off of 222. Park at Miner Mayhem play area. Plants are in all directions as dominant species.</v>
      </c>
      <c r="K54" s="91">
        <f>IF(Master[[#This Row],[Latitude -decimal degrees]]="","",Master[[#This Row],[Latitude -decimal degrees]])</f>
        <v>39.239249999999998</v>
      </c>
      <c r="L54" s="91">
        <f>IF(Master[[#This Row],[Longitude -decimal degrees]]="","",Master[[#This Row],[Longitude -decimal degrees]])</f>
        <v>-119.76730000000001</v>
      </c>
      <c r="M54" s="89" t="str">
        <f>IF(Master[[#This Row],[Cooperator (Donor) 1 -full record]]="","",Master[[#This Row],[Cooperator (Donor) 1 -full record]])</f>
        <v>Bureau of Land Management, SOS project</v>
      </c>
    </row>
    <row r="55" spans="1:13" ht="150" x14ac:dyDescent="0.25">
      <c r="A55" s="89">
        <f t="shared" si="1"/>
        <v>53</v>
      </c>
      <c r="B55" s="89" t="str">
        <f>Master[[#This Row],[Accession Prefix (NPGS)]]&amp;" "&amp;Master[[#This Row],[Accession Number -Assigned]]</f>
        <v>W6 59641</v>
      </c>
      <c r="C55" s="89" t="str">
        <f>Master[[#This Row],[Inventory Prefix]]&amp;" "&amp;Master[[#This Row],[Inventory Number]]&amp;" "&amp;Master[[#This Row],[Inventory Suffix]]&amp;" "&amp;Master[[#This Row],[Inventory Type - Lookup Picker]]</f>
        <v>W6   SD</v>
      </c>
      <c r="D55" s="89" t="str">
        <f>IF(Master[[#This Row],[Accession Name (Identifier 1)]]="","",Master[[#This Row],[Accession Name (Identifier 1)]])</f>
        <v/>
      </c>
      <c r="E55" s="87">
        <f>IF(Master[[#This Row],[Date Collected or Developed]]="","",Master[[#This Row],[Date Collected or Developed]])</f>
        <v>44060</v>
      </c>
      <c r="F55" s="87">
        <f>IF(Master[[#This Row],[Received Date -received by site]]="","",Master[[#This Row],[Received Date -received by site]])</f>
        <v>44466</v>
      </c>
      <c r="G55" s="89" t="str">
        <f>IF(Master[[#This Row],[Taxon -Lookup Picker in GRIN]]="","",Master[[#This Row],[Taxon -Lookup Picker in GRIN]])</f>
        <v>Schoenoplectus pungens var. longispicatus</v>
      </c>
      <c r="H55" s="89" t="str">
        <f>IF(Master[[#This Row],[Inventory Maintenance Policy]]="","",Master[[#This Row],[Inventory Maintenance Policy]])</f>
        <v>w6_native</v>
      </c>
      <c r="I55" s="89" t="str">
        <f>IF(Master[[#This Row],[Geography (Collection) -Lookup Picker in GRIN]]="",#REF!,Master[[#This Row],[Geography (Collection) -Lookup Picker in GRIN]])</f>
        <v>United States, California, Mono</v>
      </c>
      <c r="J55" s="89" t="str">
        <f>IF(Master[[#This Row],[Collector Verbatim Locality]]="","",Master[[#This Row],[Collector Verbatim Locality]])</f>
        <v>Inyo National Forest/ Mono Lake/ North side of riparian area/lakeshore. Near end of FS-2N19A.</v>
      </c>
      <c r="K55" s="91">
        <f>IF(Master[[#This Row],[Latitude -decimal degrees]]="","",Master[[#This Row],[Latitude -decimal degrees]])</f>
        <v>38.053719999999998</v>
      </c>
      <c r="L55" s="91">
        <f>IF(Master[[#This Row],[Longitude -decimal degrees]]="","",Master[[#This Row],[Longitude -decimal degrees]])</f>
        <v>-119.07568999999999</v>
      </c>
      <c r="M55" s="89" t="str">
        <f>IF(Master[[#This Row],[Cooperator (Donor) 1 -full record]]="","",Master[[#This Row],[Cooperator (Donor) 1 -full record]])</f>
        <v>Bureau of Land Management, SOS project</v>
      </c>
    </row>
    <row r="56" spans="1:13" ht="165" x14ac:dyDescent="0.25">
      <c r="A56" s="89">
        <f t="shared" si="1"/>
        <v>54</v>
      </c>
      <c r="B56" s="89" t="str">
        <f>Master[[#This Row],[Accession Prefix (NPGS)]]&amp;" "&amp;Master[[#This Row],[Accession Number -Assigned]]</f>
        <v>W6 59642</v>
      </c>
      <c r="C56" s="89" t="str">
        <f>Master[[#This Row],[Inventory Prefix]]&amp;" "&amp;Master[[#This Row],[Inventory Number]]&amp;" "&amp;Master[[#This Row],[Inventory Suffix]]&amp;" "&amp;Master[[#This Row],[Inventory Type - Lookup Picker]]</f>
        <v>W6   SD</v>
      </c>
      <c r="D56" s="89" t="str">
        <f>IF(Master[[#This Row],[Accession Name (Identifier 1)]]="","",Master[[#This Row],[Accession Name (Identifier 1)]])</f>
        <v/>
      </c>
      <c r="E56" s="87">
        <f>IF(Master[[#This Row],[Date Collected or Developed]]="","",Master[[#This Row],[Date Collected or Developed]])</f>
        <v>44068</v>
      </c>
      <c r="F56" s="87">
        <f>IF(Master[[#This Row],[Received Date -received by site]]="","",Master[[#This Row],[Received Date -received by site]])</f>
        <v>44466</v>
      </c>
      <c r="G56" s="89" t="str">
        <f>IF(Master[[#This Row],[Taxon -Lookup Picker in GRIN]]="","",Master[[#This Row],[Taxon -Lookup Picker in GRIN]])</f>
        <v>Triglochin maritima</v>
      </c>
      <c r="H56" s="89" t="str">
        <f>IF(Master[[#This Row],[Inventory Maintenance Policy]]="","",Master[[#This Row],[Inventory Maintenance Policy]])</f>
        <v>w6_native</v>
      </c>
      <c r="I56" s="89" t="str">
        <f>IF(Master[[#This Row],[Geography (Collection) -Lookup Picker in GRIN]]="",#REF!,Master[[#This Row],[Geography (Collection) -Lookup Picker in GRIN]])</f>
        <v>United States, California, Mono</v>
      </c>
      <c r="J56" s="89" t="str">
        <f>IF(Master[[#This Row],[Collector Verbatim Locality]]="","",Master[[#This Row],[Collector Verbatim Locality]])</f>
        <v>Inyo National Forest/ Mono Lake/ Grassy area near lakeshore, north of large rabbitbrush patch</v>
      </c>
      <c r="K56" s="91">
        <f>IF(Master[[#This Row],[Latitude -decimal degrees]]="","",Master[[#This Row],[Latitude -decimal degrees]])</f>
        <v>38.055250000000001</v>
      </c>
      <c r="L56" s="91">
        <f>IF(Master[[#This Row],[Longitude -decimal degrees]]="","",Master[[#This Row],[Longitude -decimal degrees]])</f>
        <v>-119.06601999999999</v>
      </c>
      <c r="M56" s="89" t="str">
        <f>IF(Master[[#This Row],[Cooperator (Donor) 1 -full record]]="","",Master[[#This Row],[Cooperator (Donor) 1 -full record]])</f>
        <v>Bureau of Land Management, SOS project</v>
      </c>
    </row>
    <row r="57" spans="1:13" ht="409.5" x14ac:dyDescent="0.25">
      <c r="A57" s="89">
        <f t="shared" si="1"/>
        <v>55</v>
      </c>
      <c r="B57" s="89" t="str">
        <f>Master[[#This Row],[Accession Prefix (NPGS)]]&amp;" "&amp;Master[[#This Row],[Accession Number -Assigned]]</f>
        <v>W6 59643</v>
      </c>
      <c r="C57" s="89" t="str">
        <f>Master[[#This Row],[Inventory Prefix]]&amp;" "&amp;Master[[#This Row],[Inventory Number]]&amp;" "&amp;Master[[#This Row],[Inventory Suffix]]&amp;" "&amp;Master[[#This Row],[Inventory Type - Lookup Picker]]</f>
        <v>W6   SD</v>
      </c>
      <c r="D57" s="89" t="str">
        <f>IF(Master[[#This Row],[Accession Name (Identifier 1)]]="","",Master[[#This Row],[Accession Name (Identifier 1)]])</f>
        <v/>
      </c>
      <c r="E57" s="87">
        <f>IF(Master[[#This Row],[Date Collected or Developed]]="","",Master[[#This Row],[Date Collected or Developed]])</f>
        <v>43977</v>
      </c>
      <c r="F57" s="87">
        <f>IF(Master[[#This Row],[Received Date -received by site]]="","",Master[[#This Row],[Received Date -received by site]])</f>
        <v>44466</v>
      </c>
      <c r="G57" s="89" t="str">
        <f>IF(Master[[#This Row],[Taxon -Lookup Picker in GRIN]]="","",Master[[#This Row],[Taxon -Lookup Picker in GRIN]])</f>
        <v>Poa secunda</v>
      </c>
      <c r="H57" s="89" t="str">
        <f>IF(Master[[#This Row],[Inventory Maintenance Policy]]="","",Master[[#This Row],[Inventory Maintenance Policy]])</f>
        <v>w6_native</v>
      </c>
      <c r="I57" s="89" t="str">
        <f>IF(Master[[#This Row],[Geography (Collection) -Lookup Picker in GRIN]]="",#REF!,Master[[#This Row],[Geography (Collection) -Lookup Picker in GRIN]])</f>
        <v>United States, Utah, Juab</v>
      </c>
      <c r="J57" s="89" t="str">
        <f>IF(Master[[#This Row],[Collector Verbatim Locality]]="","",Master[[#This Row],[Collector Verbatim Locality]])</f>
        <v>/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on this winding road for 3.5 miles, avoiding turning on any of the narrower, worse-quality roads on the way. Then, keep left on Pismire N Fork Rd and drive 2 miles further west to the collection site, which is marked by a fork in the road, where Pismire N Fork Rd and Pismire S Fork Rd split off. The surrounding sagebrush shrubland in this valley is the collection site.</v>
      </c>
      <c r="K57" s="91">
        <f>IF(Master[[#This Row],[Latitude -decimal degrees]]="","",Master[[#This Row],[Latitude -decimal degrees]])</f>
        <v>39.773299999999999</v>
      </c>
      <c r="L57" s="91">
        <f>IF(Master[[#This Row],[Longitude -decimal degrees]]="","",Master[[#This Row],[Longitude -decimal degrees]])</f>
        <v>-113.10666000000001</v>
      </c>
      <c r="M57" s="89" t="str">
        <f>IF(Master[[#This Row],[Cooperator (Donor) 1 -full record]]="","",Master[[#This Row],[Cooperator (Donor) 1 -full record]])</f>
        <v>Bureau of Land Management, SOS project</v>
      </c>
    </row>
    <row r="58" spans="1:13" ht="409.5" x14ac:dyDescent="0.25">
      <c r="A58" s="89">
        <f t="shared" si="1"/>
        <v>56</v>
      </c>
      <c r="B58" s="89" t="str">
        <f>Master[[#This Row],[Accession Prefix (NPGS)]]&amp;" "&amp;Master[[#This Row],[Accession Number -Assigned]]</f>
        <v>W6 59644</v>
      </c>
      <c r="C58" s="89" t="str">
        <f>Master[[#This Row],[Inventory Prefix]]&amp;" "&amp;Master[[#This Row],[Inventory Number]]&amp;" "&amp;Master[[#This Row],[Inventory Suffix]]&amp;" "&amp;Master[[#This Row],[Inventory Type - Lookup Picker]]</f>
        <v>W6   SD</v>
      </c>
      <c r="D58" s="89" t="str">
        <f>IF(Master[[#This Row],[Accession Name (Identifier 1)]]="","",Master[[#This Row],[Accession Name (Identifier 1)]])</f>
        <v/>
      </c>
      <c r="E58" s="87">
        <f>IF(Master[[#This Row],[Date Collected or Developed]]="","",Master[[#This Row],[Date Collected or Developed]])</f>
        <v>43978</v>
      </c>
      <c r="F58" s="87">
        <f>IF(Master[[#This Row],[Received Date -received by site]]="","",Master[[#This Row],[Received Date -received by site]])</f>
        <v>44466</v>
      </c>
      <c r="G58" s="89" t="str">
        <f>IF(Master[[#This Row],[Taxon -Lookup Picker in GRIN]]="","",Master[[#This Row],[Taxon -Lookup Picker in GRIN]])</f>
        <v>Poa secunda</v>
      </c>
      <c r="H58" s="89" t="str">
        <f>IF(Master[[#This Row],[Inventory Maintenance Policy]]="","",Master[[#This Row],[Inventory Maintenance Policy]])</f>
        <v>w6_native</v>
      </c>
      <c r="I58" s="89" t="str">
        <f>IF(Master[[#This Row],[Geography (Collection) -Lookup Picker in GRIN]]="",#REF!,Master[[#This Row],[Geography (Collection) -Lookup Picker in GRIN]])</f>
        <v>United States, Utah, Juab</v>
      </c>
      <c r="J58" s="89" t="str">
        <f>IF(Master[[#This Row],[Collector Verbatim Locality]]="","",Master[[#This Row],[Collector Verbatim Locality]])</f>
        <v>/ / From Salt Lake City, head west on I-80 for about 119 miles toward West Wendover, Nevada. Take exit 410 for US-93 Alt, take a left to cross south beneath the interstate, take an immediate left (east) on Wendover Blvd, drive a few blocks, and then an immediate right (south) onto US-93 Alt. Drive 25.6 miles south on US-93 Alt and then take a left (heading southeast) on Ibapah Rd. Follow Ibapah Rd for 16.4 miles, then turn left (southeast) onto Upper Gold Hill Rd. Drive 12 miles further southeast to the small town of Gold Hill, turn left (north) at the town, drive 0.7 miles, and then keep right (east) at the road junction just north of town. Next, drive 7.1 miles gradually curving southeast, stay right again at the next road junction heading straight south, and after driving for another 15.5 miles, take a right onto Snake Valley Road, continuing southwest through the Snake Valley. After another 10.1 miles, turn right onto Granite Creek Rd, and continue west for about 4 miles to a pull-over on the left alongside the riparian narrowleaf cottonwood forest. We collected seed in the sagebrush shrubland on the north and south side of this point along Granite Creek Rd.</v>
      </c>
      <c r="K58" s="91">
        <f>IF(Master[[#This Row],[Latitude -decimal degrees]]="","",Master[[#This Row],[Latitude -decimal degrees]])</f>
        <v>39.778440000000003</v>
      </c>
      <c r="L58" s="91">
        <f>IF(Master[[#This Row],[Longitude -decimal degrees]]="","",Master[[#This Row],[Longitude -decimal degrees]])</f>
        <v>-113.86372</v>
      </c>
      <c r="M58" s="89" t="str">
        <f>IF(Master[[#This Row],[Cooperator (Donor) 1 -full record]]="","",Master[[#This Row],[Cooperator (Donor) 1 -full record]])</f>
        <v>Bureau of Land Management, SOS project</v>
      </c>
    </row>
    <row r="59" spans="1:13" ht="409.5" x14ac:dyDescent="0.25">
      <c r="A59" s="89">
        <f t="shared" si="1"/>
        <v>57</v>
      </c>
      <c r="B59" s="89" t="str">
        <f>Master[[#This Row],[Accession Prefix (NPGS)]]&amp;" "&amp;Master[[#This Row],[Accession Number -Assigned]]</f>
        <v>W6 59645</v>
      </c>
      <c r="C59" s="89" t="str">
        <f>Master[[#This Row],[Inventory Prefix]]&amp;" "&amp;Master[[#This Row],[Inventory Number]]&amp;" "&amp;Master[[#This Row],[Inventory Suffix]]&amp;" "&amp;Master[[#This Row],[Inventory Type - Lookup Picker]]</f>
        <v>W6   SD</v>
      </c>
      <c r="D59" s="89" t="str">
        <f>IF(Master[[#This Row],[Accession Name (Identifier 1)]]="","",Master[[#This Row],[Accession Name (Identifier 1)]])</f>
        <v/>
      </c>
      <c r="E59" s="87">
        <f>IF(Master[[#This Row],[Date Collected or Developed]]="","",Master[[#This Row],[Date Collected or Developed]])</f>
        <v>43991</v>
      </c>
      <c r="F59" s="87">
        <f>IF(Master[[#This Row],[Received Date -received by site]]="","",Master[[#This Row],[Received Date -received by site]])</f>
        <v>44466</v>
      </c>
      <c r="G59" s="89" t="str">
        <f>IF(Master[[#This Row],[Taxon -Lookup Picker in GRIN]]="","",Master[[#This Row],[Taxon -Lookup Picker in GRIN]])</f>
        <v>Poa secunda</v>
      </c>
      <c r="H59" s="89" t="str">
        <f>IF(Master[[#This Row],[Inventory Maintenance Policy]]="","",Master[[#This Row],[Inventory Maintenance Policy]])</f>
        <v>w6_native</v>
      </c>
      <c r="I59" s="89" t="str">
        <f>IF(Master[[#This Row],[Geography (Collection) -Lookup Picker in GRIN]]="",#REF!,Master[[#This Row],[Geography (Collection) -Lookup Picker in GRIN]])</f>
        <v>United States, Utah, Tooele</v>
      </c>
      <c r="J59" s="89" t="str">
        <f>IF(Master[[#This Row],[Collector Verbatim Locality]]="","",Master[[#This Row],[Collector Verbatim Locality]])</f>
        <v>/ / From Salt Lake City, take I-80 west for 42.2 miles. Get off on exit 77 for state highway 196 towards Dugway. Follow UT-196 south for 17 miles and then turn right (west) onto an unpaved road marked by a wooden BLM sign. Drive 0.8 miles down this road before turning left and gradually curving southwest. After driving 12 miles, turn right and head west up into Rydalch Canyon. After driving about 3 miles, you will arrive at the Poa secunda collection site. Seed was collected from plants throughout the juniper forest ravines, sagebrush shrublands, and bluebunch wheatgrass slopes surrounding this point.</v>
      </c>
      <c r="K59" s="91">
        <f>IF(Master[[#This Row],[Latitude -decimal degrees]]="","",Master[[#This Row],[Latitude -decimal degrees]])</f>
        <v>40.434629999999999</v>
      </c>
      <c r="L59" s="91">
        <f>IF(Master[[#This Row],[Longitude -decimal degrees]]="","",Master[[#This Row],[Longitude -decimal degrees]])</f>
        <v>-112.96294</v>
      </c>
      <c r="M59" s="89" t="str">
        <f>IF(Master[[#This Row],[Cooperator (Donor) 1 -full record]]="","",Master[[#This Row],[Cooperator (Donor) 1 -full record]])</f>
        <v>Bureau of Land Management, SOS project</v>
      </c>
    </row>
    <row r="60" spans="1:13" ht="409.5" x14ac:dyDescent="0.25">
      <c r="A60" s="89">
        <f t="shared" si="1"/>
        <v>58</v>
      </c>
      <c r="B60" s="89" t="str">
        <f>Master[[#This Row],[Accession Prefix (NPGS)]]&amp;" "&amp;Master[[#This Row],[Accession Number -Assigned]]</f>
        <v>W6 59646</v>
      </c>
      <c r="C60" s="89" t="str">
        <f>Master[[#This Row],[Inventory Prefix]]&amp;" "&amp;Master[[#This Row],[Inventory Number]]&amp;" "&amp;Master[[#This Row],[Inventory Suffix]]&amp;" "&amp;Master[[#This Row],[Inventory Type - Lookup Picker]]</f>
        <v>W6   SD</v>
      </c>
      <c r="D60" s="89" t="str">
        <f>IF(Master[[#This Row],[Accession Name (Identifier 1)]]="","",Master[[#This Row],[Accession Name (Identifier 1)]])</f>
        <v/>
      </c>
      <c r="E60" s="87">
        <f>IF(Master[[#This Row],[Date Collected or Developed]]="","",Master[[#This Row],[Date Collected or Developed]])</f>
        <v>44006</v>
      </c>
      <c r="F60" s="87">
        <f>IF(Master[[#This Row],[Received Date -received by site]]="","",Master[[#This Row],[Received Date -received by site]])</f>
        <v>44466</v>
      </c>
      <c r="G60" s="89" t="str">
        <f>IF(Master[[#This Row],[Taxon -Lookup Picker in GRIN]]="","",Master[[#This Row],[Taxon -Lookup Picker in GRIN]])</f>
        <v>Pseudoroegneria spicata</v>
      </c>
      <c r="H60" s="89" t="str">
        <f>IF(Master[[#This Row],[Inventory Maintenance Policy]]="","",Master[[#This Row],[Inventory Maintenance Policy]])</f>
        <v>w6_native</v>
      </c>
      <c r="I60" s="89" t="str">
        <f>IF(Master[[#This Row],[Geography (Collection) -Lookup Picker in GRIN]]="",#REF!,Master[[#This Row],[Geography (Collection) -Lookup Picker in GRIN]])</f>
        <v>United States, Utah, Juab</v>
      </c>
      <c r="J60" s="89" t="str">
        <f>IF(Master[[#This Row],[Collector Verbatim Locality]]="","",Master[[#This Row],[Collector Verbatim Locality]])</f>
        <v>/ / From Salt Lake City, take I-80 west for about 20 miles. Get off on exit 99 for State Highway 36 toward Tooele. Follow UT-36 south for 39.8 miles and then turn right (west) onto Pony Express Road. Follow the Pony Express Road 41.9 miles west from the junction with UT-36 and then take a left (south) onto another wide, high-quality unpaved road, which is named 14 Mile Rd on ArcGIS Collector. Drive 8.4 miles south along this road before turning right (west) onto Beckstrom Corral Rd. Head west toward the Thomas Range on this winding road for 3.5 miles, avoiding turning on any of the narrower, worse-quality roads on the way. Then, turn left (west) on Pismire N Fork Rd and drive 2 miles to the junction of Pismire N Fork Rd and Pismire S Fork Rd. Turn right here, heading northwest for about one mile. We collected seed from bluebunch wheatgrass along slopes in all directions from this point.</v>
      </c>
      <c r="K60" s="91">
        <f>IF(Master[[#This Row],[Latitude -decimal degrees]]="","",Master[[#This Row],[Latitude -decimal degrees]])</f>
        <v>39.782470000000004</v>
      </c>
      <c r="L60" s="91">
        <f>IF(Master[[#This Row],[Longitude -decimal degrees]]="","",Master[[#This Row],[Longitude -decimal degrees]])</f>
        <v>-113.11436</v>
      </c>
      <c r="M60" s="89" t="str">
        <f>IF(Master[[#This Row],[Cooperator (Donor) 1 -full record]]="","",Master[[#This Row],[Cooperator (Donor) 1 -full record]])</f>
        <v>Bureau of Land Management, SOS project</v>
      </c>
    </row>
    <row r="61" spans="1:13" ht="409.5" x14ac:dyDescent="0.25">
      <c r="A61" s="89">
        <f t="shared" si="1"/>
        <v>59</v>
      </c>
      <c r="B61" s="89" t="str">
        <f>Master[[#This Row],[Accession Prefix (NPGS)]]&amp;" "&amp;Master[[#This Row],[Accession Number -Assigned]]</f>
        <v>W6 59647</v>
      </c>
      <c r="C61" s="89" t="str">
        <f>Master[[#This Row],[Inventory Prefix]]&amp;" "&amp;Master[[#This Row],[Inventory Number]]&amp;" "&amp;Master[[#This Row],[Inventory Suffix]]&amp;" "&amp;Master[[#This Row],[Inventory Type - Lookup Picker]]</f>
        <v>W6   SD</v>
      </c>
      <c r="D61" s="89" t="str">
        <f>IF(Master[[#This Row],[Accession Name (Identifier 1)]]="","",Master[[#This Row],[Accession Name (Identifier 1)]])</f>
        <v/>
      </c>
      <c r="E61" s="87">
        <f>IF(Master[[#This Row],[Date Collected or Developed]]="","",Master[[#This Row],[Date Collected or Developed]])</f>
        <v>44019</v>
      </c>
      <c r="F61" s="87">
        <f>IF(Master[[#This Row],[Received Date -received by site]]="","",Master[[#This Row],[Received Date -received by site]])</f>
        <v>44466</v>
      </c>
      <c r="G61" s="89" t="str">
        <f>IF(Master[[#This Row],[Taxon -Lookup Picker in GRIN]]="","",Master[[#This Row],[Taxon -Lookup Picker in GRIN]])</f>
        <v>Poa secunda</v>
      </c>
      <c r="H61" s="89" t="str">
        <f>IF(Master[[#This Row],[Inventory Maintenance Policy]]="","",Master[[#This Row],[Inventory Maintenance Policy]])</f>
        <v>w6_native</v>
      </c>
      <c r="I61" s="89" t="str">
        <f>IF(Master[[#This Row],[Geography (Collection) -Lookup Picker in GRIN]]="",#REF!,Master[[#This Row],[Geography (Collection) -Lookup Picker in GRIN]])</f>
        <v>United States, Utah, Box Elder</v>
      </c>
      <c r="J61" s="89" t="str">
        <f>IF(Master[[#This Row],[Collector Verbatim Locality]]="","",Master[[#This Row],[Collector Verbatim Locality]])</f>
        <v>Sawtooth National Forest/ Minidoka Ranger District/ From Salt Lake City, follow I-15 north about 71 miles and then keep left to follow I-84 northwest for another 37 miles. Take exit 5 to get onto UT-30, and follow this highway directly west for 15.8 miles. Then, stay right to continue west on UT-42 for 8.7 miles, crossing into Idaho. At this point, turn left to head straight west on East Naf Rd, and follow this road for 18 miles. Then, turn left to head south along S Yost Rd for 2.3 miles, crossing into Utah again. At the junction here, turn right to head straight south for 1.3 miles. Then, turn right again to head west and then south for a total of 1 mile, and then turn right again to head south for 6.1 miles into the Raft River Mountains, following Johnson Creek Road. At this point, turn right onto Johnson Creek Spur B Road, driving about 2 miles to the end of the road at a small meadow. The collection site is directly northwest of here, just outside of the Douglas fir forest along a dry slope with sheer rock cliffs.</v>
      </c>
      <c r="K61" s="91">
        <f>IF(Master[[#This Row],[Latitude -decimal degrees]]="","",Master[[#This Row],[Latitude -decimal degrees]])</f>
        <v>41.877189999999999</v>
      </c>
      <c r="L61" s="91">
        <f>IF(Master[[#This Row],[Longitude -decimal degrees]]="","",Master[[#This Row],[Longitude -decimal degrees]])</f>
        <v>-113.56426999999999</v>
      </c>
      <c r="M61" s="89" t="str">
        <f>IF(Master[[#This Row],[Cooperator (Donor) 1 -full record]]="","",Master[[#This Row],[Cooperator (Donor) 1 -full record]])</f>
        <v>Bureau of Land Management, SOS project</v>
      </c>
    </row>
    <row r="62" spans="1:13" ht="409.5" x14ac:dyDescent="0.25">
      <c r="A62" s="89">
        <f t="shared" si="1"/>
        <v>60</v>
      </c>
      <c r="B62" s="89" t="str">
        <f>Master[[#This Row],[Accession Prefix (NPGS)]]&amp;" "&amp;Master[[#This Row],[Accession Number -Assigned]]</f>
        <v>W6 59648</v>
      </c>
      <c r="C62" s="89" t="str">
        <f>Master[[#This Row],[Inventory Prefix]]&amp;" "&amp;Master[[#This Row],[Inventory Number]]&amp;" "&amp;Master[[#This Row],[Inventory Suffix]]&amp;" "&amp;Master[[#This Row],[Inventory Type - Lookup Picker]]</f>
        <v>W6   SD</v>
      </c>
      <c r="D62" s="89" t="str">
        <f>IF(Master[[#This Row],[Accession Name (Identifier 1)]]="","",Master[[#This Row],[Accession Name (Identifier 1)]])</f>
        <v/>
      </c>
      <c r="E62" s="87">
        <f>IF(Master[[#This Row],[Date Collected or Developed]]="","",Master[[#This Row],[Date Collected or Developed]])</f>
        <v>44021</v>
      </c>
      <c r="F62" s="87">
        <f>IF(Master[[#This Row],[Received Date -received by site]]="","",Master[[#This Row],[Received Date -received by site]])</f>
        <v>44466</v>
      </c>
      <c r="G62" s="89" t="str">
        <f>IF(Master[[#This Row],[Taxon -Lookup Picker in GRIN]]="","",Master[[#This Row],[Taxon -Lookup Picker in GRIN]])</f>
        <v>Pseudoroegneria spicata</v>
      </c>
      <c r="H62" s="89" t="str">
        <f>IF(Master[[#This Row],[Inventory Maintenance Policy]]="","",Master[[#This Row],[Inventory Maintenance Policy]])</f>
        <v>w6_native</v>
      </c>
      <c r="I62" s="89" t="str">
        <f>IF(Master[[#This Row],[Geography (Collection) -Lookup Picker in GRIN]]="",#REF!,Master[[#This Row],[Geography (Collection) -Lookup Picker in GRIN]])</f>
        <v>United States, Utah, Tooele</v>
      </c>
      <c r="J62" s="89" t="str">
        <f>IF(Master[[#This Row],[Collector Verbatim Locality]]="","",Master[[#This Row],[Collector Verbatim Locality]])</f>
        <v>/ / From Salt Lake City, take I-80 west for about 63 miles and take exit 56. Turn left to head south underneath overpass and continue south on Aragonite Road for 2.3 miles toward the Clean Harbors Aragonite Incineration Facility. Near the gate of the facility, turn left to head southwest along Hastings Pass Road. Continue for 4.4 miles to Hastings Pass. Seeds were collected from plants on the slopes northeast of this point.</v>
      </c>
      <c r="K62" s="91">
        <f>IF(Master[[#This Row],[Latitude -decimal degrees]]="","",Master[[#This Row],[Latitude -decimal degrees]])</f>
        <v>40.710189999999997</v>
      </c>
      <c r="L62" s="91">
        <f>IF(Master[[#This Row],[Longitude -decimal degrees]]="","",Master[[#This Row],[Longitude -decimal degrees]])</f>
        <v>-112.928</v>
      </c>
      <c r="M62" s="89" t="str">
        <f>IF(Master[[#This Row],[Cooperator (Donor) 1 -full record]]="","",Master[[#This Row],[Cooperator (Donor) 1 -full record]])</f>
        <v>Bureau of Land Management, SOS project</v>
      </c>
    </row>
    <row r="63" spans="1:13" ht="409.5" x14ac:dyDescent="0.25">
      <c r="A63" s="89">
        <f t="shared" si="1"/>
        <v>61</v>
      </c>
      <c r="B63" s="89" t="str">
        <f>Master[[#This Row],[Accession Prefix (NPGS)]]&amp;" "&amp;Master[[#This Row],[Accession Number -Assigned]]</f>
        <v>W6 59649</v>
      </c>
      <c r="C63" s="89" t="str">
        <f>Master[[#This Row],[Inventory Prefix]]&amp;" "&amp;Master[[#This Row],[Inventory Number]]&amp;" "&amp;Master[[#This Row],[Inventory Suffix]]&amp;" "&amp;Master[[#This Row],[Inventory Type - Lookup Picker]]</f>
        <v>W6   SD</v>
      </c>
      <c r="D63" s="89" t="str">
        <f>IF(Master[[#This Row],[Accession Name (Identifier 1)]]="","",Master[[#This Row],[Accession Name (Identifier 1)]])</f>
        <v/>
      </c>
      <c r="E63" s="87">
        <f>IF(Master[[#This Row],[Date Collected or Developed]]="","",Master[[#This Row],[Date Collected or Developed]])</f>
        <v>44025</v>
      </c>
      <c r="F63" s="87">
        <f>IF(Master[[#This Row],[Received Date -received by site]]="","",Master[[#This Row],[Received Date -received by site]])</f>
        <v>44466</v>
      </c>
      <c r="G63" s="89" t="str">
        <f>IF(Master[[#This Row],[Taxon -Lookup Picker in GRIN]]="","",Master[[#This Row],[Taxon -Lookup Picker in GRIN]])</f>
        <v>Poa secunda</v>
      </c>
      <c r="H63" s="89" t="str">
        <f>IF(Master[[#This Row],[Inventory Maintenance Policy]]="","",Master[[#This Row],[Inventory Maintenance Policy]])</f>
        <v>w6_native</v>
      </c>
      <c r="I63" s="89" t="str">
        <f>IF(Master[[#This Row],[Geography (Collection) -Lookup Picker in GRIN]]="",#REF!,Master[[#This Row],[Geography (Collection) -Lookup Picker in GRIN]])</f>
        <v>United States, Utah, Box Elder</v>
      </c>
      <c r="J63" s="89" t="str">
        <f>IF(Master[[#This Row],[Collector Verbatim Locality]]="","",Master[[#This Row],[Collector Verbatim Locality]])</f>
        <v>/ / From Salt Lake City, follow I-15 north about 71 miles, and then keep left to follow I-84 northwest for another 37 miles. Take exit 5 to get onto UT-30, and follow this highway west and then southwest for 57.5 miles. At this point, turn right onto Immigrant Trail Road and follow it west for 2.1 miles. Then, turn right to head northwest on Ingham Pass Road for 6.6 miles. At this junction, stay left on Ingham Pass Road and continue west for 2.5 miles up to Ingham Pass. Here, turn right on N Ridge Road and drive 50 feet to reach the mountain meadow where we collected seed.</v>
      </c>
      <c r="K63" s="91">
        <f>IF(Master[[#This Row],[Latitude -decimal degrees]]="","",Master[[#This Row],[Latitude -decimal degrees]])</f>
        <v>41.662080000000003</v>
      </c>
      <c r="L63" s="91">
        <f>IF(Master[[#This Row],[Longitude -decimal degrees]]="","",Master[[#This Row],[Longitude -decimal degrees]])</f>
        <v>-113.74299999999999</v>
      </c>
      <c r="M63" s="89" t="str">
        <f>IF(Master[[#This Row],[Cooperator (Donor) 1 -full record]]="","",Master[[#This Row],[Cooperator (Donor) 1 -full record]])</f>
        <v>Bureau of Land Management, SOS project</v>
      </c>
    </row>
    <row r="64" spans="1:13" ht="409.5" x14ac:dyDescent="0.25">
      <c r="A64" s="89">
        <f t="shared" si="1"/>
        <v>62</v>
      </c>
      <c r="B64" s="89" t="str">
        <f>Master[[#This Row],[Accession Prefix (NPGS)]]&amp;" "&amp;Master[[#This Row],[Accession Number -Assigned]]</f>
        <v>W6 59650</v>
      </c>
      <c r="C64" s="89" t="str">
        <f>Master[[#This Row],[Inventory Prefix]]&amp;" "&amp;Master[[#This Row],[Inventory Number]]&amp;" "&amp;Master[[#This Row],[Inventory Suffix]]&amp;" "&amp;Master[[#This Row],[Inventory Type - Lookup Picker]]</f>
        <v>W6   SD</v>
      </c>
      <c r="D64" s="89" t="str">
        <f>IF(Master[[#This Row],[Accession Name (Identifier 1)]]="","",Master[[#This Row],[Accession Name (Identifier 1)]])</f>
        <v/>
      </c>
      <c r="E64" s="87">
        <f>IF(Master[[#This Row],[Date Collected or Developed]]="","",Master[[#This Row],[Date Collected or Developed]])</f>
        <v>44053</v>
      </c>
      <c r="F64" s="87">
        <f>IF(Master[[#This Row],[Received Date -received by site]]="","",Master[[#This Row],[Received Date -received by site]])</f>
        <v>44466</v>
      </c>
      <c r="G64" s="89" t="str">
        <f>IF(Master[[#This Row],[Taxon -Lookup Picker in GRIN]]="","",Master[[#This Row],[Taxon -Lookup Picker in GRIN]])</f>
        <v>Leymus cinereus</v>
      </c>
      <c r="H64" s="89" t="str">
        <f>IF(Master[[#This Row],[Inventory Maintenance Policy]]="","",Master[[#This Row],[Inventory Maintenance Policy]])</f>
        <v>w6_native</v>
      </c>
      <c r="I64" s="89" t="str">
        <f>IF(Master[[#This Row],[Geography (Collection) -Lookup Picker in GRIN]]="",#REF!,Master[[#This Row],[Geography (Collection) -Lookup Picker in GRIN]])</f>
        <v>United States, Utah, Box Elder</v>
      </c>
      <c r="J64" s="89" t="str">
        <f>IF(Master[[#This Row],[Collector Verbatim Locality]]="","",Master[[#This Row],[Collector Verbatim Locality]])</f>
        <v>/ / From the small town of Grouse Creek, UT, head northeast on Grouse Creek Rd for about 3.3 miles. Then, turn right, heading straight east and then north along Cotton Thomas Rd. Continue along this improved unpaved road for 8.3 miles before turning left onto another unpaved road at the top of a hill. Follow this road northwest toward Cotton Thomas Basin for just 0.4 miles. The collection site is the flat, open field of Leymus cinereus at the bottom of the canyon.</v>
      </c>
      <c r="K64" s="91">
        <f>IF(Master[[#This Row],[Latitude -decimal degrees]]="","",Master[[#This Row],[Latitude -decimal degrees]])</f>
        <v>41.856610000000003</v>
      </c>
      <c r="L64" s="91">
        <f>IF(Master[[#This Row],[Longitude -decimal degrees]]="","",Master[[#This Row],[Longitude -decimal degrees]])</f>
        <v>-113.79313</v>
      </c>
      <c r="M64" s="89" t="str">
        <f>IF(Master[[#This Row],[Cooperator (Donor) 1 -full record]]="","",Master[[#This Row],[Cooperator (Donor) 1 -full record]])</f>
        <v>Bureau of Land Management, SOS project</v>
      </c>
    </row>
    <row r="65" spans="1:13" ht="409.5" x14ac:dyDescent="0.25">
      <c r="A65" s="89">
        <f t="shared" si="1"/>
        <v>63</v>
      </c>
      <c r="B65" s="89" t="str">
        <f>Master[[#This Row],[Accession Prefix (NPGS)]]&amp;" "&amp;Master[[#This Row],[Accession Number -Assigned]]</f>
        <v>W6 59651</v>
      </c>
      <c r="C65" s="89" t="str">
        <f>Master[[#This Row],[Inventory Prefix]]&amp;" "&amp;Master[[#This Row],[Inventory Number]]&amp;" "&amp;Master[[#This Row],[Inventory Suffix]]&amp;" "&amp;Master[[#This Row],[Inventory Type - Lookup Picker]]</f>
        <v>W6   SD</v>
      </c>
      <c r="D65" s="89" t="str">
        <f>IF(Master[[#This Row],[Accession Name (Identifier 1)]]="","",Master[[#This Row],[Accession Name (Identifier 1)]])</f>
        <v/>
      </c>
      <c r="E65" s="87">
        <f>IF(Master[[#This Row],[Date Collected or Developed]]="","",Master[[#This Row],[Date Collected or Developed]])</f>
        <v>44054</v>
      </c>
      <c r="F65" s="87">
        <f>IF(Master[[#This Row],[Received Date -received by site]]="","",Master[[#This Row],[Received Date -received by site]])</f>
        <v>44466</v>
      </c>
      <c r="G65" s="89" t="str">
        <f>IF(Master[[#This Row],[Taxon -Lookup Picker in GRIN]]="","",Master[[#This Row],[Taxon -Lookup Picker in GRIN]])</f>
        <v>Leymus cinereus</v>
      </c>
      <c r="H65" s="89" t="str">
        <f>IF(Master[[#This Row],[Inventory Maintenance Policy]]="","",Master[[#This Row],[Inventory Maintenance Policy]])</f>
        <v>w6_native</v>
      </c>
      <c r="I65" s="89" t="str">
        <f>IF(Master[[#This Row],[Geography (Collection) -Lookup Picker in GRIN]]="",#REF!,Master[[#This Row],[Geography (Collection) -Lookup Picker in GRIN]])</f>
        <v>United States, Utah, Box Elder</v>
      </c>
      <c r="J65" s="89" t="str">
        <f>IF(Master[[#This Row],[Collector Verbatim Locality]]="","",Master[[#This Row],[Collector Verbatim Locality]])</f>
        <v>/ / From the small town of Grouse Creek, UT, head northeast along Grouse Creek Rd. Stay left at the junction with Cotton Thomas Rd after 3.3 miles to continue heading north along Grouse Creek Rd. Follow this improved unpaved road for another 23.7 miles as it continues northwest and then north across the Idaho border. Then, turn right onto Birch Creek Rd and continue southeast along this unimproved unpaved road for about 6.2 miles to a pull-out on the north side of the road beside a dense cluster of Leymus cinereus. Seeds were collected from plants from this point in the canyon southeastward to the private property boundary. It is imperative to take the route described above, since the road east of our collection site is owned by a private mining company and is legally impassable.</v>
      </c>
      <c r="K65" s="91">
        <f>IF(Master[[#This Row],[Latitude -decimal degrees]]="","",Master[[#This Row],[Latitude -decimal degrees]])</f>
        <v>41.975360000000002</v>
      </c>
      <c r="L65" s="91">
        <f>IF(Master[[#This Row],[Longitude -decimal degrees]]="","",Master[[#This Row],[Longitude -decimal degrees]])</f>
        <v>-113.88094</v>
      </c>
      <c r="M65" s="89" t="str">
        <f>IF(Master[[#This Row],[Cooperator (Donor) 1 -full record]]="","",Master[[#This Row],[Cooperator (Donor) 1 -full record]])</f>
        <v>Bureau of Land Management, SOS project</v>
      </c>
    </row>
    <row r="66" spans="1:13" ht="409.5" x14ac:dyDescent="0.25">
      <c r="A66" s="89">
        <f t="shared" ref="A66:A97" si="2">ROW()-2</f>
        <v>64</v>
      </c>
      <c r="B66" s="89" t="str">
        <f>Master[[#This Row],[Accession Prefix (NPGS)]]&amp;" "&amp;Master[[#This Row],[Accession Number -Assigned]]</f>
        <v>W6 59652</v>
      </c>
      <c r="C66" s="89" t="str">
        <f>Master[[#This Row],[Inventory Prefix]]&amp;" "&amp;Master[[#This Row],[Inventory Number]]&amp;" "&amp;Master[[#This Row],[Inventory Suffix]]&amp;" "&amp;Master[[#This Row],[Inventory Type - Lookup Picker]]</f>
        <v>W6   SD</v>
      </c>
      <c r="D66" s="89" t="str">
        <f>IF(Master[[#This Row],[Accession Name (Identifier 1)]]="","",Master[[#This Row],[Accession Name (Identifier 1)]])</f>
        <v/>
      </c>
      <c r="E66" s="87">
        <f>IF(Master[[#This Row],[Date Collected or Developed]]="","",Master[[#This Row],[Date Collected or Developed]])</f>
        <v>44054</v>
      </c>
      <c r="F66" s="87">
        <f>IF(Master[[#This Row],[Received Date -received by site]]="","",Master[[#This Row],[Received Date -received by site]])</f>
        <v>44466</v>
      </c>
      <c r="G66" s="89" t="str">
        <f>IF(Master[[#This Row],[Taxon -Lookup Picker in GRIN]]="","",Master[[#This Row],[Taxon -Lookup Picker in GRIN]])</f>
        <v>Leymus cinereus</v>
      </c>
      <c r="H66" s="89" t="str">
        <f>IF(Master[[#This Row],[Inventory Maintenance Policy]]="","",Master[[#This Row],[Inventory Maintenance Policy]])</f>
        <v>w6_native</v>
      </c>
      <c r="I66" s="89" t="str">
        <f>IF(Master[[#This Row],[Geography (Collection) -Lookup Picker in GRIN]]="",#REF!,Master[[#This Row],[Geography (Collection) -Lookup Picker in GRIN]])</f>
        <v>United States, Utah, Box Elder</v>
      </c>
      <c r="J66" s="89" t="str">
        <f>IF(Master[[#This Row],[Collector Verbatim Locality]]="","",Master[[#This Row],[Collector Verbatim Locality]])</f>
        <v>Sawtooth National Forest/ Minidoka Ranger District/ From Snowville, UT, head west on UT-30 for 16 miles and then continue straight onto UT-42, driving northwest for 8.7 miles, crossing the Idaho border. Then, turn left onto E Naf Rd S, heading west for 9.9 miles. Stay straight at the intersection here, following the main road northwest, then west, and then southwest for another 14 miles, crossing back into Utah. Then, turn left onto Yost Flats Rd, and follow it southeast and then straight south for a total of 3.4 miles. Finally, at this point, turn left onto another unpaved road and follow it south for 2.3 miles onto US Forest Service property. We collected seed from plants in dense clusters on both sides of Wildcat Creek.</v>
      </c>
      <c r="K66" s="91">
        <f>IF(Master[[#This Row],[Latitude -decimal degrees]]="","",Master[[#This Row],[Latitude -decimal degrees]])</f>
        <v>41.909500000000001</v>
      </c>
      <c r="L66" s="91">
        <f>IF(Master[[#This Row],[Longitude -decimal degrees]]="","",Master[[#This Row],[Longitude -decimal degrees]])</f>
        <v>-113.60927</v>
      </c>
      <c r="M66" s="89" t="str">
        <f>IF(Master[[#This Row],[Cooperator (Donor) 1 -full record]]="","",Master[[#This Row],[Cooperator (Donor) 1 -full record]])</f>
        <v>Bureau of Land Management, SOS project</v>
      </c>
    </row>
    <row r="67" spans="1:13" ht="409.5" x14ac:dyDescent="0.25">
      <c r="A67" s="89">
        <f t="shared" si="2"/>
        <v>65</v>
      </c>
      <c r="B67" s="89" t="str">
        <f>Master[[#This Row],[Accession Prefix (NPGS)]]&amp;" "&amp;Master[[#This Row],[Accession Number -Assigned]]</f>
        <v>W6 59653</v>
      </c>
      <c r="C67" s="89" t="str">
        <f>Master[[#This Row],[Inventory Prefix]]&amp;" "&amp;Master[[#This Row],[Inventory Number]]&amp;" "&amp;Master[[#This Row],[Inventory Suffix]]&amp;" "&amp;Master[[#This Row],[Inventory Type - Lookup Picker]]</f>
        <v>W6   SD</v>
      </c>
      <c r="D67" s="89" t="str">
        <f>IF(Master[[#This Row],[Accession Name (Identifier 1)]]="","",Master[[#This Row],[Accession Name (Identifier 1)]])</f>
        <v/>
      </c>
      <c r="E67" s="87">
        <f>IF(Master[[#This Row],[Date Collected or Developed]]="","",Master[[#This Row],[Date Collected or Developed]])</f>
        <v>44055</v>
      </c>
      <c r="F67" s="87">
        <f>IF(Master[[#This Row],[Received Date -received by site]]="","",Master[[#This Row],[Received Date -received by site]])</f>
        <v>44466</v>
      </c>
      <c r="G67" s="89" t="str">
        <f>IF(Master[[#This Row],[Taxon -Lookup Picker in GRIN]]="","",Master[[#This Row],[Taxon -Lookup Picker in GRIN]])</f>
        <v>Leymus cinereus</v>
      </c>
      <c r="H67" s="89" t="str">
        <f>IF(Master[[#This Row],[Inventory Maintenance Policy]]="","",Master[[#This Row],[Inventory Maintenance Policy]])</f>
        <v>w6_native</v>
      </c>
      <c r="I67" s="89" t="str">
        <f>IF(Master[[#This Row],[Geography (Collection) -Lookup Picker in GRIN]]="",#REF!,Master[[#This Row],[Geography (Collection) -Lookup Picker in GRIN]])</f>
        <v>United States, Utah, Box Elder</v>
      </c>
      <c r="J67" s="89" t="str">
        <f>IF(Master[[#This Row],[Collector Verbatim Locality]]="","",Master[[#This Row],[Collector Verbatim Locality]])</f>
        <v>Sawtooth National Forest/ Minidoka Ranger District/ From Snowville, UT, head west on UT-30 for 16 miles and then continue straight onto UT-42, driving northwest for another 8.7 miles, crossing the Idaho border. Once here, take a left to head west on E Naf Rd S for 10 miles. Then, turn left, heading straight south for about 1 mile before turning right and heading straight west for 1 additional mile. Finally, take a left to head south and then southwest on One Mile Road for about 3.9 miles, entering US Forest Service property. Our collection site is on the south side of the road, in a small meadow where Leymus cinereus is the dominant species. We also collected from similar sites and scattered individuals alongside One Mile Road, east and west of this central site.</v>
      </c>
      <c r="K67" s="91">
        <f>IF(Master[[#This Row],[Latitude -decimal degrees]]="","",Master[[#This Row],[Latitude -decimal degrees]])</f>
        <v>41.953800000000001</v>
      </c>
      <c r="L67" s="91">
        <f>IF(Master[[#This Row],[Longitude -decimal degrees]]="","",Master[[#This Row],[Longitude -decimal degrees]])</f>
        <v>-113.45738</v>
      </c>
      <c r="M67" s="89" t="str">
        <f>IF(Master[[#This Row],[Cooperator (Donor) 1 -full record]]="","",Master[[#This Row],[Cooperator (Donor) 1 -full record]])</f>
        <v>Bureau of Land Management, SOS project</v>
      </c>
    </row>
    <row r="68" spans="1:13" ht="409.5" x14ac:dyDescent="0.25">
      <c r="A68" s="89">
        <f t="shared" si="2"/>
        <v>66</v>
      </c>
      <c r="B68" s="89" t="str">
        <f>Master[[#This Row],[Accession Prefix (NPGS)]]&amp;" "&amp;Master[[#This Row],[Accession Number -Assigned]]</f>
        <v>W6 59654</v>
      </c>
      <c r="C68" s="89" t="str">
        <f>Master[[#This Row],[Inventory Prefix]]&amp;" "&amp;Master[[#This Row],[Inventory Number]]&amp;" "&amp;Master[[#This Row],[Inventory Suffix]]&amp;" "&amp;Master[[#This Row],[Inventory Type - Lookup Picker]]</f>
        <v>W6   SD</v>
      </c>
      <c r="D68" s="89" t="str">
        <f>IF(Master[[#This Row],[Accession Name (Identifier 1)]]="","",Master[[#This Row],[Accession Name (Identifier 1)]])</f>
        <v/>
      </c>
      <c r="E68" s="87">
        <f>IF(Master[[#This Row],[Date Collected or Developed]]="","",Master[[#This Row],[Date Collected or Developed]])</f>
        <v>44055</v>
      </c>
      <c r="F68" s="87">
        <f>IF(Master[[#This Row],[Received Date -received by site]]="","",Master[[#This Row],[Received Date -received by site]])</f>
        <v>44466</v>
      </c>
      <c r="G68" s="89" t="str">
        <f>IF(Master[[#This Row],[Taxon -Lookup Picker in GRIN]]="","",Master[[#This Row],[Taxon -Lookup Picker in GRIN]])</f>
        <v>Leymus cinereus</v>
      </c>
      <c r="H68" s="89" t="str">
        <f>IF(Master[[#This Row],[Inventory Maintenance Policy]]="","",Master[[#This Row],[Inventory Maintenance Policy]])</f>
        <v>w6_native</v>
      </c>
      <c r="I68" s="89" t="str">
        <f>IF(Master[[#This Row],[Geography (Collection) -Lookup Picker in GRIN]]="",#REF!,Master[[#This Row],[Geography (Collection) -Lookup Picker in GRIN]])</f>
        <v>United States, Utah, Box Elder</v>
      </c>
      <c r="J68" s="89" t="str">
        <f>IF(Master[[#This Row],[Collector Verbatim Locality]]="","",Master[[#This Row],[Collector Verbatim Locality]])</f>
        <v>Sawtooth National Forest/ Minidoka Ranger District/ From Snowville, UT, head west on UT-30 for 16 miles and then continue straight onto UT-42, driving northwest for another 8.7 miles, crossing the Idaho border. Once here, take a left onto E Naf Rd S and head west for 3.2 miles. Next, turn left to head south along Clear Creek Rd for 2.8 miles. Finally, turn right to stay on Clear Creek Rd, heading southwest for about 4.2 miles to the collection site. We collected seed from plants in an open meadow just north of the road from this point, as well as from individuals and small clusters of plants scattered alongside Clear Creek Road to the east and west.</v>
      </c>
      <c r="K68" s="91">
        <f>IF(Master[[#This Row],[Latitude -decimal degrees]]="","",Master[[#This Row],[Latitude -decimal degrees]])</f>
        <v>41.951000000000001</v>
      </c>
      <c r="L68" s="91">
        <f>IF(Master[[#This Row],[Longitude -decimal degrees]]="","",Master[[#This Row],[Longitude -decimal degrees]])</f>
        <v>-113.33958</v>
      </c>
      <c r="M68" s="89" t="str">
        <f>IF(Master[[#This Row],[Cooperator (Donor) 1 -full record]]="","",Master[[#This Row],[Cooperator (Donor) 1 -full record]])</f>
        <v>Bureau of Land Management, SOS project</v>
      </c>
    </row>
    <row r="69" spans="1:13" ht="285" x14ac:dyDescent="0.25">
      <c r="A69" s="89">
        <f t="shared" si="2"/>
        <v>67</v>
      </c>
      <c r="B69" s="89" t="str">
        <f>Master[[#This Row],[Accession Prefix (NPGS)]]&amp;" "&amp;Master[[#This Row],[Accession Number -Assigned]]</f>
        <v>W6 59655</v>
      </c>
      <c r="C69" s="89" t="str">
        <f>Master[[#This Row],[Inventory Prefix]]&amp;" "&amp;Master[[#This Row],[Inventory Number]]&amp;" "&amp;Master[[#This Row],[Inventory Suffix]]&amp;" "&amp;Master[[#This Row],[Inventory Type - Lookup Picker]]</f>
        <v>W6   SD</v>
      </c>
      <c r="D69" s="89" t="str">
        <f>IF(Master[[#This Row],[Accession Name (Identifier 1)]]="","",Master[[#This Row],[Accession Name (Identifier 1)]])</f>
        <v/>
      </c>
      <c r="E69" s="87">
        <f>IF(Master[[#This Row],[Date Collected or Developed]]="","",Master[[#This Row],[Date Collected or Developed]])</f>
        <v>43993</v>
      </c>
      <c r="F69" s="87">
        <f>IF(Master[[#This Row],[Received Date -received by site]]="","",Master[[#This Row],[Received Date -received by site]])</f>
        <v>44466</v>
      </c>
      <c r="G69" s="89" t="str">
        <f>IF(Master[[#This Row],[Taxon -Lookup Picker in GRIN]]="","",Master[[#This Row],[Taxon -Lookup Picker in GRIN]])</f>
        <v>Elymus elymoides</v>
      </c>
      <c r="H69" s="89" t="str">
        <f>IF(Master[[#This Row],[Inventory Maintenance Policy]]="","",Master[[#This Row],[Inventory Maintenance Policy]])</f>
        <v>w6_native</v>
      </c>
      <c r="I69" s="89" t="str">
        <f>IF(Master[[#This Row],[Geography (Collection) -Lookup Picker in GRIN]]="",#REF!,Master[[#This Row],[Geography (Collection) -Lookup Picker in GRIN]])</f>
        <v>United States, Utah, Unitah</v>
      </c>
      <c r="J69" s="89" t="str">
        <f>IF(Master[[#This Row],[Collector Verbatim Locality]]="","",Master[[#This Row],[Collector Verbatim Locality]])</f>
        <v>Old Bonanza Highway/ Oil well 150718/ East 11 mi. on hwy 40 from Jensen, take Old Bonanza Hwy south for 10.5 mi., turn left towards 150718, about 0.25m south from the dirt road, on cheatgrass covered hill.</v>
      </c>
      <c r="K69" s="91">
        <f>IF(Master[[#This Row],[Latitude -decimal degrees]]="","",Master[[#This Row],[Latitude -decimal degrees]])</f>
        <v>40.151020000000003</v>
      </c>
      <c r="L69" s="91">
        <f>IF(Master[[#This Row],[Longitude -decimal degrees]]="","",Master[[#This Row],[Longitude -decimal degrees]])</f>
        <v>-109.12966</v>
      </c>
      <c r="M69" s="89" t="str">
        <f>IF(Master[[#This Row],[Cooperator (Donor) 1 -full record]]="","",Master[[#This Row],[Cooperator (Donor) 1 -full record]])</f>
        <v>Bureau of Land Management, SOS project</v>
      </c>
    </row>
    <row r="70" spans="1:13" ht="225" x14ac:dyDescent="0.25">
      <c r="A70" s="89">
        <f t="shared" si="2"/>
        <v>68</v>
      </c>
      <c r="B70" s="89" t="str">
        <f>Master[[#This Row],[Accession Prefix (NPGS)]]&amp;" "&amp;Master[[#This Row],[Accession Number -Assigned]]</f>
        <v>W6 59656</v>
      </c>
      <c r="C70" s="89" t="str">
        <f>Master[[#This Row],[Inventory Prefix]]&amp;" "&amp;Master[[#This Row],[Inventory Number]]&amp;" "&amp;Master[[#This Row],[Inventory Suffix]]&amp;" "&amp;Master[[#This Row],[Inventory Type - Lookup Picker]]</f>
        <v>W6   SD</v>
      </c>
      <c r="D70" s="89" t="str">
        <f>IF(Master[[#This Row],[Accession Name (Identifier 1)]]="","",Master[[#This Row],[Accession Name (Identifier 1)]])</f>
        <v/>
      </c>
      <c r="E70" s="87">
        <f>IF(Master[[#This Row],[Date Collected or Developed]]="","",Master[[#This Row],[Date Collected or Developed]])</f>
        <v>43997</v>
      </c>
      <c r="F70" s="87">
        <f>IF(Master[[#This Row],[Received Date -received by site]]="","",Master[[#This Row],[Received Date -received by site]])</f>
        <v>44466</v>
      </c>
      <c r="G70" s="89" t="str">
        <f>IF(Master[[#This Row],[Taxon -Lookup Picker in GRIN]]="","",Master[[#This Row],[Taxon -Lookup Picker in GRIN]])</f>
        <v>Elymus elymoides</v>
      </c>
      <c r="H70" s="89" t="str">
        <f>IF(Master[[#This Row],[Inventory Maintenance Policy]]="","",Master[[#This Row],[Inventory Maintenance Policy]])</f>
        <v>w6_native</v>
      </c>
      <c r="I70" s="89" t="str">
        <f>IF(Master[[#This Row],[Geography (Collection) -Lookup Picker in GRIN]]="",#REF!,Master[[#This Row],[Geography (Collection) -Lookup Picker in GRIN]])</f>
        <v>United States, Utah, Unitah</v>
      </c>
      <c r="J70" s="89" t="str">
        <f>IF(Master[[#This Row],[Collector Verbatim Locality]]="","",Master[[#This Row],[Collector Verbatim Locality]])</f>
        <v>Walker Hollow/ Walker Hollow Road/ 22 miles S on highway 45 from Naples, approx 1 miles NE on oil road plants on either side on road</v>
      </c>
      <c r="K70" s="91">
        <f>IF(Master[[#This Row],[Latitude -decimal degrees]]="","",Master[[#This Row],[Latitude -decimal degrees]])</f>
        <v>40.151009999999999</v>
      </c>
      <c r="L70" s="91">
        <f>IF(Master[[#This Row],[Longitude -decimal degrees]]="","",Master[[#This Row],[Longitude -decimal degrees]])</f>
        <v>-109.12963000000001</v>
      </c>
      <c r="M70" s="89" t="str">
        <f>IF(Master[[#This Row],[Cooperator (Donor) 1 -full record]]="","",Master[[#This Row],[Cooperator (Donor) 1 -full record]])</f>
        <v>Bureau of Land Management, SOS project</v>
      </c>
    </row>
    <row r="71" spans="1:13" ht="195" x14ac:dyDescent="0.25">
      <c r="A71" s="89">
        <f t="shared" si="2"/>
        <v>69</v>
      </c>
      <c r="B71" s="89" t="str">
        <f>Master[[#This Row],[Accession Prefix (NPGS)]]&amp;" "&amp;Master[[#This Row],[Accession Number -Assigned]]</f>
        <v>W6 59657</v>
      </c>
      <c r="C71" s="89" t="str">
        <f>Master[[#This Row],[Inventory Prefix]]&amp;" "&amp;Master[[#This Row],[Inventory Number]]&amp;" "&amp;Master[[#This Row],[Inventory Suffix]]&amp;" "&amp;Master[[#This Row],[Inventory Type - Lookup Picker]]</f>
        <v>W6   SD</v>
      </c>
      <c r="D71" s="89" t="str">
        <f>IF(Master[[#This Row],[Accession Name (Identifier 1)]]="","",Master[[#This Row],[Accession Name (Identifier 1)]])</f>
        <v/>
      </c>
      <c r="E71" s="87">
        <f>IF(Master[[#This Row],[Date Collected or Developed]]="","",Master[[#This Row],[Date Collected or Developed]])</f>
        <v>43998</v>
      </c>
      <c r="F71" s="87">
        <f>IF(Master[[#This Row],[Received Date -received by site]]="","",Master[[#This Row],[Received Date -received by site]])</f>
        <v>44466</v>
      </c>
      <c r="G71" s="89" t="str">
        <f>IF(Master[[#This Row],[Taxon -Lookup Picker in GRIN]]="","",Master[[#This Row],[Taxon -Lookup Picker in GRIN]])</f>
        <v>Pleuraphis jamesii</v>
      </c>
      <c r="H71" s="89" t="str">
        <f>IF(Master[[#This Row],[Inventory Maintenance Policy]]="","",Master[[#This Row],[Inventory Maintenance Policy]])</f>
        <v>w6_native</v>
      </c>
      <c r="I71" s="89" t="str">
        <f>IF(Master[[#This Row],[Geography (Collection) -Lookup Picker in GRIN]]="",#REF!,Master[[#This Row],[Geography (Collection) -Lookup Picker in GRIN]])</f>
        <v>United States, Utah, Unitah</v>
      </c>
      <c r="J71" s="89" t="str">
        <f>IF(Master[[#This Row],[Collector Verbatim Locality]]="","",Master[[#This Row],[Collector Verbatim Locality]])</f>
        <v>Baser Wash/ Beaser Washington Road/ From Naples, 13 miles S on Highway 45, .5 mile W on Baeser Washington Rd plants north of road</v>
      </c>
      <c r="K71" s="91">
        <f>IF(Master[[#This Row],[Latitude -decimal degrees]]="","",Master[[#This Row],[Latitude -decimal degrees]])</f>
        <v>40.247239999999998</v>
      </c>
      <c r="L71" s="91">
        <f>IF(Master[[#This Row],[Longitude -decimal degrees]]="","",Master[[#This Row],[Longitude -decimal degrees]])</f>
        <v>-109.43201000000001</v>
      </c>
      <c r="M71" s="89" t="str">
        <f>IF(Master[[#This Row],[Cooperator (Donor) 1 -full record]]="","",Master[[#This Row],[Cooperator (Donor) 1 -full record]])</f>
        <v>Bureau of Land Management, SOS project</v>
      </c>
    </row>
    <row r="72" spans="1:13" ht="240" x14ac:dyDescent="0.25">
      <c r="A72" s="89">
        <f t="shared" si="2"/>
        <v>70</v>
      </c>
      <c r="B72" s="89" t="str">
        <f>Master[[#This Row],[Accession Prefix (NPGS)]]&amp;" "&amp;Master[[#This Row],[Accession Number -Assigned]]</f>
        <v>W6 59658</v>
      </c>
      <c r="C72" s="89" t="str">
        <f>Master[[#This Row],[Inventory Prefix]]&amp;" "&amp;Master[[#This Row],[Inventory Number]]&amp;" "&amp;Master[[#This Row],[Inventory Suffix]]&amp;" "&amp;Master[[#This Row],[Inventory Type - Lookup Picker]]</f>
        <v>W6   SD</v>
      </c>
      <c r="D72" s="89" t="str">
        <f>IF(Master[[#This Row],[Accession Name (Identifier 1)]]="","",Master[[#This Row],[Accession Name (Identifier 1)]])</f>
        <v/>
      </c>
      <c r="E72" s="87">
        <f>IF(Master[[#This Row],[Date Collected or Developed]]="","",Master[[#This Row],[Date Collected or Developed]])</f>
        <v>43998</v>
      </c>
      <c r="F72" s="87">
        <f>IF(Master[[#This Row],[Received Date -received by site]]="","",Master[[#This Row],[Received Date -received by site]])</f>
        <v>44466</v>
      </c>
      <c r="G72" s="89" t="str">
        <f>IF(Master[[#This Row],[Taxon -Lookup Picker in GRIN]]="","",Master[[#This Row],[Taxon -Lookup Picker in GRIN]])</f>
        <v>Pleuraphis jamesii</v>
      </c>
      <c r="H72" s="89" t="str">
        <f>IF(Master[[#This Row],[Inventory Maintenance Policy]]="","",Master[[#This Row],[Inventory Maintenance Policy]])</f>
        <v>w6_native</v>
      </c>
      <c r="I72" s="89" t="str">
        <f>IF(Master[[#This Row],[Geography (Collection) -Lookup Picker in GRIN]]="",#REF!,Master[[#This Row],[Geography (Collection) -Lookup Picker in GRIN]])</f>
        <v>United States, Utah, Unitah</v>
      </c>
      <c r="J72" s="89" t="str">
        <f>IF(Master[[#This Row],[Collector Verbatim Locality]]="","",Master[[#This Row],[Collector Verbatim Locality]])</f>
        <v>Old Bonanza Highway/ Oil well 150718/ From Vernal, ~24 miles E on Highway 40, 10.5 miles S on old Bonanaza Highway, ~1 miles SE on oil road in fields on S side of road</v>
      </c>
      <c r="K72" s="91">
        <f>IF(Master[[#This Row],[Latitude -decimal degrees]]="","",Master[[#This Row],[Latitude -decimal degrees]])</f>
        <v>40.148159999999997</v>
      </c>
      <c r="L72" s="91">
        <f>IF(Master[[#This Row],[Longitude -decimal degrees]]="","",Master[[#This Row],[Longitude -decimal degrees]])</f>
        <v>-109.12027</v>
      </c>
      <c r="M72" s="89" t="str">
        <f>IF(Master[[#This Row],[Cooperator (Donor) 1 -full record]]="","",Master[[#This Row],[Cooperator (Donor) 1 -full record]])</f>
        <v>Bureau of Land Management, SOS project</v>
      </c>
    </row>
    <row r="73" spans="1:13" ht="150" x14ac:dyDescent="0.25">
      <c r="A73" s="89">
        <f t="shared" si="2"/>
        <v>71</v>
      </c>
      <c r="B73" s="89" t="str">
        <f>Master[[#This Row],[Accession Prefix (NPGS)]]&amp;" "&amp;Master[[#This Row],[Accession Number -Assigned]]</f>
        <v>W6 59659</v>
      </c>
      <c r="C73" s="89" t="str">
        <f>Master[[#This Row],[Inventory Prefix]]&amp;" "&amp;Master[[#This Row],[Inventory Number]]&amp;" "&amp;Master[[#This Row],[Inventory Suffix]]&amp;" "&amp;Master[[#This Row],[Inventory Type - Lookup Picker]]</f>
        <v>W6   SD</v>
      </c>
      <c r="D73" s="89" t="str">
        <f>IF(Master[[#This Row],[Accession Name (Identifier 1)]]="","",Master[[#This Row],[Accession Name (Identifier 1)]])</f>
        <v/>
      </c>
      <c r="E73" s="87">
        <f>IF(Master[[#This Row],[Date Collected or Developed]]="","",Master[[#This Row],[Date Collected or Developed]])</f>
        <v>43999</v>
      </c>
      <c r="F73" s="87">
        <f>IF(Master[[#This Row],[Received Date -received by site]]="","",Master[[#This Row],[Received Date -received by site]])</f>
        <v>44466</v>
      </c>
      <c r="G73" s="89" t="str">
        <f>IF(Master[[#This Row],[Taxon -Lookup Picker in GRIN]]="","",Master[[#This Row],[Taxon -Lookup Picker in GRIN]])</f>
        <v>Elymus elymoides</v>
      </c>
      <c r="H73" s="89" t="str">
        <f>IF(Master[[#This Row],[Inventory Maintenance Policy]]="","",Master[[#This Row],[Inventory Maintenance Policy]])</f>
        <v>w6_native</v>
      </c>
      <c r="I73" s="89" t="str">
        <f>IF(Master[[#This Row],[Geography (Collection) -Lookup Picker in GRIN]]="",#REF!,Master[[#This Row],[Geography (Collection) -Lookup Picker in GRIN]])</f>
        <v>United States, Utah, Unitah</v>
      </c>
      <c r="J73" s="89" t="str">
        <f>IF(Master[[#This Row],[Collector Verbatim Locality]]="","",Master[[#This Row],[Collector Verbatim Locality]])</f>
        <v>Blind Draw/ Highway 40E/ ~22 miles E on highway 40 from Vernal, plants on south side of roadside</v>
      </c>
      <c r="K73" s="91">
        <f>IF(Master[[#This Row],[Latitude -decimal degrees]]="","",Master[[#This Row],[Latitude -decimal degrees]])</f>
        <v>40.3033</v>
      </c>
      <c r="L73" s="91">
        <f>IF(Master[[#This Row],[Longitude -decimal degrees]]="","",Master[[#This Row],[Longitude -decimal degrees]])</f>
        <v>-109.20614</v>
      </c>
      <c r="M73" s="89" t="str">
        <f>IF(Master[[#This Row],[Cooperator (Donor) 1 -full record]]="","",Master[[#This Row],[Cooperator (Donor) 1 -full record]])</f>
        <v>Bureau of Land Management, SOS project</v>
      </c>
    </row>
    <row r="74" spans="1:13" ht="165" x14ac:dyDescent="0.25">
      <c r="A74" s="89">
        <f t="shared" si="2"/>
        <v>72</v>
      </c>
      <c r="B74" s="89" t="str">
        <f>Master[[#This Row],[Accession Prefix (NPGS)]]&amp;" "&amp;Master[[#This Row],[Accession Number -Assigned]]</f>
        <v>W6 59660</v>
      </c>
      <c r="C74" s="89" t="str">
        <f>Master[[#This Row],[Inventory Prefix]]&amp;" "&amp;Master[[#This Row],[Inventory Number]]&amp;" "&amp;Master[[#This Row],[Inventory Suffix]]&amp;" "&amp;Master[[#This Row],[Inventory Type - Lookup Picker]]</f>
        <v>W6   SD</v>
      </c>
      <c r="D74" s="89" t="str">
        <f>IF(Master[[#This Row],[Accession Name (Identifier 1)]]="","",Master[[#This Row],[Accession Name (Identifier 1)]])</f>
        <v/>
      </c>
      <c r="E74" s="87">
        <f>IF(Master[[#This Row],[Date Collected or Developed]]="","",Master[[#This Row],[Date Collected or Developed]])</f>
        <v>44006</v>
      </c>
      <c r="F74" s="87">
        <f>IF(Master[[#This Row],[Received Date -received by site]]="","",Master[[#This Row],[Received Date -received by site]])</f>
        <v>44466</v>
      </c>
      <c r="G74" s="89" t="str">
        <f>IF(Master[[#This Row],[Taxon -Lookup Picker in GRIN]]="","",Master[[#This Row],[Taxon -Lookup Picker in GRIN]])</f>
        <v>Sphaeralcea coccinea subsp. coccinea</v>
      </c>
      <c r="H74" s="89" t="str">
        <f>IF(Master[[#This Row],[Inventory Maintenance Policy]]="","",Master[[#This Row],[Inventory Maintenance Policy]])</f>
        <v>w6_native</v>
      </c>
      <c r="I74" s="89" t="str">
        <f>IF(Master[[#This Row],[Geography (Collection) -Lookup Picker in GRIN]]="",#REF!,Master[[#This Row],[Geography (Collection) -Lookup Picker in GRIN]])</f>
        <v>United States, Utah, Unitah</v>
      </c>
      <c r="J74" s="89" t="str">
        <f>IF(Master[[#This Row],[Collector Verbatim Locality]]="","",Master[[#This Row],[Collector Verbatim Locality]])</f>
        <v>Blind Draw/Cow Wash/ Highway 40E/ From Vernal, ~22 miles E on Highway 40 plants on S side of Highway</v>
      </c>
      <c r="K74" s="91">
        <f>IF(Master[[#This Row],[Latitude -decimal degrees]]="","",Master[[#This Row],[Latitude -decimal degrees]])</f>
        <v>40.301259999999999</v>
      </c>
      <c r="L74" s="91">
        <f>IF(Master[[#This Row],[Longitude -decimal degrees]]="","",Master[[#This Row],[Longitude -decimal degrees]])</f>
        <v>-109.19764000000001</v>
      </c>
      <c r="M74" s="89" t="str">
        <f>IF(Master[[#This Row],[Cooperator (Donor) 1 -full record]]="","",Master[[#This Row],[Cooperator (Donor) 1 -full record]])</f>
        <v>Bureau of Land Management, SOS project</v>
      </c>
    </row>
    <row r="75" spans="1:13" ht="240" x14ac:dyDescent="0.25">
      <c r="A75" s="89">
        <f t="shared" si="2"/>
        <v>73</v>
      </c>
      <c r="B75" s="89" t="str">
        <f>Master[[#This Row],[Accession Prefix (NPGS)]]&amp;" "&amp;Master[[#This Row],[Accession Number -Assigned]]</f>
        <v>W6 59661</v>
      </c>
      <c r="C75" s="89" t="str">
        <f>Master[[#This Row],[Inventory Prefix]]&amp;" "&amp;Master[[#This Row],[Inventory Number]]&amp;" "&amp;Master[[#This Row],[Inventory Suffix]]&amp;" "&amp;Master[[#This Row],[Inventory Type - Lookup Picker]]</f>
        <v>W6   SD</v>
      </c>
      <c r="D75" s="89" t="str">
        <f>IF(Master[[#This Row],[Accession Name (Identifier 1)]]="","",Master[[#This Row],[Accession Name (Identifier 1)]])</f>
        <v/>
      </c>
      <c r="E75" s="87">
        <f>IF(Master[[#This Row],[Date Collected or Developed]]="","",Master[[#This Row],[Date Collected or Developed]])</f>
        <v>44006</v>
      </c>
      <c r="F75" s="87">
        <f>IF(Master[[#This Row],[Received Date -received by site]]="","",Master[[#This Row],[Received Date -received by site]])</f>
        <v>44466</v>
      </c>
      <c r="G75" s="89" t="str">
        <f>IF(Master[[#This Row],[Taxon -Lookup Picker in GRIN]]="","",Master[[#This Row],[Taxon -Lookup Picker in GRIN]])</f>
        <v>Sphaeralcea parvifolia</v>
      </c>
      <c r="H75" s="89" t="str">
        <f>IF(Master[[#This Row],[Inventory Maintenance Policy]]="","",Master[[#This Row],[Inventory Maintenance Policy]])</f>
        <v>w6_native</v>
      </c>
      <c r="I75" s="89" t="str">
        <f>IF(Master[[#This Row],[Geography (Collection) -Lookup Picker in GRIN]]="",#REF!,Master[[#This Row],[Geography (Collection) -Lookup Picker in GRIN]])</f>
        <v>United States, Utah, Unitah</v>
      </c>
      <c r="J75" s="89" t="str">
        <f>IF(Master[[#This Row],[Collector Verbatim Locality]]="","",Master[[#This Row],[Collector Verbatim Locality]])</f>
        <v>Brough Reservoir/ Highway 88/ From Vernal, ~14 miles W on Highway 40, 3.8 miles S on Highway 88, plants west of highway on either side of turnoff to Brough reservoir</v>
      </c>
      <c r="K75" s="91">
        <f>IF(Master[[#This Row],[Latitude -decimal degrees]]="","",Master[[#This Row],[Latitude -decimal degrees]])</f>
        <v>40.265549999999998</v>
      </c>
      <c r="L75" s="91">
        <f>IF(Master[[#This Row],[Longitude -decimal degrees]]="","",Master[[#This Row],[Longitude -decimal degrees]])</f>
        <v>-109.685</v>
      </c>
      <c r="M75" s="89" t="str">
        <f>IF(Master[[#This Row],[Cooperator (Donor) 1 -full record]]="","",Master[[#This Row],[Cooperator (Donor) 1 -full record]])</f>
        <v>Bureau of Land Management, SOS project</v>
      </c>
    </row>
    <row r="76" spans="1:13" ht="315" x14ac:dyDescent="0.25">
      <c r="A76" s="89">
        <f t="shared" si="2"/>
        <v>74</v>
      </c>
      <c r="B76" s="89" t="str">
        <f>Master[[#This Row],[Accession Prefix (NPGS)]]&amp;" "&amp;Master[[#This Row],[Accession Number -Assigned]]</f>
        <v>W6 59662</v>
      </c>
      <c r="C76" s="89" t="str">
        <f>Master[[#This Row],[Inventory Prefix]]&amp;" "&amp;Master[[#This Row],[Inventory Number]]&amp;" "&amp;Master[[#This Row],[Inventory Suffix]]&amp;" "&amp;Master[[#This Row],[Inventory Type - Lookup Picker]]</f>
        <v>W6   SD</v>
      </c>
      <c r="D76" s="89" t="str">
        <f>IF(Master[[#This Row],[Accession Name (Identifier 1)]]="","",Master[[#This Row],[Accession Name (Identifier 1)]])</f>
        <v/>
      </c>
      <c r="E76" s="87">
        <f>IF(Master[[#This Row],[Date Collected or Developed]]="","",Master[[#This Row],[Date Collected or Developed]])</f>
        <v>44013</v>
      </c>
      <c r="F76" s="87">
        <f>IF(Master[[#This Row],[Received Date -received by site]]="","",Master[[#This Row],[Received Date -received by site]])</f>
        <v>44466</v>
      </c>
      <c r="G76" s="89" t="str">
        <f>IF(Master[[#This Row],[Taxon -Lookup Picker in GRIN]]="","",Master[[#This Row],[Taxon -Lookup Picker in GRIN]])</f>
        <v>Sphaeralcea parvifolia</v>
      </c>
      <c r="H76" s="89" t="str">
        <f>IF(Master[[#This Row],[Inventory Maintenance Policy]]="","",Master[[#This Row],[Inventory Maintenance Policy]])</f>
        <v>w6_native</v>
      </c>
      <c r="I76" s="89" t="str">
        <f>IF(Master[[#This Row],[Geography (Collection) -Lookup Picker in GRIN]]="",#REF!,Master[[#This Row],[Geography (Collection) -Lookup Picker in GRIN]])</f>
        <v>United States, Utah, Unitah</v>
      </c>
      <c r="J76" s="89" t="str">
        <f>IF(Master[[#This Row],[Collector Verbatim Locality]]="","",Master[[#This Row],[Collector Verbatim Locality]])</f>
        <v>Uintah Basin/ Baeser Washington Rd./ From Vernal, take hwy 45 S for 13 mi., turn W onto Beaser Washington Rd., cont. for 4 mi., cont. onto Stirrup Rd. for 4 mi. Along sandy plateau top near oil well rd 4304731787.</v>
      </c>
      <c r="K76" s="91">
        <f>IF(Master[[#This Row],[Latitude -decimal degrees]]="","",Master[[#This Row],[Latitude -decimal degrees]])</f>
        <v>40.248049999999999</v>
      </c>
      <c r="L76" s="91">
        <f>IF(Master[[#This Row],[Longitude -decimal degrees]]="","",Master[[#This Row],[Longitude -decimal degrees]])</f>
        <v>-109.54777</v>
      </c>
      <c r="M76" s="89" t="str">
        <f>IF(Master[[#This Row],[Cooperator (Donor) 1 -full record]]="","",Master[[#This Row],[Cooperator (Donor) 1 -full record]])</f>
        <v>Bureau of Land Management, SOS project</v>
      </c>
    </row>
    <row r="77" spans="1:13" ht="195" x14ac:dyDescent="0.25">
      <c r="A77" s="89">
        <f t="shared" si="2"/>
        <v>75</v>
      </c>
      <c r="B77" s="89" t="str">
        <f>Master[[#This Row],[Accession Prefix (NPGS)]]&amp;" "&amp;Master[[#This Row],[Accession Number -Assigned]]</f>
        <v>W6 59663</v>
      </c>
      <c r="C77" s="89" t="str">
        <f>Master[[#This Row],[Inventory Prefix]]&amp;" "&amp;Master[[#This Row],[Inventory Number]]&amp;" "&amp;Master[[#This Row],[Inventory Suffix]]&amp;" "&amp;Master[[#This Row],[Inventory Type - Lookup Picker]]</f>
        <v>W6   SD</v>
      </c>
      <c r="D77" s="89" t="str">
        <f>IF(Master[[#This Row],[Accession Name (Identifier 1)]]="","",Master[[#This Row],[Accession Name (Identifier 1)]])</f>
        <v/>
      </c>
      <c r="E77" s="87">
        <f>IF(Master[[#This Row],[Date Collected or Developed]]="","",Master[[#This Row],[Date Collected or Developed]])</f>
        <v>44007</v>
      </c>
      <c r="F77" s="87">
        <f>IF(Master[[#This Row],[Received Date -received by site]]="","",Master[[#This Row],[Received Date -received by site]])</f>
        <v>44466</v>
      </c>
      <c r="G77" s="89" t="str">
        <f>IF(Master[[#This Row],[Taxon -Lookup Picker in GRIN]]="","",Master[[#This Row],[Taxon -Lookup Picker in GRIN]])</f>
        <v>Aristida purpurea</v>
      </c>
      <c r="H77" s="89" t="str">
        <f>IF(Master[[#This Row],[Inventory Maintenance Policy]]="","",Master[[#This Row],[Inventory Maintenance Policy]])</f>
        <v>w6_native</v>
      </c>
      <c r="I77" s="89" t="str">
        <f>IF(Master[[#This Row],[Geography (Collection) -Lookup Picker in GRIN]]="",#REF!,Master[[#This Row],[Geography (Collection) -Lookup Picker in GRIN]])</f>
        <v>United States, Utah, Unitah</v>
      </c>
      <c r="J77" s="89" t="str">
        <f>IF(Master[[#This Row],[Collector Verbatim Locality]]="","",Master[[#This Row],[Collector Verbatim Locality]])</f>
        <v>Old bonanza highway/ roadside/ From Vernal, 24.4 miles E on H 40, 4 miles S on Old Bonanza Highway, plants lining both sides of road</v>
      </c>
      <c r="K77" s="91">
        <f>IF(Master[[#This Row],[Latitude -decimal degrees]]="","",Master[[#This Row],[Latitude -decimal degrees]])</f>
        <v>40.236660000000001</v>
      </c>
      <c r="L77" s="91">
        <f>IF(Master[[#This Row],[Longitude -decimal degrees]]="","",Master[[#This Row],[Longitude -decimal degrees]])</f>
        <v>-109.15638</v>
      </c>
      <c r="M77" s="89" t="str">
        <f>IF(Master[[#This Row],[Cooperator (Donor) 1 -full record]]="","",Master[[#This Row],[Cooperator (Donor) 1 -full record]])</f>
        <v>Bureau of Land Management, SOS project</v>
      </c>
    </row>
    <row r="78" spans="1:13" ht="330" x14ac:dyDescent="0.25">
      <c r="A78" s="89">
        <f t="shared" si="2"/>
        <v>76</v>
      </c>
      <c r="B78" s="89" t="str">
        <f>Master[[#This Row],[Accession Prefix (NPGS)]]&amp;" "&amp;Master[[#This Row],[Accession Number -Assigned]]</f>
        <v>W6 59664</v>
      </c>
      <c r="C78" s="89" t="str">
        <f>Master[[#This Row],[Inventory Prefix]]&amp;" "&amp;Master[[#This Row],[Inventory Number]]&amp;" "&amp;Master[[#This Row],[Inventory Suffix]]&amp;" "&amp;Master[[#This Row],[Inventory Type - Lookup Picker]]</f>
        <v>W6   SD</v>
      </c>
      <c r="D78" s="89" t="str">
        <f>IF(Master[[#This Row],[Accession Name (Identifier 1)]]="","",Master[[#This Row],[Accession Name (Identifier 1)]])</f>
        <v/>
      </c>
      <c r="E78" s="87">
        <f>IF(Master[[#This Row],[Date Collected or Developed]]="","",Master[[#This Row],[Date Collected or Developed]])</f>
        <v>44054</v>
      </c>
      <c r="F78" s="87">
        <f>IF(Master[[#This Row],[Received Date -received by site]]="","",Master[[#This Row],[Received Date -received by site]])</f>
        <v>44466</v>
      </c>
      <c r="G78" s="89" t="str">
        <f>IF(Master[[#This Row],[Taxon -Lookup Picker in GRIN]]="","",Master[[#This Row],[Taxon -Lookup Picker in GRIN]])</f>
        <v>Eriogonum heracleoides</v>
      </c>
      <c r="H78" s="89" t="str">
        <f>IF(Master[[#This Row],[Inventory Maintenance Policy]]="","",Master[[#This Row],[Inventory Maintenance Policy]])</f>
        <v>w6_native</v>
      </c>
      <c r="I78" s="89" t="str">
        <f>IF(Master[[#This Row],[Geography (Collection) -Lookup Picker in GRIN]]="",#REF!,Master[[#This Row],[Geography (Collection) -Lookup Picker in GRIN]])</f>
        <v>United States, Utah, Unitah</v>
      </c>
      <c r="J78" s="89" t="str">
        <f>IF(Master[[#This Row],[Collector Verbatim Locality]]="","",Master[[#This Row],[Collector Verbatim Locality]])</f>
        <v>Red Cloud Loop Kiosk/ Highway 191/ From Vernal, take Hwy 191 N for 16 miles. Turn W onto FR 018. The pull off for Red Cloud Loop is immediately to the north, plants are abundant throughout meadow and nearby Aspen grove.</v>
      </c>
      <c r="K78" s="91">
        <f>IF(Master[[#This Row],[Latitude -decimal degrees]]="","",Master[[#This Row],[Latitude -decimal degrees]])</f>
        <v>40.676409999999997</v>
      </c>
      <c r="L78" s="91">
        <f>IF(Master[[#This Row],[Longitude -decimal degrees]]="","",Master[[#This Row],[Longitude -decimal degrees]])</f>
        <v>-109.48761</v>
      </c>
      <c r="M78" s="89" t="str">
        <f>IF(Master[[#This Row],[Cooperator (Donor) 1 -full record]]="","",Master[[#This Row],[Cooperator (Donor) 1 -full record]])</f>
        <v>Bureau of Land Management, SOS project</v>
      </c>
    </row>
    <row r="79" spans="1:13" ht="225" x14ac:dyDescent="0.25">
      <c r="A79" s="89">
        <f t="shared" si="2"/>
        <v>77</v>
      </c>
      <c r="B79" s="89" t="str">
        <f>Master[[#This Row],[Accession Prefix (NPGS)]]&amp;" "&amp;Master[[#This Row],[Accession Number -Assigned]]</f>
        <v>W6 59665</v>
      </c>
      <c r="C79" s="89" t="str">
        <f>Master[[#This Row],[Inventory Prefix]]&amp;" "&amp;Master[[#This Row],[Inventory Number]]&amp;" "&amp;Master[[#This Row],[Inventory Suffix]]&amp;" "&amp;Master[[#This Row],[Inventory Type - Lookup Picker]]</f>
        <v>W6   SD</v>
      </c>
      <c r="D79" s="89" t="str">
        <f>IF(Master[[#This Row],[Accession Name (Identifier 1)]]="","",Master[[#This Row],[Accession Name (Identifier 1)]])</f>
        <v/>
      </c>
      <c r="E79" s="87">
        <f>IF(Master[[#This Row],[Date Collected or Developed]]="","",Master[[#This Row],[Date Collected or Developed]])</f>
        <v>44013</v>
      </c>
      <c r="F79" s="87">
        <f>IF(Master[[#This Row],[Received Date -received by site]]="","",Master[[#This Row],[Received Date -received by site]])</f>
        <v>44466</v>
      </c>
      <c r="G79" s="89" t="str">
        <f>IF(Master[[#This Row],[Taxon -Lookup Picker in GRIN]]="","",Master[[#This Row],[Taxon -Lookup Picker in GRIN]])</f>
        <v>Sporobolus airoides</v>
      </c>
      <c r="H79" s="89" t="str">
        <f>IF(Master[[#This Row],[Inventory Maintenance Policy]]="","",Master[[#This Row],[Inventory Maintenance Policy]])</f>
        <v>w6_native</v>
      </c>
      <c r="I79" s="89" t="str">
        <f>IF(Master[[#This Row],[Geography (Collection) -Lookup Picker in GRIN]]="",#REF!,Master[[#This Row],[Geography (Collection) -Lookup Picker in GRIN]])</f>
        <v>United States, Utah, Unitah</v>
      </c>
      <c r="J79" s="89" t="str">
        <f>IF(Master[[#This Row],[Collector Verbatim Locality]]="","",Master[[#This Row],[Collector Verbatim Locality]])</f>
        <v>Ouray Wildlife refuge/ Highway 88/ From Vernal, ~12.5 miles E on highway 40, 12.7 miles S on highway 88, plants in drainage area E oil wells</v>
      </c>
      <c r="K79" s="91">
        <f>IF(Master[[#This Row],[Latitude -decimal degrees]]="","",Master[[#This Row],[Latitude -decimal degrees]])</f>
        <v>40.143329999999999</v>
      </c>
      <c r="L79" s="91">
        <f>IF(Master[[#This Row],[Longitude -decimal degrees]]="","",Master[[#This Row],[Longitude -decimal degrees]])</f>
        <v>-109.66166</v>
      </c>
      <c r="M79" s="89" t="str">
        <f>IF(Master[[#This Row],[Cooperator (Donor) 1 -full record]]="","",Master[[#This Row],[Cooperator (Donor) 1 -full record]])</f>
        <v>Bureau of Land Management, SOS project</v>
      </c>
    </row>
    <row r="80" spans="1:13" ht="330" x14ac:dyDescent="0.25">
      <c r="A80" s="89">
        <f t="shared" si="2"/>
        <v>78</v>
      </c>
      <c r="B80" s="89" t="str">
        <f>Master[[#This Row],[Accession Prefix (NPGS)]]&amp;" "&amp;Master[[#This Row],[Accession Number -Assigned]]</f>
        <v>W6 59666</v>
      </c>
      <c r="C80" s="89" t="str">
        <f>Master[[#This Row],[Inventory Prefix]]&amp;" "&amp;Master[[#This Row],[Inventory Number]]&amp;" "&amp;Master[[#This Row],[Inventory Suffix]]&amp;" "&amp;Master[[#This Row],[Inventory Type - Lookup Picker]]</f>
        <v>W6   SD</v>
      </c>
      <c r="D80" s="89" t="str">
        <f>IF(Master[[#This Row],[Accession Name (Identifier 1)]]="","",Master[[#This Row],[Accession Name (Identifier 1)]])</f>
        <v/>
      </c>
      <c r="E80" s="87">
        <f>IF(Master[[#This Row],[Date Collected or Developed]]="","",Master[[#This Row],[Date Collected or Developed]])</f>
        <v>44011</v>
      </c>
      <c r="F80" s="87">
        <f>IF(Master[[#This Row],[Received Date -received by site]]="","",Master[[#This Row],[Received Date -received by site]])</f>
        <v>44466</v>
      </c>
      <c r="G80" s="89" t="str">
        <f>IF(Master[[#This Row],[Taxon -Lookup Picker in GRIN]]="","",Master[[#This Row],[Taxon -Lookup Picker in GRIN]])</f>
        <v>Sporobolus airoides</v>
      </c>
      <c r="H80" s="89" t="str">
        <f>IF(Master[[#This Row],[Inventory Maintenance Policy]]="","",Master[[#This Row],[Inventory Maintenance Policy]])</f>
        <v>w6_native</v>
      </c>
      <c r="I80" s="89" t="str">
        <f>IF(Master[[#This Row],[Geography (Collection) -Lookup Picker in GRIN]]="",#REF!,Master[[#This Row],[Geography (Collection) -Lookup Picker in GRIN]])</f>
        <v>United States, Utah, Unitah</v>
      </c>
      <c r="J80" s="89" t="str">
        <f>IF(Master[[#This Row],[Collector Verbatim Locality]]="","",Master[[#This Row],[Collector Verbatim Locality]])</f>
        <v>Brough Reservoir/ Road 008PO6H/ From Vernal, ~12.5 miles E on highway 40, 3.8 miles S on highway 88, take the turn off W to Brough Reservoir, slight lefty at the fork, plants on either side of the road N of the reservoir</v>
      </c>
      <c r="K80" s="91">
        <f>IF(Master[[#This Row],[Latitude -decimal degrees]]="","",Master[[#This Row],[Latitude -decimal degrees]])</f>
        <v>40.261940000000003</v>
      </c>
      <c r="L80" s="91">
        <f>IF(Master[[#This Row],[Longitude -decimal degrees]]="","",Master[[#This Row],[Longitude -decimal degrees]])</f>
        <v>-109.70305</v>
      </c>
      <c r="M80" s="89" t="str">
        <f>IF(Master[[#This Row],[Cooperator (Donor) 1 -full record]]="","",Master[[#This Row],[Cooperator (Donor) 1 -full record]])</f>
        <v>Bureau of Land Management, SOS project</v>
      </c>
    </row>
    <row r="81" spans="1:13" ht="300" x14ac:dyDescent="0.25">
      <c r="A81" s="89">
        <f t="shared" si="2"/>
        <v>79</v>
      </c>
      <c r="B81" s="89" t="str">
        <f>Master[[#This Row],[Accession Prefix (NPGS)]]&amp;" "&amp;Master[[#This Row],[Accession Number -Assigned]]</f>
        <v>W6 59667</v>
      </c>
      <c r="C81" s="89" t="str">
        <f>Master[[#This Row],[Inventory Prefix]]&amp;" "&amp;Master[[#This Row],[Inventory Number]]&amp;" "&amp;Master[[#This Row],[Inventory Suffix]]&amp;" "&amp;Master[[#This Row],[Inventory Type - Lookup Picker]]</f>
        <v>W6   SD</v>
      </c>
      <c r="D81" s="89" t="str">
        <f>IF(Master[[#This Row],[Accession Name (Identifier 1)]]="","",Master[[#This Row],[Accession Name (Identifier 1)]])</f>
        <v/>
      </c>
      <c r="E81" s="87">
        <f>IF(Master[[#This Row],[Date Collected or Developed]]="","",Master[[#This Row],[Date Collected or Developed]])</f>
        <v>44011</v>
      </c>
      <c r="F81" s="87">
        <f>IF(Master[[#This Row],[Received Date -received by site]]="","",Master[[#This Row],[Received Date -received by site]])</f>
        <v>44466</v>
      </c>
      <c r="G81" s="89" t="str">
        <f>IF(Master[[#This Row],[Taxon -Lookup Picker in GRIN]]="","",Master[[#This Row],[Taxon -Lookup Picker in GRIN]])</f>
        <v>Astragalus mollissimus</v>
      </c>
      <c r="H81" s="89" t="str">
        <f>IF(Master[[#This Row],[Inventory Maintenance Policy]]="","",Master[[#This Row],[Inventory Maintenance Policy]])</f>
        <v>w6_native</v>
      </c>
      <c r="I81" s="89" t="str">
        <f>IF(Master[[#This Row],[Geography (Collection) -Lookup Picker in GRIN]]="",#REF!,Master[[#This Row],[Geography (Collection) -Lookup Picker in GRIN]])</f>
        <v>United States, Utah, Unitah</v>
      </c>
      <c r="J81" s="89" t="str">
        <f>IF(Master[[#This Row],[Collector Verbatim Locality]]="","",Master[[#This Row],[Collector Verbatim Locality]])</f>
        <v>12 mile wash/ 12 mile wash road/ From Vernal, take hwy 40 W for 10.5 mi., then turn south onto 12 Mile Washington Rd. Roadside plants on bare alkaline hill, W of rd 0.3 m south. UT State Trust Land parcel.</v>
      </c>
      <c r="K81" s="91">
        <f>IF(Master[[#This Row],[Latitude -decimal degrees]]="","",Master[[#This Row],[Latitude -decimal degrees]])</f>
        <v>40.335000000000001</v>
      </c>
      <c r="L81" s="91">
        <f>IF(Master[[#This Row],[Longitude -decimal degrees]]="","",Master[[#This Row],[Longitude -decimal degrees]])</f>
        <v>-109.62833000000001</v>
      </c>
      <c r="M81" s="89" t="str">
        <f>IF(Master[[#This Row],[Cooperator (Donor) 1 -full record]]="","",Master[[#This Row],[Cooperator (Donor) 1 -full record]])</f>
        <v>Bureau of Land Management, SOS project</v>
      </c>
    </row>
    <row r="82" spans="1:13" ht="255" x14ac:dyDescent="0.25">
      <c r="A82" s="89">
        <f t="shared" si="2"/>
        <v>80</v>
      </c>
      <c r="B82" s="89" t="str">
        <f>Master[[#This Row],[Accession Prefix (NPGS)]]&amp;" "&amp;Master[[#This Row],[Accession Number -Assigned]]</f>
        <v>W6 59668</v>
      </c>
      <c r="C82" s="89" t="str">
        <f>Master[[#This Row],[Inventory Prefix]]&amp;" "&amp;Master[[#This Row],[Inventory Number]]&amp;" "&amp;Master[[#This Row],[Inventory Suffix]]&amp;" "&amp;Master[[#This Row],[Inventory Type - Lookup Picker]]</f>
        <v>W6   SD</v>
      </c>
      <c r="D82" s="89" t="str">
        <f>IF(Master[[#This Row],[Accession Name (Identifier 1)]]="","",Master[[#This Row],[Accession Name (Identifier 1)]])</f>
        <v/>
      </c>
      <c r="E82" s="87">
        <f>IF(Master[[#This Row],[Date Collected or Developed]]="","",Master[[#This Row],[Date Collected or Developed]])</f>
        <v>44019</v>
      </c>
      <c r="F82" s="87">
        <f>IF(Master[[#This Row],[Received Date -received by site]]="","",Master[[#This Row],[Received Date -received by site]])</f>
        <v>44466</v>
      </c>
      <c r="G82" s="89" t="str">
        <f>IF(Master[[#This Row],[Taxon -Lookup Picker in GRIN]]="","",Master[[#This Row],[Taxon -Lookup Picker in GRIN]])</f>
        <v>Aristida purpurea</v>
      </c>
      <c r="H82" s="89" t="str">
        <f>IF(Master[[#This Row],[Inventory Maintenance Policy]]="","",Master[[#This Row],[Inventory Maintenance Policy]])</f>
        <v>w6_native</v>
      </c>
      <c r="I82" s="89" t="str">
        <f>IF(Master[[#This Row],[Geography (Collection) -Lookup Picker in GRIN]]="",#REF!,Master[[#This Row],[Geography (Collection) -Lookup Picker in GRIN]])</f>
        <v>United States, Utah, Unitah</v>
      </c>
      <c r="J82" s="89" t="str">
        <f>IF(Master[[#This Row],[Collector Verbatim Locality]]="","",Master[[#This Row],[Collector Verbatim Locality]])</f>
        <v>Green River/ highway 45/ From Naples, turn south onto hwy 45. Cont. for 7.5 mi. past the Green River. Plants growing on sandy riparian hills just W of river crossing.</v>
      </c>
      <c r="K82" s="91">
        <f>IF(Master[[#This Row],[Latitude -decimal degrees]]="","",Master[[#This Row],[Latitude -decimal degrees]])</f>
        <v>40.31138</v>
      </c>
      <c r="L82" s="91">
        <f>IF(Master[[#This Row],[Longitude -decimal degrees]]="","",Master[[#This Row],[Longitude -decimal degrees]])</f>
        <v>-109.4825</v>
      </c>
      <c r="M82" s="89" t="str">
        <f>IF(Master[[#This Row],[Cooperator (Donor) 1 -full record]]="","",Master[[#This Row],[Cooperator (Donor) 1 -full record]])</f>
        <v>Bureau of Land Management, SOS project</v>
      </c>
    </row>
    <row r="83" spans="1:13" ht="345" x14ac:dyDescent="0.25">
      <c r="A83" s="89">
        <f t="shared" si="2"/>
        <v>81</v>
      </c>
      <c r="B83" s="89" t="str">
        <f>Master[[#This Row],[Accession Prefix (NPGS)]]&amp;" "&amp;Master[[#This Row],[Accession Number -Assigned]]</f>
        <v>W6 59669</v>
      </c>
      <c r="C83" s="89" t="str">
        <f>Master[[#This Row],[Inventory Prefix]]&amp;" "&amp;Master[[#This Row],[Inventory Number]]&amp;" "&amp;Master[[#This Row],[Inventory Suffix]]&amp;" "&amp;Master[[#This Row],[Inventory Type - Lookup Picker]]</f>
        <v>W6   SD</v>
      </c>
      <c r="D83" s="89" t="str">
        <f>IF(Master[[#This Row],[Accession Name (Identifier 1)]]="","",Master[[#This Row],[Accession Name (Identifier 1)]])</f>
        <v/>
      </c>
      <c r="E83" s="87">
        <f>IF(Master[[#This Row],[Date Collected or Developed]]="","",Master[[#This Row],[Date Collected or Developed]])</f>
        <v>44053</v>
      </c>
      <c r="F83" s="87">
        <f>IF(Master[[#This Row],[Received Date -received by site]]="","",Master[[#This Row],[Received Date -received by site]])</f>
        <v>44466</v>
      </c>
      <c r="G83" s="89" t="str">
        <f>IF(Master[[#This Row],[Taxon -Lookup Picker in GRIN]]="","",Master[[#This Row],[Taxon -Lookup Picker in GRIN]])</f>
        <v>Asclepias labriformis</v>
      </c>
      <c r="H83" s="89" t="str">
        <f>IF(Master[[#This Row],[Inventory Maintenance Policy]]="","",Master[[#This Row],[Inventory Maintenance Policy]])</f>
        <v>w6_native</v>
      </c>
      <c r="I83" s="89" t="str">
        <f>IF(Master[[#This Row],[Geography (Collection) -Lookup Picker in GRIN]]="",#REF!,Master[[#This Row],[Geography (Collection) -Lookup Picker in GRIN]])</f>
        <v>United States, Utah, Unitah</v>
      </c>
      <c r="J83" s="89" t="str">
        <f>IF(Master[[#This Row],[Collector Verbatim Locality]]="","",Master[[#This Row],[Collector Verbatim Locality]])</f>
        <v>Pelican Lake/ Oil pad road/ From Vernal, take hwy 40 W for 14 mi., then turn south onto rte 88 for 10 mi. Follow 7000 S west for 3 mi. turn south onto Pelican Lake / 2460 Rd. and follow it to the Pelican Lake Campground. Plants are scattered.</v>
      </c>
      <c r="K83" s="91">
        <f>IF(Master[[#This Row],[Latitude -decimal degrees]]="","",Master[[#This Row],[Latitude -decimal degrees]])</f>
        <v>40.177500000000002</v>
      </c>
      <c r="L83" s="91">
        <f>IF(Master[[#This Row],[Longitude -decimal degrees]]="","",Master[[#This Row],[Longitude -decimal degrees]])</f>
        <v>-109.69333</v>
      </c>
      <c r="M83" s="89" t="str">
        <f>IF(Master[[#This Row],[Cooperator (Donor) 1 -full record]]="","",Master[[#This Row],[Cooperator (Donor) 1 -full record]])</f>
        <v>Bureau of Land Management, SOS project</v>
      </c>
    </row>
    <row r="84" spans="1:13" ht="180" x14ac:dyDescent="0.25">
      <c r="A84" s="89">
        <f t="shared" si="2"/>
        <v>82</v>
      </c>
      <c r="B84" s="89" t="str">
        <f>Master[[#This Row],[Accession Prefix (NPGS)]]&amp;" "&amp;Master[[#This Row],[Accession Number -Assigned]]</f>
        <v>W6 59670</v>
      </c>
      <c r="C84" s="89" t="str">
        <f>Master[[#This Row],[Inventory Prefix]]&amp;" "&amp;Master[[#This Row],[Inventory Number]]&amp;" "&amp;Master[[#This Row],[Inventory Suffix]]&amp;" "&amp;Master[[#This Row],[Inventory Type - Lookup Picker]]</f>
        <v>W6   SD</v>
      </c>
      <c r="D84" s="89" t="str">
        <f>IF(Master[[#This Row],[Accession Name (Identifier 1)]]="","",Master[[#This Row],[Accession Name (Identifier 1)]])</f>
        <v/>
      </c>
      <c r="E84" s="87">
        <f>IF(Master[[#This Row],[Date Collected or Developed]]="","",Master[[#This Row],[Date Collected or Developed]])</f>
        <v>44054</v>
      </c>
      <c r="F84" s="87">
        <f>IF(Master[[#This Row],[Received Date -received by site]]="","",Master[[#This Row],[Received Date -received by site]])</f>
        <v>44466</v>
      </c>
      <c r="G84" s="89" t="str">
        <f>IF(Master[[#This Row],[Taxon -Lookup Picker in GRIN]]="","",Master[[#This Row],[Taxon -Lookup Picker in GRIN]])</f>
        <v>Achillea millefolium</v>
      </c>
      <c r="H84" s="89" t="str">
        <f>IF(Master[[#This Row],[Inventory Maintenance Policy]]="","",Master[[#This Row],[Inventory Maintenance Policy]])</f>
        <v>w6_native</v>
      </c>
      <c r="I84" s="89" t="str">
        <f>IF(Master[[#This Row],[Geography (Collection) -Lookup Picker in GRIN]]="",#REF!,Master[[#This Row],[Geography (Collection) -Lookup Picker in GRIN]])</f>
        <v>United States, Utah, Unitah</v>
      </c>
      <c r="J84" s="89" t="str">
        <f>IF(Master[[#This Row],[Collector Verbatim Locality]]="","",Master[[#This Row],[Collector Verbatim Locality]])</f>
        <v>Ashley National Forest/ Highway 191/ From Vernal, take Hwy 191 N for 17 miles. 1 mi. N of FR 018 to the W is a wet meadow</v>
      </c>
      <c r="K84" s="91">
        <f>IF(Master[[#This Row],[Latitude -decimal degrees]]="","",Master[[#This Row],[Latitude -decimal degrees]])</f>
        <v>40.684899999999999</v>
      </c>
      <c r="L84" s="91">
        <f>IF(Master[[#This Row],[Longitude -decimal degrees]]="","",Master[[#This Row],[Longitude -decimal degrees]])</f>
        <v>-109.49478000000001</v>
      </c>
      <c r="M84" s="89" t="str">
        <f>IF(Master[[#This Row],[Cooperator (Donor) 1 -full record]]="","",Master[[#This Row],[Cooperator (Donor) 1 -full record]])</f>
        <v>Bureau of Land Management, SOS project</v>
      </c>
    </row>
    <row r="85" spans="1:13" ht="360" x14ac:dyDescent="0.25">
      <c r="A85" s="89">
        <f t="shared" si="2"/>
        <v>83</v>
      </c>
      <c r="B85" s="89" t="str">
        <f>Master[[#This Row],[Accession Prefix (NPGS)]]&amp;" "&amp;Master[[#This Row],[Accession Number -Assigned]]</f>
        <v>W6 59671</v>
      </c>
      <c r="C85" s="89" t="str">
        <f>Master[[#This Row],[Inventory Prefix]]&amp;" "&amp;Master[[#This Row],[Inventory Number]]&amp;" "&amp;Master[[#This Row],[Inventory Suffix]]&amp;" "&amp;Master[[#This Row],[Inventory Type - Lookup Picker]]</f>
        <v>W6   SD</v>
      </c>
      <c r="D85" s="89" t="str">
        <f>IF(Master[[#This Row],[Accession Name (Identifier 1)]]="","",Master[[#This Row],[Accession Name (Identifier 1)]])</f>
        <v/>
      </c>
      <c r="E85" s="87">
        <f>IF(Master[[#This Row],[Date Collected or Developed]]="","",Master[[#This Row],[Date Collected or Developed]])</f>
        <v>44060</v>
      </c>
      <c r="F85" s="87">
        <f>IF(Master[[#This Row],[Received Date -received by site]]="","",Master[[#This Row],[Received Date -received by site]])</f>
        <v>44466</v>
      </c>
      <c r="G85" s="89" t="str">
        <f>IF(Master[[#This Row],[Taxon -Lookup Picker in GRIN]]="","",Master[[#This Row],[Taxon -Lookup Picker in GRIN]])</f>
        <v>Achillea millefolium</v>
      </c>
      <c r="H85" s="89" t="str">
        <f>IF(Master[[#This Row],[Inventory Maintenance Policy]]="","",Master[[#This Row],[Inventory Maintenance Policy]])</f>
        <v>w6_native</v>
      </c>
      <c r="I85" s="89" t="str">
        <f>IF(Master[[#This Row],[Geography (Collection) -Lookup Picker in GRIN]]="",#REF!,Master[[#This Row],[Geography (Collection) -Lookup Picker in GRIN]])</f>
        <v>United States, Utah, Unitah</v>
      </c>
      <c r="J85" s="89" t="str">
        <f>IF(Master[[#This Row],[Collector Verbatim Locality]]="","",Master[[#This Row],[Collector Verbatim Locality]])</f>
        <v>Reader Creek/ Forest Road 48/ From Vernal, take Hwy 191 N for 21 miles. Turn E onto FR 048 / Limestone Rd towards Diamond Mtn. Follow for 1 mile; plants are beyond Aspen forest, N of rd. along a draw in a wet meadow with black sagebrush.</v>
      </c>
      <c r="K85" s="91">
        <f>IF(Master[[#This Row],[Latitude -decimal degrees]]="","",Master[[#This Row],[Latitude -decimal degrees]])</f>
        <v>40.718519999999998</v>
      </c>
      <c r="L85" s="91">
        <f>IF(Master[[#This Row],[Longitude -decimal degrees]]="","",Master[[#This Row],[Longitude -decimal degrees]])</f>
        <v>-109.45286</v>
      </c>
      <c r="M85" s="89" t="str">
        <f>IF(Master[[#This Row],[Cooperator (Donor) 1 -full record]]="","",Master[[#This Row],[Cooperator (Donor) 1 -full record]])</f>
        <v>Bureau of Land Management, SOS project</v>
      </c>
    </row>
    <row r="86" spans="1:13" ht="300" x14ac:dyDescent="0.25">
      <c r="A86" s="89">
        <f t="shared" si="2"/>
        <v>84</v>
      </c>
      <c r="B86" s="89" t="str">
        <f>Master[[#This Row],[Accession Prefix (NPGS)]]&amp;" "&amp;Master[[#This Row],[Accession Number -Assigned]]</f>
        <v>W6 59672</v>
      </c>
      <c r="C86" s="89" t="str">
        <f>Master[[#This Row],[Inventory Prefix]]&amp;" "&amp;Master[[#This Row],[Inventory Number]]&amp;" "&amp;Master[[#This Row],[Inventory Suffix]]&amp;" "&amp;Master[[#This Row],[Inventory Type - Lookup Picker]]</f>
        <v>W6   SD</v>
      </c>
      <c r="D86" s="89" t="str">
        <f>IF(Master[[#This Row],[Accession Name (Identifier 1)]]="","",Master[[#This Row],[Accession Name (Identifier 1)]])</f>
        <v/>
      </c>
      <c r="E86" s="87">
        <f>IF(Master[[#This Row],[Date Collected or Developed]]="","",Master[[#This Row],[Date Collected or Developed]])</f>
        <v>44028</v>
      </c>
      <c r="F86" s="87">
        <f>IF(Master[[#This Row],[Received Date -received by site]]="","",Master[[#This Row],[Received Date -received by site]])</f>
        <v>44466</v>
      </c>
      <c r="G86" s="89" t="str">
        <f>IF(Master[[#This Row],[Taxon -Lookup Picker in GRIN]]="","",Master[[#This Row],[Taxon -Lookup Picker in GRIN]])</f>
        <v>Aristida purpurea</v>
      </c>
      <c r="H86" s="89" t="str">
        <f>IF(Master[[#This Row],[Inventory Maintenance Policy]]="","",Master[[#This Row],[Inventory Maintenance Policy]])</f>
        <v>w6_native</v>
      </c>
      <c r="I86" s="89" t="str">
        <f>IF(Master[[#This Row],[Geography (Collection) -Lookup Picker in GRIN]]="",#REF!,Master[[#This Row],[Geography (Collection) -Lookup Picker in GRIN]])</f>
        <v>United States, Utah, Unitah</v>
      </c>
      <c r="J86" s="89" t="str">
        <f>IF(Master[[#This Row],[Collector Verbatim Locality]]="","",Master[[#This Row],[Collector Verbatim Locality]])</f>
        <v>Uinta Basin/ Baeser Washington Rd./ From Vernal, take hwy 45 S for 13 mi., turn W onto Beaser Washington Rd., cont. for 4 mi., cont. onto Stirrup Rd. for 4 mi. Along sandy plateau top near oil well rd 4304731787.</v>
      </c>
      <c r="K86" s="91">
        <f>IF(Master[[#This Row],[Latitude -decimal degrees]]="","",Master[[#This Row],[Latitude -decimal degrees]])</f>
        <v>40.248199999999997</v>
      </c>
      <c r="L86" s="91">
        <f>IF(Master[[#This Row],[Longitude -decimal degrees]]="","",Master[[#This Row],[Longitude -decimal degrees]])</f>
        <v>-109.54794</v>
      </c>
      <c r="M86" s="89" t="str">
        <f>IF(Master[[#This Row],[Cooperator (Donor) 1 -full record]]="","",Master[[#This Row],[Cooperator (Donor) 1 -full record]])</f>
        <v>Bureau of Land Management, SOS project</v>
      </c>
    </row>
    <row r="87" spans="1:13" ht="375" x14ac:dyDescent="0.25">
      <c r="A87" s="89">
        <f t="shared" si="2"/>
        <v>85</v>
      </c>
      <c r="B87" s="89" t="str">
        <f>Master[[#This Row],[Accession Prefix (NPGS)]]&amp;" "&amp;Master[[#This Row],[Accession Number -Assigned]]</f>
        <v>W6 59673</v>
      </c>
      <c r="C87" s="89" t="str">
        <f>Master[[#This Row],[Inventory Prefix]]&amp;" "&amp;Master[[#This Row],[Inventory Number]]&amp;" "&amp;Master[[#This Row],[Inventory Suffix]]&amp;" "&amp;Master[[#This Row],[Inventory Type - Lookup Picker]]</f>
        <v>W6   SD</v>
      </c>
      <c r="D87" s="89" t="str">
        <f>IF(Master[[#This Row],[Accession Name (Identifier 1)]]="","",Master[[#This Row],[Accession Name (Identifier 1)]])</f>
        <v/>
      </c>
      <c r="E87" s="87">
        <f>IF(Master[[#This Row],[Date Collected or Developed]]="","",Master[[#This Row],[Date Collected or Developed]])</f>
        <v>44028</v>
      </c>
      <c r="F87" s="87">
        <f>IF(Master[[#This Row],[Received Date -received by site]]="","",Master[[#This Row],[Received Date -received by site]])</f>
        <v>44466</v>
      </c>
      <c r="G87" s="89" t="str">
        <f>IF(Master[[#This Row],[Taxon -Lookup Picker in GRIN]]="","",Master[[#This Row],[Taxon -Lookup Picker in GRIN]])</f>
        <v>Sphaeralcea coccinea subsp. coccinea</v>
      </c>
      <c r="H87" s="89" t="str">
        <f>IF(Master[[#This Row],[Inventory Maintenance Policy]]="","",Master[[#This Row],[Inventory Maintenance Policy]])</f>
        <v>w6_native</v>
      </c>
      <c r="I87" s="89" t="str">
        <f>IF(Master[[#This Row],[Geography (Collection) -Lookup Picker in GRIN]]="",#REF!,Master[[#This Row],[Geography (Collection) -Lookup Picker in GRIN]])</f>
        <v>United States, Utah, Unitah</v>
      </c>
      <c r="J87" s="89" t="str">
        <f>IF(Master[[#This Row],[Collector Verbatim Locality]]="","",Master[[#This Row],[Collector Verbatim Locality]])</f>
        <v>Old Bonanza highway/ Roadside wash/ From Jensen, take hwy 40 E to Old Bonanza Hwy / 3150 Rd. for 11 mi. Travel S for 6.5 mi. Before Deadman Bench Divide is a wash to the E, from Pinyon-Juniper Hills. Populations occur along the newly burned wash.</v>
      </c>
      <c r="K87" s="91">
        <f>IF(Master[[#This Row],[Latitude -decimal degrees]]="","",Master[[#This Row],[Latitude -decimal degrees]])</f>
        <v>40.206659999999999</v>
      </c>
      <c r="L87" s="91">
        <f>IF(Master[[#This Row],[Longitude -decimal degrees]]="","",Master[[#This Row],[Longitude -decimal degrees]])</f>
        <v>-109.12582999999999</v>
      </c>
      <c r="M87" s="89" t="str">
        <f>IF(Master[[#This Row],[Cooperator (Donor) 1 -full record]]="","",Master[[#This Row],[Cooperator (Donor) 1 -full record]])</f>
        <v>Bureau of Land Management, SOS project</v>
      </c>
    </row>
    <row r="88" spans="1:13" ht="405" x14ac:dyDescent="0.25">
      <c r="A88" s="89">
        <f t="shared" si="2"/>
        <v>86</v>
      </c>
      <c r="B88" s="89" t="str">
        <f>Master[[#This Row],[Accession Prefix (NPGS)]]&amp;" "&amp;Master[[#This Row],[Accession Number -Assigned]]</f>
        <v>W6 59674</v>
      </c>
      <c r="C88" s="89" t="str">
        <f>Master[[#This Row],[Inventory Prefix]]&amp;" "&amp;Master[[#This Row],[Inventory Number]]&amp;" "&amp;Master[[#This Row],[Inventory Suffix]]&amp;" "&amp;Master[[#This Row],[Inventory Type - Lookup Picker]]</f>
        <v>W6   SD</v>
      </c>
      <c r="D88" s="89" t="str">
        <f>IF(Master[[#This Row],[Accession Name (Identifier 1)]]="","",Master[[#This Row],[Accession Name (Identifier 1)]])</f>
        <v/>
      </c>
      <c r="E88" s="87">
        <f>IF(Master[[#This Row],[Date Collected or Developed]]="","",Master[[#This Row],[Date Collected or Developed]])</f>
        <v>44028</v>
      </c>
      <c r="F88" s="87">
        <f>IF(Master[[#This Row],[Received Date -received by site]]="","",Master[[#This Row],[Received Date -received by site]])</f>
        <v>44466</v>
      </c>
      <c r="G88" s="89" t="str">
        <f>IF(Master[[#This Row],[Taxon -Lookup Picker in GRIN]]="","",Master[[#This Row],[Taxon -Lookup Picker in GRIN]])</f>
        <v>Cleome lutea</v>
      </c>
      <c r="H88" s="89" t="str">
        <f>IF(Master[[#This Row],[Inventory Maintenance Policy]]="","",Master[[#This Row],[Inventory Maintenance Policy]])</f>
        <v>w6_native</v>
      </c>
      <c r="I88" s="89" t="str">
        <f>IF(Master[[#This Row],[Geography (Collection) -Lookup Picker in GRIN]]="",#REF!,Master[[#This Row],[Geography (Collection) -Lookup Picker in GRIN]])</f>
        <v>United States, Utah, Unitah</v>
      </c>
      <c r="J88" s="89" t="str">
        <f>IF(Master[[#This Row],[Collector Verbatim Locality]]="","",Master[[#This Row],[Collector Verbatim Locality]])</f>
        <v>Old bonanza highway/ Deadman Bench Divide/ From Jensen, take hwy 40 E to Old Bonanza Hwy / 3150 Rd. for 11 mi. Travel S for 6.5 mi. Before Deadman Bench Divide is a wash to the E, from Pinyon-Juniper Hills. Populations occur along the newly burned wash.</v>
      </c>
      <c r="K88" s="91">
        <f>IF(Master[[#This Row],[Latitude -decimal degrees]]="","",Master[[#This Row],[Latitude -decimal degrees]])</f>
        <v>40.206659999999999</v>
      </c>
      <c r="L88" s="91">
        <f>IF(Master[[#This Row],[Longitude -decimal degrees]]="","",Master[[#This Row],[Longitude -decimal degrees]])</f>
        <v>-109.12582999999999</v>
      </c>
      <c r="M88" s="89" t="str">
        <f>IF(Master[[#This Row],[Cooperator (Donor) 1 -full record]]="","",Master[[#This Row],[Cooperator (Donor) 1 -full record]])</f>
        <v>Bureau of Land Management, SOS project</v>
      </c>
    </row>
    <row r="89" spans="1:13" ht="405" x14ac:dyDescent="0.25">
      <c r="A89" s="89">
        <f t="shared" si="2"/>
        <v>87</v>
      </c>
      <c r="B89" s="89" t="str">
        <f>Master[[#This Row],[Accession Prefix (NPGS)]]&amp;" "&amp;Master[[#This Row],[Accession Number -Assigned]]</f>
        <v>W6 59675</v>
      </c>
      <c r="C89" s="89" t="str">
        <f>Master[[#This Row],[Inventory Prefix]]&amp;" "&amp;Master[[#This Row],[Inventory Number]]&amp;" "&amp;Master[[#This Row],[Inventory Suffix]]&amp;" "&amp;Master[[#This Row],[Inventory Type - Lookup Picker]]</f>
        <v>W6   SD</v>
      </c>
      <c r="D89" s="89" t="str">
        <f>IF(Master[[#This Row],[Accession Name (Identifier 1)]]="","",Master[[#This Row],[Accession Name (Identifier 1)]])</f>
        <v/>
      </c>
      <c r="E89" s="87">
        <f>IF(Master[[#This Row],[Date Collected or Developed]]="","",Master[[#This Row],[Date Collected or Developed]])</f>
        <v>44069</v>
      </c>
      <c r="F89" s="87">
        <f>IF(Master[[#This Row],[Received Date -received by site]]="","",Master[[#This Row],[Received Date -received by site]])</f>
        <v>44466</v>
      </c>
      <c r="G89" s="89" t="str">
        <f>IF(Master[[#This Row],[Taxon -Lookup Picker in GRIN]]="","",Master[[#This Row],[Taxon -Lookup Picker in GRIN]])</f>
        <v>Cleome serrulata</v>
      </c>
      <c r="H89" s="89" t="str">
        <f>IF(Master[[#This Row],[Inventory Maintenance Policy]]="","",Master[[#This Row],[Inventory Maintenance Policy]])</f>
        <v>w6_native</v>
      </c>
      <c r="I89" s="89" t="str">
        <f>IF(Master[[#This Row],[Geography (Collection) -Lookup Picker in GRIN]]="",#REF!,Master[[#This Row],[Geography (Collection) -Lookup Picker in GRIN]])</f>
        <v>United States, Utah, Unitah</v>
      </c>
      <c r="J89" s="89" t="str">
        <f>IF(Master[[#This Row],[Collector Verbatim Locality]]="","",Master[[#This Row],[Collector Verbatim Locality]])</f>
        <v>Old Bonanza Highway/ Deadman Bench Divide/ From Jensen, take hwy 40 E to Old Bonanza Hwy / 3150 Rd. for 11 mi. Travel S for 6.5 mi. Before Deadman Bench Divide is a wash to the E, from Pinyon-Juniper Hills. Populations occur along the newly burned wash.</v>
      </c>
      <c r="K89" s="91">
        <f>IF(Master[[#This Row],[Latitude -decimal degrees]]="","",Master[[#This Row],[Latitude -decimal degrees]])</f>
        <v>40.206659999999999</v>
      </c>
      <c r="L89" s="91">
        <f>IF(Master[[#This Row],[Longitude -decimal degrees]]="","",Master[[#This Row],[Longitude -decimal degrees]])</f>
        <v>-109.12582999999999</v>
      </c>
      <c r="M89" s="89" t="str">
        <f>IF(Master[[#This Row],[Cooperator (Donor) 1 -full record]]="","",Master[[#This Row],[Cooperator (Donor) 1 -full record]])</f>
        <v>Bureau of Land Management, SOS project</v>
      </c>
    </row>
    <row r="90" spans="1:13" ht="195" x14ac:dyDescent="0.25">
      <c r="A90" s="89">
        <f t="shared" si="2"/>
        <v>88</v>
      </c>
      <c r="B90" s="89" t="str">
        <f>Master[[#This Row],[Accession Prefix (NPGS)]]&amp;" "&amp;Master[[#This Row],[Accession Number -Assigned]]</f>
        <v>W6 59676</v>
      </c>
      <c r="C90" s="89" t="str">
        <f>Master[[#This Row],[Inventory Prefix]]&amp;" "&amp;Master[[#This Row],[Inventory Number]]&amp;" "&amp;Master[[#This Row],[Inventory Suffix]]&amp;" "&amp;Master[[#This Row],[Inventory Type - Lookup Picker]]</f>
        <v>W6   SD</v>
      </c>
      <c r="D90" s="89" t="str">
        <f>IF(Master[[#This Row],[Accession Name (Identifier 1)]]="","",Master[[#This Row],[Accession Name (Identifier 1)]])</f>
        <v/>
      </c>
      <c r="E90" s="87">
        <f>IF(Master[[#This Row],[Date Collected or Developed]]="","",Master[[#This Row],[Date Collected or Developed]])</f>
        <v>44063</v>
      </c>
      <c r="F90" s="87">
        <f>IF(Master[[#This Row],[Received Date -received by site]]="","",Master[[#This Row],[Received Date -received by site]])</f>
        <v>44466</v>
      </c>
      <c r="G90" s="89" t="str">
        <f>IF(Master[[#This Row],[Taxon -Lookup Picker in GRIN]]="","",Master[[#This Row],[Taxon -Lookup Picker in GRIN]])</f>
        <v>Helianthus annuus</v>
      </c>
      <c r="H90" s="89" t="str">
        <f>IF(Master[[#This Row],[Inventory Maintenance Policy]]="","",Master[[#This Row],[Inventory Maintenance Policy]])</f>
        <v>w6_native</v>
      </c>
      <c r="I90" s="89" t="str">
        <f>IF(Master[[#This Row],[Geography (Collection) -Lookup Picker in GRIN]]="",#REF!,Master[[#This Row],[Geography (Collection) -Lookup Picker in GRIN]])</f>
        <v>United States, Utah, Unitah</v>
      </c>
      <c r="J90" s="89" t="str">
        <f>IF(Master[[#This Row],[Collector Verbatim Locality]]="","",Master[[#This Row],[Collector Verbatim Locality]])</f>
        <v>Red Wash/ Red Wash Road/ From Jensen at the Green River, travel 10 miles east on Hwy 40. Population is scatttered along either roadside.</v>
      </c>
      <c r="K90" s="91">
        <f>IF(Master[[#This Row],[Latitude -decimal degrees]]="","",Master[[#This Row],[Latitude -decimal degrees]])</f>
        <v>40.299160000000001</v>
      </c>
      <c r="L90" s="91">
        <f>IF(Master[[#This Row],[Longitude -decimal degrees]]="","",Master[[#This Row],[Longitude -decimal degrees]])</f>
        <v>-109.40443999999999</v>
      </c>
      <c r="M90" s="89" t="str">
        <f>IF(Master[[#This Row],[Cooperator (Donor) 1 -full record]]="","",Master[[#This Row],[Cooperator (Donor) 1 -full record]])</f>
        <v>Bureau of Land Management, SOS project</v>
      </c>
    </row>
    <row r="91" spans="1:13" ht="225" x14ac:dyDescent="0.25">
      <c r="A91" s="89">
        <f t="shared" si="2"/>
        <v>89</v>
      </c>
      <c r="B91" s="89" t="str">
        <f>Master[[#This Row],[Accession Prefix (NPGS)]]&amp;" "&amp;Master[[#This Row],[Accession Number -Assigned]]</f>
        <v>W6 59677</v>
      </c>
      <c r="C91" s="89" t="str">
        <f>Master[[#This Row],[Inventory Prefix]]&amp;" "&amp;Master[[#This Row],[Inventory Number]]&amp;" "&amp;Master[[#This Row],[Inventory Suffix]]&amp;" "&amp;Master[[#This Row],[Inventory Type - Lookup Picker]]</f>
        <v>W6   SD</v>
      </c>
      <c r="D91" s="89" t="str">
        <f>IF(Master[[#This Row],[Accession Name (Identifier 1)]]="","",Master[[#This Row],[Accession Name (Identifier 1)]])</f>
        <v/>
      </c>
      <c r="E91" s="87">
        <f>IF(Master[[#This Row],[Date Collected or Developed]]="","",Master[[#This Row],[Date Collected or Developed]])</f>
        <v>44063</v>
      </c>
      <c r="F91" s="87">
        <f>IF(Master[[#This Row],[Received Date -received by site]]="","",Master[[#This Row],[Received Date -received by site]])</f>
        <v>44466</v>
      </c>
      <c r="G91" s="89" t="str">
        <f>IF(Master[[#This Row],[Taxon -Lookup Picker in GRIN]]="","",Master[[#This Row],[Taxon -Lookup Picker in GRIN]])</f>
        <v>Helianthus annuus</v>
      </c>
      <c r="H91" s="89" t="str">
        <f>IF(Master[[#This Row],[Inventory Maintenance Policy]]="","",Master[[#This Row],[Inventory Maintenance Policy]])</f>
        <v>w6_native</v>
      </c>
      <c r="I91" s="89" t="str">
        <f>IF(Master[[#This Row],[Geography (Collection) -Lookup Picker in GRIN]]="",#REF!,Master[[#This Row],[Geography (Collection) -Lookup Picker in GRIN]])</f>
        <v>United States, Utah, Unitah</v>
      </c>
      <c r="J91" s="89" t="str">
        <f>IF(Master[[#This Row],[Collector Verbatim Locality]]="","",Master[[#This Row],[Collector Verbatim Locality]])</f>
        <v>Red Wash/ Red Wash Rd/ From Jensen, take Hwy 40 east, turn south onto Red Wash Road and continue for 7 miles. Plants are along the E side of the road.</v>
      </c>
      <c r="K91" s="91">
        <f>IF(Master[[#This Row],[Latitude -decimal degrees]]="","",Master[[#This Row],[Latitude -decimal degrees]])</f>
        <v>40.299160000000001</v>
      </c>
      <c r="L91" s="91">
        <f>IF(Master[[#This Row],[Longitude -decimal degrees]]="","",Master[[#This Row],[Longitude -decimal degrees]])</f>
        <v>-109.40443999999999</v>
      </c>
      <c r="M91" s="89" t="str">
        <f>IF(Master[[#This Row],[Cooperator (Donor) 1 -full record]]="","",Master[[#This Row],[Cooperator (Donor) 1 -full record]])</f>
        <v>Bureau of Land Management, SOS project</v>
      </c>
    </row>
    <row r="92" spans="1:13" ht="390" x14ac:dyDescent="0.25">
      <c r="A92" s="89">
        <f t="shared" si="2"/>
        <v>90</v>
      </c>
      <c r="B92" s="89" t="str">
        <f>Master[[#This Row],[Accession Prefix (NPGS)]]&amp;" "&amp;Master[[#This Row],[Accession Number -Assigned]]</f>
        <v>W6 59678</v>
      </c>
      <c r="C92" s="89" t="str">
        <f>Master[[#This Row],[Inventory Prefix]]&amp;" "&amp;Master[[#This Row],[Inventory Number]]&amp;" "&amp;Master[[#This Row],[Inventory Suffix]]&amp;" "&amp;Master[[#This Row],[Inventory Type - Lookup Picker]]</f>
        <v>W6   SD</v>
      </c>
      <c r="D92" s="89" t="str">
        <f>IF(Master[[#This Row],[Accession Name (Identifier 1)]]="","",Master[[#This Row],[Accession Name (Identifier 1)]])</f>
        <v/>
      </c>
      <c r="E92" s="87">
        <f>IF(Master[[#This Row],[Date Collected or Developed]]="","",Master[[#This Row],[Date Collected or Developed]])</f>
        <v>44105</v>
      </c>
      <c r="F92" s="87">
        <f>IF(Master[[#This Row],[Received Date -received by site]]="","",Master[[#This Row],[Received Date -received by site]])</f>
        <v>44466</v>
      </c>
      <c r="G92" s="89" t="str">
        <f>IF(Master[[#This Row],[Taxon -Lookup Picker in GRIN]]="","",Master[[#This Row],[Taxon -Lookup Picker in GRIN]])</f>
        <v>Atriplex canescens</v>
      </c>
      <c r="H92" s="89" t="str">
        <f>IF(Master[[#This Row],[Inventory Maintenance Policy]]="","",Master[[#This Row],[Inventory Maintenance Policy]])</f>
        <v>w6_native</v>
      </c>
      <c r="I92" s="89" t="str">
        <f>IF(Master[[#This Row],[Geography (Collection) -Lookup Picker in GRIN]]="",#REF!,Master[[#This Row],[Geography (Collection) -Lookup Picker in GRIN]])</f>
        <v>United States, Utah, Unitah</v>
      </c>
      <c r="J92" s="89" t="str">
        <f>IF(Master[[#This Row],[Collector Verbatim Locality]]="","",Master[[#This Row],[Collector Verbatim Locality]])</f>
        <v>Pelican Lake/ Pelican Lake Campground entrance/ From Vernal, 12.4 miles W on Highway 40/191, 7 miles S on Highway 88, right onto 5500 S for 2.2 miles, left onto 14500E for 1.5 miles continuing onto Pelican Lake road towards the campground. Plants on either side of road</v>
      </c>
      <c r="K92" s="91">
        <f>IF(Master[[#This Row],[Latitude -decimal degrees]]="","",Master[[#This Row],[Latitude -decimal degrees]])</f>
        <v>40.182969999999997</v>
      </c>
      <c r="L92" s="91">
        <f>IF(Master[[#This Row],[Longitude -decimal degrees]]="","",Master[[#This Row],[Longitude -decimal degrees]])</f>
        <v>-109.70644</v>
      </c>
      <c r="M92" s="89" t="str">
        <f>IF(Master[[#This Row],[Cooperator (Donor) 1 -full record]]="","",Master[[#This Row],[Cooperator (Donor) 1 -full record]])</f>
        <v>Bureau of Land Management, SOS project</v>
      </c>
    </row>
    <row r="93" spans="1:13" ht="165" x14ac:dyDescent="0.25">
      <c r="A93" s="89">
        <f t="shared" si="2"/>
        <v>91</v>
      </c>
      <c r="B93" s="89" t="str">
        <f>Master[[#This Row],[Accession Prefix (NPGS)]]&amp;" "&amp;Master[[#This Row],[Accession Number -Assigned]]</f>
        <v>W6 59679</v>
      </c>
      <c r="C93" s="89" t="str">
        <f>Master[[#This Row],[Inventory Prefix]]&amp;" "&amp;Master[[#This Row],[Inventory Number]]&amp;" "&amp;Master[[#This Row],[Inventory Suffix]]&amp;" "&amp;Master[[#This Row],[Inventory Type - Lookup Picker]]</f>
        <v>W6   SD</v>
      </c>
      <c r="D93" s="89" t="str">
        <f>IF(Master[[#This Row],[Accession Name (Identifier 1)]]="","",Master[[#This Row],[Accession Name (Identifier 1)]])</f>
        <v/>
      </c>
      <c r="E93" s="87">
        <f>IF(Master[[#This Row],[Date Collected or Developed]]="","",Master[[#This Row],[Date Collected or Developed]])</f>
        <v>44104</v>
      </c>
      <c r="F93" s="87">
        <f>IF(Master[[#This Row],[Received Date -received by site]]="","",Master[[#This Row],[Received Date -received by site]])</f>
        <v>44466</v>
      </c>
      <c r="G93" s="89" t="str">
        <f>IF(Master[[#This Row],[Taxon -Lookup Picker in GRIN]]="","",Master[[#This Row],[Taxon -Lookup Picker in GRIN]])</f>
        <v>Machaeranthera canescens</v>
      </c>
      <c r="H93" s="89" t="str">
        <f>IF(Master[[#This Row],[Inventory Maintenance Policy]]="","",Master[[#This Row],[Inventory Maintenance Policy]])</f>
        <v>w6_native</v>
      </c>
      <c r="I93" s="89" t="str">
        <f>IF(Master[[#This Row],[Geography (Collection) -Lookup Picker in GRIN]]="",#REF!,Master[[#This Row],[Geography (Collection) -Lookup Picker in GRIN]])</f>
        <v>United States, Utah, Unitah</v>
      </c>
      <c r="J93" s="89" t="str">
        <f>IF(Master[[#This Row],[Collector Verbatim Locality]]="","",Master[[#This Row],[Collector Verbatim Locality]])</f>
        <v>Snake John Reef/ Highway 40/ From Vernal, ~30 miles E on highway 40 plants south of roadside near CO border</v>
      </c>
      <c r="K93" s="91">
        <f>IF(Master[[#This Row],[Latitude -decimal degrees]]="","",Master[[#This Row],[Latitude -decimal degrees]])</f>
        <v>40.27722</v>
      </c>
      <c r="L93" s="91">
        <f>IF(Master[[#This Row],[Longitude -decimal degrees]]="","",Master[[#This Row],[Longitude -decimal degrees]])</f>
        <v>-109.05694</v>
      </c>
      <c r="M93" s="89" t="str">
        <f>IF(Master[[#This Row],[Cooperator (Donor) 1 -full record]]="","",Master[[#This Row],[Cooperator (Donor) 1 -full record]])</f>
        <v>Bureau of Land Management, SOS project</v>
      </c>
    </row>
    <row r="94" spans="1:13" ht="225" x14ac:dyDescent="0.25">
      <c r="A94" s="89">
        <f t="shared" si="2"/>
        <v>92</v>
      </c>
      <c r="B94" s="89" t="str">
        <f>Master[[#This Row],[Accession Prefix (NPGS)]]&amp;" "&amp;Master[[#This Row],[Accession Number -Assigned]]</f>
        <v>W6 59680</v>
      </c>
      <c r="C94" s="89" t="str">
        <f>Master[[#This Row],[Inventory Prefix]]&amp;" "&amp;Master[[#This Row],[Inventory Number]]&amp;" "&amp;Master[[#This Row],[Inventory Suffix]]&amp;" "&amp;Master[[#This Row],[Inventory Type - Lookup Picker]]</f>
        <v>W6   SD</v>
      </c>
      <c r="D94" s="89" t="str">
        <f>IF(Master[[#This Row],[Accession Name (Identifier 1)]]="","",Master[[#This Row],[Accession Name (Identifier 1)]])</f>
        <v/>
      </c>
      <c r="E94" s="87">
        <f>IF(Master[[#This Row],[Date Collected or Developed]]="","",Master[[#This Row],[Date Collected or Developed]])</f>
        <v>44105</v>
      </c>
      <c r="F94" s="87">
        <f>IF(Master[[#This Row],[Received Date -received by site]]="","",Master[[#This Row],[Received Date -received by site]])</f>
        <v>44466</v>
      </c>
      <c r="G94" s="89" t="str">
        <f>IF(Master[[#This Row],[Taxon -Lookup Picker in GRIN]]="","",Master[[#This Row],[Taxon -Lookup Picker in GRIN]])</f>
        <v>Machaeranthera canescens</v>
      </c>
      <c r="H94" s="89" t="str">
        <f>IF(Master[[#This Row],[Inventory Maintenance Policy]]="","",Master[[#This Row],[Inventory Maintenance Policy]])</f>
        <v>w6_native</v>
      </c>
      <c r="I94" s="89" t="str">
        <f>IF(Master[[#This Row],[Geography (Collection) -Lookup Picker in GRIN]]="",#REF!,Master[[#This Row],[Geography (Collection) -Lookup Picker in GRIN]])</f>
        <v>United States, Utah, Unitah</v>
      </c>
      <c r="J94" s="89" t="str">
        <f>IF(Master[[#This Row],[Collector Verbatim Locality]]="","",Master[[#This Row],[Collector Verbatim Locality]])</f>
        <v>Glen Bench/ Glen Bench/oil Road/ From Naples, 20 mi S on hwy 45, 8 mi W on Glen Bench rd., right (N) onto oil road for .5-1 mile, plants lining roadside</v>
      </c>
      <c r="K94" s="91">
        <f>IF(Master[[#This Row],[Latitude -decimal degrees]]="","",Master[[#This Row],[Latitude -decimal degrees]])</f>
        <v>40.1205</v>
      </c>
      <c r="L94" s="91">
        <f>IF(Master[[#This Row],[Longitude -decimal degrees]]="","",Master[[#This Row],[Longitude -decimal degrees]])</f>
        <v>-109.42469</v>
      </c>
      <c r="M94" s="89" t="str">
        <f>IF(Master[[#This Row],[Cooperator (Donor) 1 -full record]]="","",Master[[#This Row],[Cooperator (Donor) 1 -full record]])</f>
        <v>Bureau of Land Management, SOS project</v>
      </c>
    </row>
    <row r="95" spans="1:13" ht="210" x14ac:dyDescent="0.25">
      <c r="A95" s="89">
        <f t="shared" si="2"/>
        <v>93</v>
      </c>
      <c r="B95" s="89" t="str">
        <f>Master[[#This Row],[Accession Prefix (NPGS)]]&amp;" "&amp;Master[[#This Row],[Accession Number -Assigned]]</f>
        <v>W6 59681</v>
      </c>
      <c r="C95" s="89" t="str">
        <f>Master[[#This Row],[Inventory Prefix]]&amp;" "&amp;Master[[#This Row],[Inventory Number]]&amp;" "&amp;Master[[#This Row],[Inventory Suffix]]&amp;" "&amp;Master[[#This Row],[Inventory Type - Lookup Picker]]</f>
        <v>W6   SD</v>
      </c>
      <c r="D95" s="89" t="str">
        <f>IF(Master[[#This Row],[Accession Name (Identifier 1)]]="","",Master[[#This Row],[Accession Name (Identifier 1)]])</f>
        <v/>
      </c>
      <c r="E95" s="87">
        <f>IF(Master[[#This Row],[Date Collected or Developed]]="","",Master[[#This Row],[Date Collected or Developed]])</f>
        <v>44058</v>
      </c>
      <c r="F95" s="87">
        <f>IF(Master[[#This Row],[Received Date -received by site]]="","",Master[[#This Row],[Received Date -received by site]])</f>
        <v>44466</v>
      </c>
      <c r="G95" s="89" t="str">
        <f>IF(Master[[#This Row],[Taxon -Lookup Picker in GRIN]]="","",Master[[#This Row],[Taxon -Lookup Picker in GRIN]])</f>
        <v>Cleome serrulata</v>
      </c>
      <c r="H95" s="89" t="str">
        <f>IF(Master[[#This Row],[Inventory Maintenance Policy]]="","",Master[[#This Row],[Inventory Maintenance Policy]])</f>
        <v>w6_native</v>
      </c>
      <c r="I95" s="89" t="str">
        <f>IF(Master[[#This Row],[Geography (Collection) -Lookup Picker in GRIN]]="",#REF!,Master[[#This Row],[Geography (Collection) -Lookup Picker in GRIN]])</f>
        <v>United States, Utah, Unitah</v>
      </c>
      <c r="J95" s="89" t="str">
        <f>IF(Master[[#This Row],[Collector Verbatim Locality]]="","",Master[[#This Row],[Collector Verbatim Locality]])</f>
        <v>Cottonwood Wash/ Seep Ridge Road/ From Vernal, 12 miles W to Highway 88, 36 miles S on Highway 88/Seep Ridge Rd, plants on either side of highway</v>
      </c>
      <c r="K95" s="91">
        <f>IF(Master[[#This Row],[Latitude -decimal degrees]]="","",Master[[#This Row],[Latitude -decimal degrees]])</f>
        <v>39.837020000000003</v>
      </c>
      <c r="L95" s="91">
        <f>IF(Master[[#This Row],[Longitude -decimal degrees]]="","",Master[[#This Row],[Longitude -decimal degrees]])</f>
        <v>-109.59516000000001</v>
      </c>
      <c r="M95" s="89" t="str">
        <f>IF(Master[[#This Row],[Cooperator (Donor) 1 -full record]]="","",Master[[#This Row],[Cooperator (Donor) 1 -full record]])</f>
        <v>Bureau of Land Management, SOS project</v>
      </c>
    </row>
    <row r="96" spans="1:13" ht="195" x14ac:dyDescent="0.25">
      <c r="A96" s="89">
        <f t="shared" si="2"/>
        <v>94</v>
      </c>
      <c r="B96" s="89" t="str">
        <f>Master[[#This Row],[Accession Prefix (NPGS)]]&amp;" "&amp;Master[[#This Row],[Accession Number -Assigned]]</f>
        <v>W6 59682</v>
      </c>
      <c r="C96" s="89" t="str">
        <f>Master[[#This Row],[Inventory Prefix]]&amp;" "&amp;Master[[#This Row],[Inventory Number]]&amp;" "&amp;Master[[#This Row],[Inventory Suffix]]&amp;" "&amp;Master[[#This Row],[Inventory Type - Lookup Picker]]</f>
        <v>W6   SD</v>
      </c>
      <c r="D96" s="89" t="str">
        <f>IF(Master[[#This Row],[Accession Name (Identifier 1)]]="","",Master[[#This Row],[Accession Name (Identifier 1)]])</f>
        <v/>
      </c>
      <c r="E96" s="87">
        <f>IF(Master[[#This Row],[Date Collected or Developed]]="","",Master[[#This Row],[Date Collected or Developed]])</f>
        <v>44104</v>
      </c>
      <c r="F96" s="87">
        <f>IF(Master[[#This Row],[Received Date -received by site]]="","",Master[[#This Row],[Received Date -received by site]])</f>
        <v>44466</v>
      </c>
      <c r="G96" s="89" t="str">
        <f>IF(Master[[#This Row],[Taxon -Lookup Picker in GRIN]]="","",Master[[#This Row],[Taxon -Lookup Picker in GRIN]])</f>
        <v>Grindelia squarrosa</v>
      </c>
      <c r="H96" s="89" t="str">
        <f>IF(Master[[#This Row],[Inventory Maintenance Policy]]="","",Master[[#This Row],[Inventory Maintenance Policy]])</f>
        <v>w6_native</v>
      </c>
      <c r="I96" s="89" t="str">
        <f>IF(Master[[#This Row],[Geography (Collection) -Lookup Picker in GRIN]]="",#REF!,Master[[#This Row],[Geography (Collection) -Lookup Picker in GRIN]])</f>
        <v>United States, Utah, Unitah</v>
      </c>
      <c r="J96" s="89" t="str">
        <f>IF(Master[[#This Row],[Collector Verbatim Locality]]="","",Master[[#This Row],[Collector Verbatim Locality]])</f>
        <v>Musket Shot Springs/ Hwy 40/overlook/ From Vernal, 20 miles E on hwy 40 to Musket Shot Springs overlook. Plants on roadside</v>
      </c>
      <c r="K96" s="91">
        <f>IF(Master[[#This Row],[Latitude -decimal degrees]]="","",Master[[#This Row],[Latitude -decimal degrees]])</f>
        <v>40.316110000000002</v>
      </c>
      <c r="L96" s="91">
        <f>IF(Master[[#This Row],[Longitude -decimal degrees]]="","",Master[[#This Row],[Longitude -decimal degrees]])</f>
        <v>-109.23138</v>
      </c>
      <c r="M96" s="89" t="str">
        <f>IF(Master[[#This Row],[Cooperator (Donor) 1 -full record]]="","",Master[[#This Row],[Cooperator (Donor) 1 -full record]])</f>
        <v>Bureau of Land Management, SOS project</v>
      </c>
    </row>
    <row r="97" spans="1:13" ht="240" x14ac:dyDescent="0.25">
      <c r="A97" s="89">
        <f t="shared" si="2"/>
        <v>95</v>
      </c>
      <c r="B97" s="89" t="str">
        <f>Master[[#This Row],[Accession Prefix (NPGS)]]&amp;" "&amp;Master[[#This Row],[Accession Number -Assigned]]</f>
        <v>W6 59683</v>
      </c>
      <c r="C97" s="89" t="str">
        <f>Master[[#This Row],[Inventory Prefix]]&amp;" "&amp;Master[[#This Row],[Inventory Number]]&amp;" "&amp;Master[[#This Row],[Inventory Suffix]]&amp;" "&amp;Master[[#This Row],[Inventory Type - Lookup Picker]]</f>
        <v>W6   SD</v>
      </c>
      <c r="D97" s="89" t="str">
        <f>IF(Master[[#This Row],[Accession Name (Identifier 1)]]="","",Master[[#This Row],[Accession Name (Identifier 1)]])</f>
        <v/>
      </c>
      <c r="E97" s="87">
        <f>IF(Master[[#This Row],[Date Collected or Developed]]="","",Master[[#This Row],[Date Collected or Developed]])</f>
        <v>44020</v>
      </c>
      <c r="F97" s="87">
        <f>IF(Master[[#This Row],[Received Date -received by site]]="","",Master[[#This Row],[Received Date -received by site]])</f>
        <v>44466</v>
      </c>
      <c r="G97" s="89" t="str">
        <f>IF(Master[[#This Row],[Taxon -Lookup Picker in GRIN]]="","",Master[[#This Row],[Taxon -Lookup Picker in GRIN]])</f>
        <v>Balsamorhiza incana</v>
      </c>
      <c r="H97" s="89" t="str">
        <f>IF(Master[[#This Row],[Inventory Maintenance Policy]]="","",Master[[#This Row],[Inventory Maintenance Policy]])</f>
        <v>w6_native</v>
      </c>
      <c r="I97" s="89" t="str">
        <f>IF(Master[[#This Row],[Geography (Collection) -Lookup Picker in GRIN]]="",#REF!,Master[[#This Row],[Geography (Collection) -Lookup Picker in GRIN]])</f>
        <v>United States, Wyoming, Fremont</v>
      </c>
      <c r="J97" s="89" t="str">
        <f>IF(Master[[#This Row],[Collector Verbatim Locality]]="","",Master[[#This Row],[Collector Verbatim Locality]])</f>
        <v>BLM Lander Field Office/ Red Canyon ACEC/ Barrett Cree, approximately 1 air mile northwest of Pine Spring in T31N R99W sec. 31, SE 1/4.</v>
      </c>
      <c r="K97" s="91">
        <f>IF(Master[[#This Row],[Latitude -decimal degrees]]="","",Master[[#This Row],[Latitude -decimal degrees]])</f>
        <v>42.61309</v>
      </c>
      <c r="L97" s="91">
        <f>IF(Master[[#This Row],[Longitude -decimal degrees]]="","",Master[[#This Row],[Longitude -decimal degrees]])</f>
        <v>-108.7028</v>
      </c>
      <c r="M97" s="89" t="str">
        <f>IF(Master[[#This Row],[Cooperator (Donor) 1 -full record]]="","",Master[[#This Row],[Cooperator (Donor) 1 -full record]])</f>
        <v>Bureau of Land Management, SOS project</v>
      </c>
    </row>
    <row r="98" spans="1:13" ht="409.5" x14ac:dyDescent="0.25">
      <c r="A98" s="89">
        <f t="shared" ref="A98:A129" si="3">ROW()-2</f>
        <v>96</v>
      </c>
      <c r="B98" s="89" t="str">
        <f>Master[[#This Row],[Accession Prefix (NPGS)]]&amp;" "&amp;Master[[#This Row],[Accession Number -Assigned]]</f>
        <v>W6 59684</v>
      </c>
      <c r="C98" s="89" t="str">
        <f>Master[[#This Row],[Inventory Prefix]]&amp;" "&amp;Master[[#This Row],[Inventory Number]]&amp;" "&amp;Master[[#This Row],[Inventory Suffix]]&amp;" "&amp;Master[[#This Row],[Inventory Type - Lookup Picker]]</f>
        <v>W6   SD</v>
      </c>
      <c r="D98" s="89" t="str">
        <f>IF(Master[[#This Row],[Accession Name (Identifier 1)]]="","",Master[[#This Row],[Accession Name (Identifier 1)]])</f>
        <v/>
      </c>
      <c r="E98" s="87">
        <f>IF(Master[[#This Row],[Date Collected or Developed]]="","",Master[[#This Row],[Date Collected or Developed]])</f>
        <v>43997</v>
      </c>
      <c r="F98" s="87">
        <f>IF(Master[[#This Row],[Received Date -received by site]]="","",Master[[#This Row],[Received Date -received by site]])</f>
        <v>44466</v>
      </c>
      <c r="G98" s="89" t="str">
        <f>IF(Master[[#This Row],[Taxon -Lookup Picker in GRIN]]="","",Master[[#This Row],[Taxon -Lookup Picker in GRIN]])</f>
        <v>Nothocalais troximoides</v>
      </c>
      <c r="H98" s="89" t="str">
        <f>IF(Master[[#This Row],[Inventory Maintenance Policy]]="","",Master[[#This Row],[Inventory Maintenance Policy]])</f>
        <v>w6_native</v>
      </c>
      <c r="I98" s="89" t="str">
        <f>IF(Master[[#This Row],[Geography (Collection) -Lookup Picker in GRIN]]="",#REF!,Master[[#This Row],[Geography (Collection) -Lookup Picker in GRIN]])</f>
        <v>United States, Wyoming, Johnson</v>
      </c>
      <c r="J98" s="89" t="str">
        <f>IF(Master[[#This Row],[Collector Verbatim Locality]]="","",Master[[#This Row],[Collector Verbatim Locality]])</f>
        <v>Bighorn National Forest/ Circle Park/ From Buffalo BLM field office, travel West on Hwy 16 for 13.4 miles, then turn right onto Circle Park Road for .2 miles. Collection was taken on hills within 200 feet of road on both sides, and in flat area near first campsites as you continue on road for 0.5 miles.</v>
      </c>
      <c r="K98" s="91">
        <f>IF(Master[[#This Row],[Latitude -decimal degrees]]="","",Master[[#This Row],[Latitude -decimal degrees]])</f>
        <v>44.289879999999997</v>
      </c>
      <c r="L98" s="91">
        <f>IF(Master[[#This Row],[Longitude -decimal degrees]]="","",Master[[#This Row],[Longitude -decimal degrees]])</f>
        <v>-106.95376</v>
      </c>
      <c r="M98" s="89" t="str">
        <f>IF(Master[[#This Row],[Cooperator (Donor) 1 -full record]]="","",Master[[#This Row],[Cooperator (Donor) 1 -full record]])</f>
        <v>Bureau of Land Management, SOS project</v>
      </c>
    </row>
    <row r="99" spans="1:13" ht="409.5" x14ac:dyDescent="0.25">
      <c r="A99" s="89">
        <f t="shared" si="3"/>
        <v>97</v>
      </c>
      <c r="B99" s="89" t="str">
        <f>Master[[#This Row],[Accession Prefix (NPGS)]]&amp;" "&amp;Master[[#This Row],[Accession Number -Assigned]]</f>
        <v>W6 59685</v>
      </c>
      <c r="C99" s="89" t="str">
        <f>Master[[#This Row],[Inventory Prefix]]&amp;" "&amp;Master[[#This Row],[Inventory Number]]&amp;" "&amp;Master[[#This Row],[Inventory Suffix]]&amp;" "&amp;Master[[#This Row],[Inventory Type - Lookup Picker]]</f>
        <v>W6   SD</v>
      </c>
      <c r="D99" s="89" t="str">
        <f>IF(Master[[#This Row],[Accession Name (Identifier 1)]]="","",Master[[#This Row],[Accession Name (Identifier 1)]])</f>
        <v/>
      </c>
      <c r="E99" s="87">
        <f>IF(Master[[#This Row],[Date Collected or Developed]]="","",Master[[#This Row],[Date Collected or Developed]])</f>
        <v>43998</v>
      </c>
      <c r="F99" s="87">
        <f>IF(Master[[#This Row],[Received Date -received by site]]="","",Master[[#This Row],[Received Date -received by site]])</f>
        <v>44466</v>
      </c>
      <c r="G99" s="89" t="str">
        <f>IF(Master[[#This Row],[Taxon -Lookup Picker in GRIN]]="","",Master[[#This Row],[Taxon -Lookup Picker in GRIN]])</f>
        <v>Erigeron caespitosus</v>
      </c>
      <c r="H99" s="89" t="str">
        <f>IF(Master[[#This Row],[Inventory Maintenance Policy]]="","",Master[[#This Row],[Inventory Maintenance Policy]])</f>
        <v>w6_native</v>
      </c>
      <c r="I99" s="89" t="str">
        <f>IF(Master[[#This Row],[Geography (Collection) -Lookup Picker in GRIN]]="",#REF!,Master[[#This Row],[Geography (Collection) -Lookup Picker in GRIN]])</f>
        <v>United States, Wyoming, Campbell</v>
      </c>
      <c r="J99" s="89" t="str">
        <f>IF(Master[[#This Row],[Collector Verbatim Locality]]="","",Master[[#This Row],[Collector Verbatim Locality]])</f>
        <v>Burnt Hollow/ Cedar Draw/ From I-90, take exit 124 and turn north on WY50/Skyline Drive and continue .3 miles to the intersection with Hwy 14/16/59. Turn left onto highway 14/16/59 and travel 6.8 miles toward Gillete Regional Airport. When routes divide, turn right onto Highway 59 North. Continue along Highway 59 for 13.4 miles, and turn right into parking area for South BLM unit. Collection occurred within 1000 ft NE of parking area.</v>
      </c>
      <c r="K99" s="91">
        <f>IF(Master[[#This Row],[Latitude -decimal degrees]]="","",Master[[#This Row],[Latitude -decimal degrees]])</f>
        <v>44.517339999999997</v>
      </c>
      <c r="L99" s="91">
        <f>IF(Master[[#This Row],[Longitude -decimal degrees]]="","",Master[[#This Row],[Longitude -decimal degrees]])</f>
        <v>-105.44013</v>
      </c>
      <c r="M99" s="89" t="str">
        <f>IF(Master[[#This Row],[Cooperator (Donor) 1 -full record]]="","",Master[[#This Row],[Cooperator (Donor) 1 -full record]])</f>
        <v>Bureau of Land Management, SOS project</v>
      </c>
    </row>
    <row r="100" spans="1:13" ht="409.5" x14ac:dyDescent="0.25">
      <c r="A100" s="89">
        <f t="shared" si="3"/>
        <v>98</v>
      </c>
      <c r="B100" s="89" t="str">
        <f>Master[[#This Row],[Accession Prefix (NPGS)]]&amp;" "&amp;Master[[#This Row],[Accession Number -Assigned]]</f>
        <v>W6 59686</v>
      </c>
      <c r="C100" s="89" t="str">
        <f>Master[[#This Row],[Inventory Prefix]]&amp;" "&amp;Master[[#This Row],[Inventory Number]]&amp;" "&amp;Master[[#This Row],[Inventory Suffix]]&amp;" "&amp;Master[[#This Row],[Inventory Type - Lookup Picker]]</f>
        <v>W6   SD</v>
      </c>
      <c r="D100" s="89" t="str">
        <f>IF(Master[[#This Row],[Accession Name (Identifier 1)]]="","",Master[[#This Row],[Accession Name (Identifier 1)]])</f>
        <v/>
      </c>
      <c r="E100" s="87">
        <f>IF(Master[[#This Row],[Date Collected or Developed]]="","",Master[[#This Row],[Date Collected or Developed]])</f>
        <v>43999</v>
      </c>
      <c r="F100" s="87">
        <f>IF(Master[[#This Row],[Received Date -received by site]]="","",Master[[#This Row],[Received Date -received by site]])</f>
        <v>44466</v>
      </c>
      <c r="G100" s="89" t="str">
        <f>IF(Master[[#This Row],[Taxon -Lookup Picker in GRIN]]="","",Master[[#This Row],[Taxon -Lookup Picker in GRIN]])</f>
        <v>Erigeron caespitosus</v>
      </c>
      <c r="H100" s="89" t="str">
        <f>IF(Master[[#This Row],[Inventory Maintenance Policy]]="","",Master[[#This Row],[Inventory Maintenance Policy]])</f>
        <v>w6_native</v>
      </c>
      <c r="I100" s="89" t="str">
        <f>IF(Master[[#This Row],[Geography (Collection) -Lookup Picker in GRIN]]="",#REF!,Master[[#This Row],[Geography (Collection) -Lookup Picker in GRIN]])</f>
        <v>United States, Wyoming, Campbell</v>
      </c>
      <c r="J100" s="89" t="str">
        <f>IF(Master[[#This Row],[Collector Verbatim Locality]]="","",Master[[#This Row],[Collector Verbatim Locality]])</f>
        <v>N/A/ Cut Across Road/ From I-90, take exit 102 toward Barber Creek Road, and head south on Barber Creek road for about 1.8 miles. Turn right (headed southwest) onto Buffalo Cut-Across Road/Schoonover Road and continue for 5.1 miles. Plants collected within 0.2 square miles of the road on both sides.</v>
      </c>
      <c r="K100" s="91">
        <f>IF(Master[[#This Row],[Latitude -decimal degrees]]="","",Master[[#This Row],[Latitude -decimal degrees]])</f>
        <v>44.128050000000002</v>
      </c>
      <c r="L100" s="91">
        <f>IF(Master[[#This Row],[Longitude -decimal degrees]]="","",Master[[#This Row],[Longitude -decimal degrees]])</f>
        <v>-105.96939999999999</v>
      </c>
      <c r="M100" s="89" t="str">
        <f>IF(Master[[#This Row],[Cooperator (Donor) 1 -full record]]="","",Master[[#This Row],[Cooperator (Donor) 1 -full record]])</f>
        <v>Bureau of Land Management, SOS project</v>
      </c>
    </row>
    <row r="101" spans="1:13" ht="409.5" x14ac:dyDescent="0.25">
      <c r="A101" s="89">
        <f t="shared" si="3"/>
        <v>99</v>
      </c>
      <c r="B101" s="89" t="str">
        <f>Master[[#This Row],[Accession Prefix (NPGS)]]&amp;" "&amp;Master[[#This Row],[Accession Number -Assigned]]</f>
        <v>W6 59687</v>
      </c>
      <c r="C101" s="89" t="str">
        <f>Master[[#This Row],[Inventory Prefix]]&amp;" "&amp;Master[[#This Row],[Inventory Number]]&amp;" "&amp;Master[[#This Row],[Inventory Suffix]]&amp;" "&amp;Master[[#This Row],[Inventory Type - Lookup Picker]]</f>
        <v>W6   SD</v>
      </c>
      <c r="D101" s="89" t="str">
        <f>IF(Master[[#This Row],[Accession Name (Identifier 1)]]="","",Master[[#This Row],[Accession Name (Identifier 1)]])</f>
        <v/>
      </c>
      <c r="E101" s="87">
        <f>IF(Master[[#This Row],[Date Collected or Developed]]="","",Master[[#This Row],[Date Collected or Developed]])</f>
        <v>44005</v>
      </c>
      <c r="F101" s="87">
        <f>IF(Master[[#This Row],[Received Date -received by site]]="","",Master[[#This Row],[Received Date -received by site]])</f>
        <v>44466</v>
      </c>
      <c r="G101" s="89" t="str">
        <f>IF(Master[[#This Row],[Taxon -Lookup Picker in GRIN]]="","",Master[[#This Row],[Taxon -Lookup Picker in GRIN]])</f>
        <v>Erigeron caespitosus</v>
      </c>
      <c r="H101" s="89" t="str">
        <f>IF(Master[[#This Row],[Inventory Maintenance Policy]]="","",Master[[#This Row],[Inventory Maintenance Policy]])</f>
        <v>w6_native</v>
      </c>
      <c r="I101" s="89" t="str">
        <f>IF(Master[[#This Row],[Geography (Collection) -Lookup Picker in GRIN]]="",#REF!,Master[[#This Row],[Geography (Collection) -Lookup Picker in GRIN]])</f>
        <v>United States, Wyoming, Campbell</v>
      </c>
      <c r="J101" s="89" t="str">
        <f>IF(Master[[#This Row],[Collector Verbatim Locality]]="","",Master[[#This Row],[Collector Verbatim Locality]])</f>
        <v>Thunder Basin National Grassland/ N/A/ From Wright, head south on WY-59/Douglas Hwy. Turn Left to go East onto WY-450 E for 15.5 miles. Turn Right (South) onto School Creek Road and follow road for 5.75 miles. The collection area is on the left (Northeast) side of the road, before the rock cairn on the hilltop, past the barbed wire fence approximately 100 ft.</v>
      </c>
      <c r="K101" s="91">
        <f>IF(Master[[#This Row],[Latitude -decimal degrees]]="","",Master[[#This Row],[Latitude -decimal degrees]])</f>
        <v>43.603189999999998</v>
      </c>
      <c r="L101" s="91">
        <f>IF(Master[[#This Row],[Longitude -decimal degrees]]="","",Master[[#This Row],[Longitude -decimal degrees]])</f>
        <v>-105.15515000000001</v>
      </c>
      <c r="M101" s="89" t="str">
        <f>IF(Master[[#This Row],[Cooperator (Donor) 1 -full record]]="","",Master[[#This Row],[Cooperator (Donor) 1 -full record]])</f>
        <v>Bureau of Land Management, SOS project</v>
      </c>
    </row>
    <row r="102" spans="1:13" ht="409.5" x14ac:dyDescent="0.25">
      <c r="A102" s="89">
        <f t="shared" si="3"/>
        <v>100</v>
      </c>
      <c r="B102" s="89" t="str">
        <f>Master[[#This Row],[Accession Prefix (NPGS)]]&amp;" "&amp;Master[[#This Row],[Accession Number -Assigned]]</f>
        <v>W6 59688</v>
      </c>
      <c r="C102" s="89" t="str">
        <f>Master[[#This Row],[Inventory Prefix]]&amp;" "&amp;Master[[#This Row],[Inventory Number]]&amp;" "&amp;Master[[#This Row],[Inventory Suffix]]&amp;" "&amp;Master[[#This Row],[Inventory Type - Lookup Picker]]</f>
        <v>W6   SD</v>
      </c>
      <c r="D102" s="89" t="str">
        <f>IF(Master[[#This Row],[Accession Name (Identifier 1)]]="","",Master[[#This Row],[Accession Name (Identifier 1)]])</f>
        <v/>
      </c>
      <c r="E102" s="87">
        <f>IF(Master[[#This Row],[Date Collected or Developed]]="","",Master[[#This Row],[Date Collected or Developed]])</f>
        <v>44007</v>
      </c>
      <c r="F102" s="87">
        <f>IF(Master[[#This Row],[Received Date -received by site]]="","",Master[[#This Row],[Received Date -received by site]])</f>
        <v>44466</v>
      </c>
      <c r="G102" s="89" t="str">
        <f>IF(Master[[#This Row],[Taxon -Lookup Picker in GRIN]]="","",Master[[#This Row],[Taxon -Lookup Picker in GRIN]])</f>
        <v>Erigeron caespitosus</v>
      </c>
      <c r="H102" s="89" t="str">
        <f>IF(Master[[#This Row],[Inventory Maintenance Policy]]="","",Master[[#This Row],[Inventory Maintenance Policy]])</f>
        <v>w6_native</v>
      </c>
      <c r="I102" s="89" t="str">
        <f>IF(Master[[#This Row],[Geography (Collection) -Lookup Picker in GRIN]]="",#REF!,Master[[#This Row],[Geography (Collection) -Lookup Picker in GRIN]])</f>
        <v>United States, Wyoming, Johnson</v>
      </c>
      <c r="J102" s="89" t="str">
        <f>IF(Master[[#This Row],[Collector Verbatim Locality]]="","",Master[[#This Row],[Collector Verbatim Locality]])</f>
        <v>Dry Creek Petrified Tree Environmental Education Area/ N/A/ To access the area from Interstate 90, take the Red Hills/Tipperary Road (Exit 65). Cross under the interstate and head northeast on Tipperary Road for 6 miles. Turn left onto the Petrified Tree access road, directly across the road from a ranch house. This two-track will cross a cattle guard and continue about 0.6 mile to the parking area. Walk along trail to GPS point, on downhill side of trail.</v>
      </c>
      <c r="K102" s="91">
        <f>IF(Master[[#This Row],[Latitude -decimal degrees]]="","",Master[[#This Row],[Latitude -decimal degrees]])</f>
        <v>44.35022</v>
      </c>
      <c r="L102" s="91">
        <f>IF(Master[[#This Row],[Longitude -decimal degrees]]="","",Master[[#This Row],[Longitude -decimal degrees]])</f>
        <v>-106.53149999999999</v>
      </c>
      <c r="M102" s="89" t="str">
        <f>IF(Master[[#This Row],[Cooperator (Donor) 1 -full record]]="","",Master[[#This Row],[Cooperator (Donor) 1 -full record]])</f>
        <v>Bureau of Land Management, SOS project</v>
      </c>
    </row>
    <row r="103" spans="1:13" ht="409.5" x14ac:dyDescent="0.25">
      <c r="A103" s="89">
        <f t="shared" si="3"/>
        <v>101</v>
      </c>
      <c r="B103" s="89" t="str">
        <f>Master[[#This Row],[Accession Prefix (NPGS)]]&amp;" "&amp;Master[[#This Row],[Accession Number -Assigned]]</f>
        <v>W6 59689</v>
      </c>
      <c r="C103" s="89" t="str">
        <f>Master[[#This Row],[Inventory Prefix]]&amp;" "&amp;Master[[#This Row],[Inventory Number]]&amp;" "&amp;Master[[#This Row],[Inventory Suffix]]&amp;" "&amp;Master[[#This Row],[Inventory Type - Lookup Picker]]</f>
        <v>W6   SD</v>
      </c>
      <c r="D103" s="89" t="str">
        <f>IF(Master[[#This Row],[Accession Name (Identifier 1)]]="","",Master[[#This Row],[Accession Name (Identifier 1)]])</f>
        <v/>
      </c>
      <c r="E103" s="87">
        <f>IF(Master[[#This Row],[Date Collected or Developed]]="","",Master[[#This Row],[Date Collected or Developed]])</f>
        <v>44012</v>
      </c>
      <c r="F103" s="87">
        <f>IF(Master[[#This Row],[Received Date -received by site]]="","",Master[[#This Row],[Received Date -received by site]])</f>
        <v>44466</v>
      </c>
      <c r="G103" s="89" t="str">
        <f>IF(Master[[#This Row],[Taxon -Lookup Picker in GRIN]]="","",Master[[#This Row],[Taxon -Lookup Picker in GRIN]])</f>
        <v>Koeleria macrantha</v>
      </c>
      <c r="H103" s="89" t="str">
        <f>IF(Master[[#This Row],[Inventory Maintenance Policy]]="","",Master[[#This Row],[Inventory Maintenance Policy]])</f>
        <v>w6_native</v>
      </c>
      <c r="I103" s="89" t="str">
        <f>IF(Master[[#This Row],[Geography (Collection) -Lookup Picker in GRIN]]="",#REF!,Master[[#This Row],[Geography (Collection) -Lookup Picker in GRIN]])</f>
        <v>United States, Wyoming, Johnson</v>
      </c>
      <c r="J103" s="89" t="str">
        <f>IF(Master[[#This Row],[Collector Verbatim Locality]]="","",Master[[#This Row],[Collector Verbatim Locality]])</f>
        <v>/ Schoonover Road/ From Buffalo, head east on I90 E for about 19 miles, then exit Southeast onto Schoonover road, and continue for 8.9 miles. Turn South, passing through a cattle gate then stay right. Turn left off gravel road onto dirt road and continue to point. Plants collected on both sides of road within 500 feet.</v>
      </c>
      <c r="K103" s="91">
        <f>IF(Master[[#This Row],[Latitude -decimal degrees]]="","",Master[[#This Row],[Latitude -decimal degrees]])</f>
        <v>44.118580000000001</v>
      </c>
      <c r="L103" s="91">
        <f>IF(Master[[#This Row],[Longitude -decimal degrees]]="","",Master[[#This Row],[Longitude -decimal degrees]])</f>
        <v>-106.2422</v>
      </c>
      <c r="M103" s="89" t="str">
        <f>IF(Master[[#This Row],[Cooperator (Donor) 1 -full record]]="","",Master[[#This Row],[Cooperator (Donor) 1 -full record]])</f>
        <v>Bureau of Land Management, SOS project</v>
      </c>
    </row>
    <row r="104" spans="1:13" ht="409.5" x14ac:dyDescent="0.25">
      <c r="A104" s="89">
        <f t="shared" si="3"/>
        <v>102</v>
      </c>
      <c r="B104" s="89" t="str">
        <f>Master[[#This Row],[Accession Prefix (NPGS)]]&amp;" "&amp;Master[[#This Row],[Accession Number -Assigned]]</f>
        <v>W6 59690</v>
      </c>
      <c r="C104" s="89" t="str">
        <f>Master[[#This Row],[Inventory Prefix]]&amp;" "&amp;Master[[#This Row],[Inventory Number]]&amp;" "&amp;Master[[#This Row],[Inventory Suffix]]&amp;" "&amp;Master[[#This Row],[Inventory Type - Lookup Picker]]</f>
        <v>W6   SD</v>
      </c>
      <c r="D104" s="89" t="str">
        <f>IF(Master[[#This Row],[Accession Name (Identifier 1)]]="","",Master[[#This Row],[Accession Name (Identifier 1)]])</f>
        <v/>
      </c>
      <c r="E104" s="87">
        <f>IF(Master[[#This Row],[Date Collected or Developed]]="","",Master[[#This Row],[Date Collected or Developed]])</f>
        <v>44012</v>
      </c>
      <c r="F104" s="87">
        <f>IF(Master[[#This Row],[Received Date -received by site]]="","",Master[[#This Row],[Received Date -received by site]])</f>
        <v>44466</v>
      </c>
      <c r="G104" s="89" t="str">
        <f>IF(Master[[#This Row],[Taxon -Lookup Picker in GRIN]]="","",Master[[#This Row],[Taxon -Lookup Picker in GRIN]])</f>
        <v>Koeleria macrantha</v>
      </c>
      <c r="H104" s="89" t="str">
        <f>IF(Master[[#This Row],[Inventory Maintenance Policy]]="","",Master[[#This Row],[Inventory Maintenance Policy]])</f>
        <v>w6_native</v>
      </c>
      <c r="I104" s="89" t="str">
        <f>IF(Master[[#This Row],[Geography (Collection) -Lookup Picker in GRIN]]="",#REF!,Master[[#This Row],[Geography (Collection) -Lookup Picker in GRIN]])</f>
        <v>United States, Wyoming, Johnson</v>
      </c>
      <c r="J104" s="89" t="str">
        <f>IF(Master[[#This Row],[Collector Verbatim Locality]]="","",Master[[#This Row],[Collector Verbatim Locality]])</f>
        <v>/ / From the town of Buffalo, drive about 19 miles Southeast on I90 E, take exit 77 onto Dry Creek Road. Head Northwest on Dry Creek Road for 2.1 miles, then turn right through the gate and continue about 0.3 miles to site. Collection within 100 feet on both sides of road.</v>
      </c>
      <c r="K104" s="91">
        <f>IF(Master[[#This Row],[Latitude -decimal degrees]]="","",Master[[#This Row],[Latitude -decimal degrees]])</f>
        <v>44.240299999999998</v>
      </c>
      <c r="L104" s="91">
        <f>IF(Master[[#This Row],[Longitude -decimal degrees]]="","",Master[[#This Row],[Longitude -decimal degrees]])</f>
        <v>-106.38482</v>
      </c>
      <c r="M104" s="89" t="str">
        <f>IF(Master[[#This Row],[Cooperator (Donor) 1 -full record]]="","",Master[[#This Row],[Cooperator (Donor) 1 -full record]])</f>
        <v>Bureau of Land Management, SOS project</v>
      </c>
    </row>
    <row r="105" spans="1:13" ht="270" x14ac:dyDescent="0.25">
      <c r="A105" s="89">
        <f t="shared" si="3"/>
        <v>103</v>
      </c>
      <c r="B105" s="89" t="str">
        <f>Master[[#This Row],[Accession Prefix (NPGS)]]&amp;" "&amp;Master[[#This Row],[Accession Number -Assigned]]</f>
        <v>W6 59691</v>
      </c>
      <c r="C105" s="89" t="str">
        <f>Master[[#This Row],[Inventory Prefix]]&amp;" "&amp;Master[[#This Row],[Inventory Number]]&amp;" "&amp;Master[[#This Row],[Inventory Suffix]]&amp;" "&amp;Master[[#This Row],[Inventory Type - Lookup Picker]]</f>
        <v>W6   SD</v>
      </c>
      <c r="D105" s="89" t="str">
        <f>IF(Master[[#This Row],[Accession Name (Identifier 1)]]="","",Master[[#This Row],[Accession Name (Identifier 1)]])</f>
        <v/>
      </c>
      <c r="E105" s="87">
        <f>IF(Master[[#This Row],[Date Collected or Developed]]="","",Master[[#This Row],[Date Collected or Developed]])</f>
        <v>44019</v>
      </c>
      <c r="F105" s="87">
        <f>IF(Master[[#This Row],[Received Date -received by site]]="","",Master[[#This Row],[Received Date -received by site]])</f>
        <v>44466</v>
      </c>
      <c r="G105" s="89" t="str">
        <f>IF(Master[[#This Row],[Taxon -Lookup Picker in GRIN]]="","",Master[[#This Row],[Taxon -Lookup Picker in GRIN]])</f>
        <v>Koeleria macrantha</v>
      </c>
      <c r="H105" s="89" t="str">
        <f>IF(Master[[#This Row],[Inventory Maintenance Policy]]="","",Master[[#This Row],[Inventory Maintenance Policy]])</f>
        <v>w6_native</v>
      </c>
      <c r="I105" s="89" t="str">
        <f>IF(Master[[#This Row],[Geography (Collection) -Lookup Picker in GRIN]]="",#REF!,Master[[#This Row],[Geography (Collection) -Lookup Picker in GRIN]])</f>
        <v>United States, Wyoming, Johnson</v>
      </c>
      <c r="J105" s="89" t="str">
        <f>IF(Master[[#This Row],[Collector Verbatim Locality]]="","",Master[[#This Row],[Collector Verbatim Locality]])</f>
        <v>/ TW Road/ From Buffalo, WY, follow I-90 Business Loop east for three miles to 204/TW road. Take TW road for 10 miles east. Seeds collected within three acres of the road on the north side.</v>
      </c>
      <c r="K105" s="91">
        <f>IF(Master[[#This Row],[Latitude -decimal degrees]]="","",Master[[#This Row],[Latitude -decimal degrees]])</f>
        <v>44.308410000000002</v>
      </c>
      <c r="L105" s="91">
        <f>IF(Master[[#This Row],[Longitude -decimal degrees]]="","",Master[[#This Row],[Longitude -decimal degrees]])</f>
        <v>-106.49035000000001</v>
      </c>
      <c r="M105" s="89" t="str">
        <f>IF(Master[[#This Row],[Cooperator (Donor) 1 -full record]]="","",Master[[#This Row],[Cooperator (Donor) 1 -full record]])</f>
        <v>Bureau of Land Management, SOS project</v>
      </c>
    </row>
    <row r="106" spans="1:13" ht="409.5" x14ac:dyDescent="0.25">
      <c r="A106" s="89">
        <f t="shared" si="3"/>
        <v>104</v>
      </c>
      <c r="B106" s="89" t="str">
        <f>Master[[#This Row],[Accession Prefix (NPGS)]]&amp;" "&amp;Master[[#This Row],[Accession Number -Assigned]]</f>
        <v>W6 59692</v>
      </c>
      <c r="C106" s="89" t="str">
        <f>Master[[#This Row],[Inventory Prefix]]&amp;" "&amp;Master[[#This Row],[Inventory Number]]&amp;" "&amp;Master[[#This Row],[Inventory Suffix]]&amp;" "&amp;Master[[#This Row],[Inventory Type - Lookup Picker]]</f>
        <v>W6   SD</v>
      </c>
      <c r="D106" s="89" t="str">
        <f>IF(Master[[#This Row],[Accession Name (Identifier 1)]]="","",Master[[#This Row],[Accession Name (Identifier 1)]])</f>
        <v/>
      </c>
      <c r="E106" s="87">
        <f>IF(Master[[#This Row],[Date Collected or Developed]]="","",Master[[#This Row],[Date Collected or Developed]])</f>
        <v>44020</v>
      </c>
      <c r="F106" s="87">
        <f>IF(Master[[#This Row],[Received Date -received by site]]="","",Master[[#This Row],[Received Date -received by site]])</f>
        <v>44466</v>
      </c>
      <c r="G106" s="89" t="str">
        <f>IF(Master[[#This Row],[Taxon -Lookup Picker in GRIN]]="","",Master[[#This Row],[Taxon -Lookup Picker in GRIN]])</f>
        <v>Koeleria macrantha</v>
      </c>
      <c r="H106" s="89" t="str">
        <f>IF(Master[[#This Row],[Inventory Maintenance Policy]]="","",Master[[#This Row],[Inventory Maintenance Policy]])</f>
        <v>w6_native</v>
      </c>
      <c r="I106" s="89" t="str">
        <f>IF(Master[[#This Row],[Geography (Collection) -Lookup Picker in GRIN]]="",#REF!,Master[[#This Row],[Geography (Collection) -Lookup Picker in GRIN]])</f>
        <v>United States, Wyoming, Johnson</v>
      </c>
      <c r="J106" s="89" t="str">
        <f>IF(Master[[#This Row],[Collector Verbatim Locality]]="","",Master[[#This Row],[Collector Verbatim Locality]])</f>
        <v>Middle Fork Powder River Management Area/ Outlaw Cave/ From Interstate 90, take exit 254 for Kaycee. Head west on Highway 191 for about 1 mile. Turn left onto Highway 190W for about 16 miles to Barnum. Turn left onto Bar C Road and continue for 21.1 miles (following signs for Middle Fork Powder River Management Area) . This road is an improved all-weather access road and travels directly through the headquarters of the Hole-in-the-Wall ranch. Collection was taken just past the fence entrance within 200 feet of either side of road, along 500 feet of road.</v>
      </c>
      <c r="K106" s="91">
        <f>IF(Master[[#This Row],[Latitude -decimal degrees]]="","",Master[[#This Row],[Latitude -decimal degrees]])</f>
        <v>43.59693</v>
      </c>
      <c r="L106" s="91">
        <f>IF(Master[[#This Row],[Longitude -decimal degrees]]="","",Master[[#This Row],[Longitude -decimal degrees]])</f>
        <v>-106.89928</v>
      </c>
      <c r="M106" s="89" t="str">
        <f>IF(Master[[#This Row],[Cooperator (Donor) 1 -full record]]="","",Master[[#This Row],[Cooperator (Donor) 1 -full record]])</f>
        <v>Bureau of Land Management, SOS project</v>
      </c>
    </row>
    <row r="107" spans="1:13" ht="409.5" x14ac:dyDescent="0.25">
      <c r="A107" s="89">
        <f t="shared" si="3"/>
        <v>105</v>
      </c>
      <c r="B107" s="89" t="str">
        <f>Master[[#This Row],[Accession Prefix (NPGS)]]&amp;" "&amp;Master[[#This Row],[Accession Number -Assigned]]</f>
        <v>W6 59693</v>
      </c>
      <c r="C107" s="89" t="str">
        <f>Master[[#This Row],[Inventory Prefix]]&amp;" "&amp;Master[[#This Row],[Inventory Number]]&amp;" "&amp;Master[[#This Row],[Inventory Suffix]]&amp;" "&amp;Master[[#This Row],[Inventory Type - Lookup Picker]]</f>
        <v>W6   SD</v>
      </c>
      <c r="D107" s="89" t="str">
        <f>IF(Master[[#This Row],[Accession Name (Identifier 1)]]="","",Master[[#This Row],[Accession Name (Identifier 1)]])</f>
        <v/>
      </c>
      <c r="E107" s="87">
        <f>IF(Master[[#This Row],[Date Collected or Developed]]="","",Master[[#This Row],[Date Collected or Developed]])</f>
        <v>44021</v>
      </c>
      <c r="F107" s="87">
        <f>IF(Master[[#This Row],[Received Date -received by site]]="","",Master[[#This Row],[Received Date -received by site]])</f>
        <v>44466</v>
      </c>
      <c r="G107" s="89" t="str">
        <f>IF(Master[[#This Row],[Taxon -Lookup Picker in GRIN]]="","",Master[[#This Row],[Taxon -Lookup Picker in GRIN]])</f>
        <v>Koeleria macrantha</v>
      </c>
      <c r="H107" s="89" t="str">
        <f>IF(Master[[#This Row],[Inventory Maintenance Policy]]="","",Master[[#This Row],[Inventory Maintenance Policy]])</f>
        <v>w6_native</v>
      </c>
      <c r="I107" s="89" t="str">
        <f>IF(Master[[#This Row],[Geography (Collection) -Lookup Picker in GRIN]]="",#REF!,Master[[#This Row],[Geography (Collection) -Lookup Picker in GRIN]])</f>
        <v>United States, Wyoming, Johnson</v>
      </c>
      <c r="J107" s="89" t="str">
        <f>IF(Master[[#This Row],[Collector Verbatim Locality]]="","",Master[[#This Row],[Collector Verbatim Locality]])</f>
        <v>Dry Creek Petrified Tree Environmental Education Area/ N/A/ To access the area from Interstate 90, take the Red Hills/Tipperary Road (Exit 65). Cross under the interstate and head northeast on Tipperary Road for 6 miles. Turn left onto the Petrified Tree access road, directly across the road from a ranch house. This two-track will cross a cattle guard and continue about 0.6 mile to the parking area. Walk along trail to GPS point, on downhill side of trail.</v>
      </c>
      <c r="K107" s="91">
        <f>IF(Master[[#This Row],[Latitude -decimal degrees]]="","",Master[[#This Row],[Latitude -decimal degrees]])</f>
        <v>44.350610000000003</v>
      </c>
      <c r="L107" s="91">
        <f>IF(Master[[#This Row],[Longitude -decimal degrees]]="","",Master[[#This Row],[Longitude -decimal degrees]])</f>
        <v>-106.5326</v>
      </c>
      <c r="M107" s="89" t="str">
        <f>IF(Master[[#This Row],[Cooperator (Donor) 1 -full record]]="","",Master[[#This Row],[Cooperator (Donor) 1 -full record]])</f>
        <v>Bureau of Land Management, SOS project</v>
      </c>
    </row>
    <row r="108" spans="1:13" ht="315" x14ac:dyDescent="0.25">
      <c r="A108" s="89">
        <f t="shared" si="3"/>
        <v>106</v>
      </c>
      <c r="B108" s="89" t="str">
        <f>Master[[#This Row],[Accession Prefix (NPGS)]]&amp;" "&amp;Master[[#This Row],[Accession Number -Assigned]]</f>
        <v>W6 59694</v>
      </c>
      <c r="C108" s="89" t="str">
        <f>Master[[#This Row],[Inventory Prefix]]&amp;" "&amp;Master[[#This Row],[Inventory Number]]&amp;" "&amp;Master[[#This Row],[Inventory Suffix]]&amp;" "&amp;Master[[#This Row],[Inventory Type - Lookup Picker]]</f>
        <v>W6   SD</v>
      </c>
      <c r="D108" s="89" t="str">
        <f>IF(Master[[#This Row],[Accession Name (Identifier 1)]]="","",Master[[#This Row],[Accession Name (Identifier 1)]])</f>
        <v/>
      </c>
      <c r="E108" s="87">
        <f>IF(Master[[#This Row],[Date Collected or Developed]]="","",Master[[#This Row],[Date Collected or Developed]])</f>
        <v>44025</v>
      </c>
      <c r="F108" s="87">
        <f>IF(Master[[#This Row],[Received Date -received by site]]="","",Master[[#This Row],[Received Date -received by site]])</f>
        <v>44466</v>
      </c>
      <c r="G108" s="89" t="str">
        <f>IF(Master[[#This Row],[Taxon -Lookup Picker in GRIN]]="","",Master[[#This Row],[Taxon -Lookup Picker in GRIN]])</f>
        <v>Koeleria macrantha</v>
      </c>
      <c r="H108" s="89" t="str">
        <f>IF(Master[[#This Row],[Inventory Maintenance Policy]]="","",Master[[#This Row],[Inventory Maintenance Policy]])</f>
        <v>w6_native</v>
      </c>
      <c r="I108" s="89" t="str">
        <f>IF(Master[[#This Row],[Geography (Collection) -Lookup Picker in GRIN]]="",#REF!,Master[[#This Row],[Geography (Collection) -Lookup Picker in GRIN]])</f>
        <v>United States, Wyoming, Johnson</v>
      </c>
      <c r="J108" s="89" t="str">
        <f>IF(Master[[#This Row],[Collector Verbatim Locality]]="","",Master[[#This Row],[Collector Verbatim Locality]])</f>
        <v>/ Schoonover Road/ From Buffalo, head east on I90 E for about 19 miles, then exit Southeast onto Schoonover road, and continue for 13.1 miles. Collection taken within 200 feet of both sides of the road.</v>
      </c>
      <c r="K108" s="91">
        <f>IF(Master[[#This Row],[Latitude -decimal degrees]]="","",Master[[#This Row],[Latitude -decimal degrees]])</f>
        <v>44.14734</v>
      </c>
      <c r="L108" s="91">
        <f>IF(Master[[#This Row],[Longitude -decimal degrees]]="","",Master[[#This Row],[Longitude -decimal degrees]])</f>
        <v>-106.18277999999999</v>
      </c>
      <c r="M108" s="89" t="str">
        <f>IF(Master[[#This Row],[Cooperator (Donor) 1 -full record]]="","",Master[[#This Row],[Cooperator (Donor) 1 -full record]])</f>
        <v>Bureau of Land Management, SOS project</v>
      </c>
    </row>
    <row r="109" spans="1:13" ht="409.5" x14ac:dyDescent="0.25">
      <c r="A109" s="89">
        <f t="shared" si="3"/>
        <v>107</v>
      </c>
      <c r="B109" s="89" t="str">
        <f>Master[[#This Row],[Accession Prefix (NPGS)]]&amp;" "&amp;Master[[#This Row],[Accession Number -Assigned]]</f>
        <v>W6 59695</v>
      </c>
      <c r="C109" s="89" t="str">
        <f>Master[[#This Row],[Inventory Prefix]]&amp;" "&amp;Master[[#This Row],[Inventory Number]]&amp;" "&amp;Master[[#This Row],[Inventory Suffix]]&amp;" "&amp;Master[[#This Row],[Inventory Type - Lookup Picker]]</f>
        <v>W6   SD</v>
      </c>
      <c r="D109" s="89" t="str">
        <f>IF(Master[[#This Row],[Accession Name (Identifier 1)]]="","",Master[[#This Row],[Accession Name (Identifier 1)]])</f>
        <v/>
      </c>
      <c r="E109" s="87">
        <f>IF(Master[[#This Row],[Date Collected or Developed]]="","",Master[[#This Row],[Date Collected or Developed]])</f>
        <v>44026</v>
      </c>
      <c r="F109" s="87">
        <f>IF(Master[[#This Row],[Received Date -received by site]]="","",Master[[#This Row],[Received Date -received by site]])</f>
        <v>44466</v>
      </c>
      <c r="G109" s="89" t="str">
        <f>IF(Master[[#This Row],[Taxon -Lookup Picker in GRIN]]="","",Master[[#This Row],[Taxon -Lookup Picker in GRIN]])</f>
        <v>Koeleria macrantha</v>
      </c>
      <c r="H109" s="89" t="str">
        <f>IF(Master[[#This Row],[Inventory Maintenance Policy]]="","",Master[[#This Row],[Inventory Maintenance Policy]])</f>
        <v>w6_native</v>
      </c>
      <c r="I109" s="89" t="str">
        <f>IF(Master[[#This Row],[Geography (Collection) -Lookup Picker in GRIN]]="",#REF!,Master[[#This Row],[Geography (Collection) -Lookup Picker in GRIN]])</f>
        <v>United States, Wyoming, Campbell</v>
      </c>
      <c r="J109" s="89" t="str">
        <f>IF(Master[[#This Row],[Collector Verbatim Locality]]="","",Master[[#This Row],[Collector Verbatim Locality]])</f>
        <v>Thunder Basin National Grassland/ N/A/ From Wright, head south on WY-59/Douglas Hwy. Turn Left to go East onto WY-450 E for 15.5 miles. Turn Right (South) onto School Creek Road and follow road for about 8.6 miles to T intersection, then turn right and continue for about 1000 ft. Collections took place on both sides of road. Collections within 300 feet on the South side of road, and on North side of road from flat grassy area continuing to the top of the plateaus and hillslopes.</v>
      </c>
      <c r="K109" s="91">
        <f>IF(Master[[#This Row],[Latitude -decimal degrees]]="","",Master[[#This Row],[Latitude -decimal degrees]])</f>
        <v>43.572519999999997</v>
      </c>
      <c r="L109" s="91">
        <f>IF(Master[[#This Row],[Longitude -decimal degrees]]="","",Master[[#This Row],[Longitude -decimal degrees]])</f>
        <v>-105.16502</v>
      </c>
      <c r="M109" s="89" t="str">
        <f>IF(Master[[#This Row],[Cooperator (Donor) 1 -full record]]="","",Master[[#This Row],[Cooperator (Donor) 1 -full record]])</f>
        <v>Bureau of Land Management, SOS project</v>
      </c>
    </row>
    <row r="110" spans="1:13" ht="409.5" x14ac:dyDescent="0.25">
      <c r="A110" s="89">
        <f t="shared" si="3"/>
        <v>108</v>
      </c>
      <c r="B110" s="89" t="str">
        <f>Master[[#This Row],[Accession Prefix (NPGS)]]&amp;" "&amp;Master[[#This Row],[Accession Number -Assigned]]</f>
        <v>W6 59696</v>
      </c>
      <c r="C110" s="89" t="str">
        <f>Master[[#This Row],[Inventory Prefix]]&amp;" "&amp;Master[[#This Row],[Inventory Number]]&amp;" "&amp;Master[[#This Row],[Inventory Suffix]]&amp;" "&amp;Master[[#This Row],[Inventory Type - Lookup Picker]]</f>
        <v>W6   SD</v>
      </c>
      <c r="D110" s="89" t="str">
        <f>IF(Master[[#This Row],[Accession Name (Identifier 1)]]="","",Master[[#This Row],[Accession Name (Identifier 1)]])</f>
        <v/>
      </c>
      <c r="E110" s="87">
        <f>IF(Master[[#This Row],[Date Collected or Developed]]="","",Master[[#This Row],[Date Collected or Developed]])</f>
        <v>44027</v>
      </c>
      <c r="F110" s="87">
        <f>IF(Master[[#This Row],[Received Date -received by site]]="","",Master[[#This Row],[Received Date -received by site]])</f>
        <v>44466</v>
      </c>
      <c r="G110" s="89" t="str">
        <f>IF(Master[[#This Row],[Taxon -Lookup Picker in GRIN]]="","",Master[[#This Row],[Taxon -Lookup Picker in GRIN]])</f>
        <v>Koeleria macrantha</v>
      </c>
      <c r="H110" s="89" t="str">
        <f>IF(Master[[#This Row],[Inventory Maintenance Policy]]="","",Master[[#This Row],[Inventory Maintenance Policy]])</f>
        <v>w6_native</v>
      </c>
      <c r="I110" s="89" t="str">
        <f>IF(Master[[#This Row],[Geography (Collection) -Lookup Picker in GRIN]]="",#REF!,Master[[#This Row],[Geography (Collection) -Lookup Picker in GRIN]])</f>
        <v>United States, Wyoming, Natrona</v>
      </c>
      <c r="J110" s="89" t="str">
        <f>IF(Master[[#This Row],[Collector Verbatim Locality]]="","",Master[[#This Row],[Collector Verbatim Locality]])</f>
        <v>/ McDougal Gulch/ From Casper, head Southwest on WY-220 for about 48 miles. Turn right (Northwest) onto N Dry Creek Road and continue for 17 miles. Turn right onto dirt road and continue across bridge at McDougal Gulch. Park in parking area. Seed collected from 10 acres to the east of the road.</v>
      </c>
      <c r="K110" s="91">
        <f>IF(Master[[#This Row],[Latitude -decimal degrees]]="","",Master[[#This Row],[Latitude -decimal degrees]])</f>
        <v>42.700060000000001</v>
      </c>
      <c r="L110" s="91">
        <f>IF(Master[[#This Row],[Longitude -decimal degrees]]="","",Master[[#This Row],[Longitude -decimal degrees]])</f>
        <v>-107.3147</v>
      </c>
      <c r="M110" s="89" t="str">
        <f>IF(Master[[#This Row],[Cooperator (Donor) 1 -full record]]="","",Master[[#This Row],[Cooperator (Donor) 1 -full record]])</f>
        <v>Bureau of Land Management, SOS project</v>
      </c>
    </row>
    <row r="111" spans="1:13" ht="409.5" x14ac:dyDescent="0.25">
      <c r="A111" s="89">
        <f t="shared" si="3"/>
        <v>109</v>
      </c>
      <c r="B111" s="89" t="str">
        <f>Master[[#This Row],[Accession Prefix (NPGS)]]&amp;" "&amp;Master[[#This Row],[Accession Number -Assigned]]</f>
        <v>W6 59697</v>
      </c>
      <c r="C111" s="89" t="str">
        <f>Master[[#This Row],[Inventory Prefix]]&amp;" "&amp;Master[[#This Row],[Inventory Number]]&amp;" "&amp;Master[[#This Row],[Inventory Suffix]]&amp;" "&amp;Master[[#This Row],[Inventory Type - Lookup Picker]]</f>
        <v>W6   SD</v>
      </c>
      <c r="D111" s="89" t="str">
        <f>IF(Master[[#This Row],[Accession Name (Identifier 1)]]="","",Master[[#This Row],[Accession Name (Identifier 1)]])</f>
        <v/>
      </c>
      <c r="E111" s="87">
        <f>IF(Master[[#This Row],[Date Collected or Developed]]="","",Master[[#This Row],[Date Collected or Developed]])</f>
        <v>44027</v>
      </c>
      <c r="F111" s="87">
        <f>IF(Master[[#This Row],[Received Date -received by site]]="","",Master[[#This Row],[Received Date -received by site]])</f>
        <v>44466</v>
      </c>
      <c r="G111" s="89" t="str">
        <f>IF(Master[[#This Row],[Taxon -Lookup Picker in GRIN]]="","",Master[[#This Row],[Taxon -Lookup Picker in GRIN]])</f>
        <v>Heterotheca villosa</v>
      </c>
      <c r="H111" s="89" t="str">
        <f>IF(Master[[#This Row],[Inventory Maintenance Policy]]="","",Master[[#This Row],[Inventory Maintenance Policy]])</f>
        <v>w6_native</v>
      </c>
      <c r="I111" s="89" t="str">
        <f>IF(Master[[#This Row],[Geography (Collection) -Lookup Picker in GRIN]]="",#REF!,Master[[#This Row],[Geography (Collection) -Lookup Picker in GRIN]])</f>
        <v>United States, Wyoming, Washakie</v>
      </c>
      <c r="J111" s="89" t="str">
        <f>IF(Master[[#This Row],[Collector Verbatim Locality]]="","",Master[[#This Row],[Collector Verbatim Locality]])</f>
        <v>Robert's Draw/ Rd 321/ From Casper, head Southwest on WY-220 W for about 48 miles. Turn right (Northwest) onto N Dry Creek Road for 7.4 miles. As you approach the large rock formations, several hundred feet after passing through a cattle gate, turn left onto a two track leading towards the rock formations. Drive until you reach the rocks, and collect plants on East side of rock faces.</v>
      </c>
      <c r="K111" s="91">
        <f>IF(Master[[#This Row],[Latitude -decimal degrees]]="","",Master[[#This Row],[Latitude -decimal degrees]])</f>
        <v>43.614460000000001</v>
      </c>
      <c r="L111" s="91">
        <f>IF(Master[[#This Row],[Longitude -decimal degrees]]="","",Master[[#This Row],[Longitude -decimal degrees]])</f>
        <v>-107.18858</v>
      </c>
      <c r="M111" s="89" t="str">
        <f>IF(Master[[#This Row],[Cooperator (Donor) 1 -full record]]="","",Master[[#This Row],[Cooperator (Donor) 1 -full record]])</f>
        <v>Bureau of Land Management, SOS project</v>
      </c>
    </row>
    <row r="112" spans="1:13" ht="409.5" x14ac:dyDescent="0.25">
      <c r="A112" s="89">
        <f t="shared" si="3"/>
        <v>110</v>
      </c>
      <c r="B112" s="89" t="str">
        <f>Master[[#This Row],[Accession Prefix (NPGS)]]&amp;" "&amp;Master[[#This Row],[Accession Number -Assigned]]</f>
        <v>W6 59698</v>
      </c>
      <c r="C112" s="89" t="str">
        <f>Master[[#This Row],[Inventory Prefix]]&amp;" "&amp;Master[[#This Row],[Inventory Number]]&amp;" "&amp;Master[[#This Row],[Inventory Suffix]]&amp;" "&amp;Master[[#This Row],[Inventory Type - Lookup Picker]]</f>
        <v>W6   SD</v>
      </c>
      <c r="D112" s="89" t="str">
        <f>IF(Master[[#This Row],[Accession Name (Identifier 1)]]="","",Master[[#This Row],[Accession Name (Identifier 1)]])</f>
        <v/>
      </c>
      <c r="E112" s="87">
        <f>IF(Master[[#This Row],[Date Collected or Developed]]="","",Master[[#This Row],[Date Collected or Developed]])</f>
        <v>44028</v>
      </c>
      <c r="F112" s="87">
        <f>IF(Master[[#This Row],[Received Date -received by site]]="","",Master[[#This Row],[Received Date -received by site]])</f>
        <v>44466</v>
      </c>
      <c r="G112" s="89" t="str">
        <f>IF(Master[[#This Row],[Taxon -Lookup Picker in GRIN]]="","",Master[[#This Row],[Taxon -Lookup Picker in GRIN]])</f>
        <v>Sphaeralcea coccinea</v>
      </c>
      <c r="H112" s="89" t="str">
        <f>IF(Master[[#This Row],[Inventory Maintenance Policy]]="","",Master[[#This Row],[Inventory Maintenance Policy]])</f>
        <v>w6_native</v>
      </c>
      <c r="I112" s="89" t="str">
        <f>IF(Master[[#This Row],[Geography (Collection) -Lookup Picker in GRIN]]="",#REF!,Master[[#This Row],[Geography (Collection) -Lookup Picker in GRIN]])</f>
        <v>United States, Wyoming, Natrona</v>
      </c>
      <c r="J112" s="89" t="str">
        <f>IF(Master[[#This Row],[Collector Verbatim Locality]]="","",Master[[#This Row],[Collector Verbatim Locality]])</f>
        <v>N/A/ Long Canyon Road/ From Hwy 25, about 19 miles south of Kaycee, take exit 235 onto Tisdale Mountain Road heading SW. Drive 0.4 miles and turn left to continue on Tisdale Mountain Road for 0.1 miles, then continue onto Long Canyon Road for 2.4 miles. Collected immediately along both sides of the road for 1 mile.</v>
      </c>
      <c r="K112" s="91">
        <f>IF(Master[[#This Row],[Latitude -decimal degrees]]="","",Master[[#This Row],[Latitude -decimal degrees]])</f>
        <v>43.459600000000002</v>
      </c>
      <c r="L112" s="91">
        <f>IF(Master[[#This Row],[Longitude -decimal degrees]]="","",Master[[#This Row],[Longitude -decimal degrees]])</f>
        <v>-106.46531</v>
      </c>
      <c r="M112" s="89" t="str">
        <f>IF(Master[[#This Row],[Cooperator (Donor) 1 -full record]]="","",Master[[#This Row],[Cooperator (Donor) 1 -full record]])</f>
        <v>Bureau of Land Management, SOS project</v>
      </c>
    </row>
    <row r="113" spans="1:13" ht="315" x14ac:dyDescent="0.25">
      <c r="A113" s="89">
        <f t="shared" si="3"/>
        <v>111</v>
      </c>
      <c r="B113" s="89" t="str">
        <f>Master[[#This Row],[Accession Prefix (NPGS)]]&amp;" "&amp;Master[[#This Row],[Accession Number -Assigned]]</f>
        <v>W6 59699</v>
      </c>
      <c r="C113" s="89" t="str">
        <f>Master[[#This Row],[Inventory Prefix]]&amp;" "&amp;Master[[#This Row],[Inventory Number]]&amp;" "&amp;Master[[#This Row],[Inventory Suffix]]&amp;" "&amp;Master[[#This Row],[Inventory Type - Lookup Picker]]</f>
        <v>W6   SD</v>
      </c>
      <c r="D113" s="89" t="str">
        <f>IF(Master[[#This Row],[Accession Name (Identifier 1)]]="","",Master[[#This Row],[Accession Name (Identifier 1)]])</f>
        <v/>
      </c>
      <c r="E113" s="87">
        <f>IF(Master[[#This Row],[Date Collected or Developed]]="","",Master[[#This Row],[Date Collected or Developed]])</f>
        <v>44039</v>
      </c>
      <c r="F113" s="87">
        <f>IF(Master[[#This Row],[Received Date -received by site]]="","",Master[[#This Row],[Received Date -received by site]])</f>
        <v>44466</v>
      </c>
      <c r="G113" s="89" t="str">
        <f>IF(Master[[#This Row],[Taxon -Lookup Picker in GRIN]]="","",Master[[#This Row],[Taxon -Lookup Picker in GRIN]])</f>
        <v>Koeleria macrantha</v>
      </c>
      <c r="H113" s="89" t="str">
        <f>IF(Master[[#This Row],[Inventory Maintenance Policy]]="","",Master[[#This Row],[Inventory Maintenance Policy]])</f>
        <v>w6_native</v>
      </c>
      <c r="I113" s="89" t="str">
        <f>IF(Master[[#This Row],[Geography (Collection) -Lookup Picker in GRIN]]="",#REF!,Master[[#This Row],[Geography (Collection) -Lookup Picker in GRIN]])</f>
        <v>United States, Wyoming, Johnson</v>
      </c>
      <c r="J113" s="89" t="str">
        <f>IF(Master[[#This Row],[Collector Verbatim Locality]]="","",Master[[#This Row],[Collector Verbatim Locality]])</f>
        <v>Gardner Mountain/ Slip Road/ From Kaycee, head Northwest on WY-191 N for 14 miles, then take a slight left (West) onto Slip Road for 1.4 miles. Collection taken on North side of road up to fenceline.</v>
      </c>
      <c r="K113" s="91">
        <f>IF(Master[[#This Row],[Latitude -decimal degrees]]="","",Master[[#This Row],[Latitude -decimal degrees]])</f>
        <v>43.837730000000001</v>
      </c>
      <c r="L113" s="91">
        <f>IF(Master[[#This Row],[Longitude -decimal degrees]]="","",Master[[#This Row],[Longitude -decimal degrees]])</f>
        <v>-106.86485</v>
      </c>
      <c r="M113" s="89" t="str">
        <f>IF(Master[[#This Row],[Cooperator (Donor) 1 -full record]]="","",Master[[#This Row],[Cooperator (Donor) 1 -full record]])</f>
        <v>Bureau of Land Management, SOS project</v>
      </c>
    </row>
    <row r="114" spans="1:13" ht="409.5" x14ac:dyDescent="0.25">
      <c r="A114" s="89">
        <f t="shared" si="3"/>
        <v>112</v>
      </c>
      <c r="B114" s="89" t="str">
        <f>Master[[#This Row],[Accession Prefix (NPGS)]]&amp;" "&amp;Master[[#This Row],[Accession Number -Assigned]]</f>
        <v>W6 59700</v>
      </c>
      <c r="C114" s="89" t="str">
        <f>Master[[#This Row],[Inventory Prefix]]&amp;" "&amp;Master[[#This Row],[Inventory Number]]&amp;" "&amp;Master[[#This Row],[Inventory Suffix]]&amp;" "&amp;Master[[#This Row],[Inventory Type - Lookup Picker]]</f>
        <v>W6   SD</v>
      </c>
      <c r="D114" s="89" t="str">
        <f>IF(Master[[#This Row],[Accession Name (Identifier 1)]]="","",Master[[#This Row],[Accession Name (Identifier 1)]])</f>
        <v/>
      </c>
      <c r="E114" s="87">
        <f>IF(Master[[#This Row],[Date Collected or Developed]]="","",Master[[#This Row],[Date Collected or Developed]])</f>
        <v>44046</v>
      </c>
      <c r="F114" s="87">
        <f>IF(Master[[#This Row],[Received Date -received by site]]="","",Master[[#This Row],[Received Date -received by site]])</f>
        <v>44466</v>
      </c>
      <c r="G114" s="89" t="str">
        <f>IF(Master[[#This Row],[Taxon -Lookup Picker in GRIN]]="","",Master[[#This Row],[Taxon -Lookup Picker in GRIN]])</f>
        <v>Balsamorhiza sagittata</v>
      </c>
      <c r="H114" s="89" t="str">
        <f>IF(Master[[#This Row],[Inventory Maintenance Policy]]="","",Master[[#This Row],[Inventory Maintenance Policy]])</f>
        <v>w6_native</v>
      </c>
      <c r="I114" s="89" t="str">
        <f>IF(Master[[#This Row],[Geography (Collection) -Lookup Picker in GRIN]]="",#REF!,Master[[#This Row],[Geography (Collection) -Lookup Picker in GRIN]])</f>
        <v>United States, Wyoming, Johnson</v>
      </c>
      <c r="J114" s="89" t="str">
        <f>IF(Master[[#This Row],[Collector Verbatim Locality]]="","",Master[[#This Row],[Collector Verbatim Locality]])</f>
        <v>/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 along trail and throughout large clearing on hillside, continuing along ridge.</v>
      </c>
      <c r="K114" s="91">
        <f>IF(Master[[#This Row],[Latitude -decimal degrees]]="","",Master[[#This Row],[Latitude -decimal degrees]])</f>
        <v>44.091619999999999</v>
      </c>
      <c r="L114" s="91">
        <f>IF(Master[[#This Row],[Longitude -decimal degrees]]="","",Master[[#This Row],[Longitude -decimal degrees]])</f>
        <v>-106.84506</v>
      </c>
      <c r="M114" s="89" t="str">
        <f>IF(Master[[#This Row],[Cooperator (Donor) 1 -full record]]="","",Master[[#This Row],[Cooperator (Donor) 1 -full record]])</f>
        <v>Bureau of Land Management, SOS project</v>
      </c>
    </row>
    <row r="115" spans="1:13" ht="409.5" x14ac:dyDescent="0.25">
      <c r="A115" s="89">
        <f t="shared" si="3"/>
        <v>113</v>
      </c>
      <c r="B115" s="89" t="str">
        <f>Master[[#This Row],[Accession Prefix (NPGS)]]&amp;" "&amp;Master[[#This Row],[Accession Number -Assigned]]</f>
        <v>W6 59701</v>
      </c>
      <c r="C115" s="89" t="str">
        <f>Master[[#This Row],[Inventory Prefix]]&amp;" "&amp;Master[[#This Row],[Inventory Number]]&amp;" "&amp;Master[[#This Row],[Inventory Suffix]]&amp;" "&amp;Master[[#This Row],[Inventory Type - Lookup Picker]]</f>
        <v>W6   SD</v>
      </c>
      <c r="D115" s="89" t="str">
        <f>IF(Master[[#This Row],[Accession Name (Identifier 1)]]="","",Master[[#This Row],[Accession Name (Identifier 1)]])</f>
        <v/>
      </c>
      <c r="E115" s="87">
        <f>IF(Master[[#This Row],[Date Collected or Developed]]="","",Master[[#This Row],[Date Collected or Developed]])</f>
        <v>44048</v>
      </c>
      <c r="F115" s="87">
        <f>IF(Master[[#This Row],[Received Date -received by site]]="","",Master[[#This Row],[Received Date -received by site]])</f>
        <v>44466</v>
      </c>
      <c r="G115" s="89" t="str">
        <f>IF(Master[[#This Row],[Taxon -Lookup Picker in GRIN]]="","",Master[[#This Row],[Taxon -Lookup Picker in GRIN]])</f>
        <v>Ratibida columnifera</v>
      </c>
      <c r="H115" s="89" t="str">
        <f>IF(Master[[#This Row],[Inventory Maintenance Policy]]="","",Master[[#This Row],[Inventory Maintenance Policy]])</f>
        <v>w6_native</v>
      </c>
      <c r="I115" s="89" t="str">
        <f>IF(Master[[#This Row],[Geography (Collection) -Lookup Picker in GRIN]]="",#REF!,Master[[#This Row],[Geography (Collection) -Lookup Picker in GRIN]])</f>
        <v>United States, Wyoming, Campbell</v>
      </c>
      <c r="J115" s="89" t="str">
        <f>IF(Master[[#This Row],[Collector Verbatim Locality]]="","",Master[[#This Row],[Collector Verbatim Locality]])</f>
        <v>Thunder Basin National Grassland/ Weston Hills/ From Gillette, head north on US-14 W for 8 miles, then turn right (East) onto WY-59 N for 25 miles. Turn West on road across from Heald Road, and drive for about 1 mile until you reach a parking area with a pit toilet on left. Plants collected around the pond area and within 400 feet of fence to the Southeast.</v>
      </c>
      <c r="K115" s="91">
        <f>IF(Master[[#This Row],[Latitude -decimal degrees]]="","",Master[[#This Row],[Latitude -decimal degrees]])</f>
        <v>44.635289999999998</v>
      </c>
      <c r="L115" s="91">
        <f>IF(Master[[#This Row],[Longitude -decimal degrees]]="","",Master[[#This Row],[Longitude -decimal degrees]])</f>
        <v>-105.35576</v>
      </c>
      <c r="M115" s="89" t="str">
        <f>IF(Master[[#This Row],[Cooperator (Donor) 1 -full record]]="","",Master[[#This Row],[Cooperator (Donor) 1 -full record]])</f>
        <v>Bureau of Land Management, SOS project</v>
      </c>
    </row>
    <row r="116" spans="1:13" ht="409.5" x14ac:dyDescent="0.25">
      <c r="A116" s="89">
        <f t="shared" si="3"/>
        <v>114</v>
      </c>
      <c r="B116" s="89" t="str">
        <f>Master[[#This Row],[Accession Prefix (NPGS)]]&amp;" "&amp;Master[[#This Row],[Accession Number -Assigned]]</f>
        <v>W6 59702</v>
      </c>
      <c r="C116" s="89" t="str">
        <f>Master[[#This Row],[Inventory Prefix]]&amp;" "&amp;Master[[#This Row],[Inventory Number]]&amp;" "&amp;Master[[#This Row],[Inventory Suffix]]&amp;" "&amp;Master[[#This Row],[Inventory Type - Lookup Picker]]</f>
        <v>W6   SD</v>
      </c>
      <c r="D116" s="89" t="str">
        <f>IF(Master[[#This Row],[Accession Name (Identifier 1)]]="","",Master[[#This Row],[Accession Name (Identifier 1)]])</f>
        <v/>
      </c>
      <c r="E116" s="87">
        <f>IF(Master[[#This Row],[Date Collected or Developed]]="","",Master[[#This Row],[Date Collected or Developed]])</f>
        <v>44048</v>
      </c>
      <c r="F116" s="87">
        <f>IF(Master[[#This Row],[Received Date -received by site]]="","",Master[[#This Row],[Received Date -received by site]])</f>
        <v>44466</v>
      </c>
      <c r="G116" s="89" t="str">
        <f>IF(Master[[#This Row],[Taxon -Lookup Picker in GRIN]]="","",Master[[#This Row],[Taxon -Lookup Picker in GRIN]])</f>
        <v>Ratibida columnifera</v>
      </c>
      <c r="H116" s="89" t="str">
        <f>IF(Master[[#This Row],[Inventory Maintenance Policy]]="","",Master[[#This Row],[Inventory Maintenance Policy]])</f>
        <v>w6_native</v>
      </c>
      <c r="I116" s="89" t="str">
        <f>IF(Master[[#This Row],[Geography (Collection) -Lookup Picker in GRIN]]="",#REF!,Master[[#This Row],[Geography (Collection) -Lookup Picker in GRIN]])</f>
        <v>United States, Wyoming, Campbell</v>
      </c>
      <c r="J116" s="89" t="str">
        <f>IF(Master[[#This Row],[Collector Verbatim Locality]]="","",Master[[#This Row],[Collector Verbatim Locality]])</f>
        <v>/ Burnt Hollow/ From Gillette, head north on US-14 W for 8 miles. When routes divide, turn right onto Highway 59 North. Continue along Highway 59 for 13.4 miles, and turn right into parking area for South BLM unit, signs for Burnt Hollow. Collection taken mostly along dry creekbed areas.</v>
      </c>
      <c r="K116" s="91">
        <f>IF(Master[[#This Row],[Latitude -decimal degrees]]="","",Master[[#This Row],[Latitude -decimal degrees]])</f>
        <v>44.516919999999999</v>
      </c>
      <c r="L116" s="91">
        <f>IF(Master[[#This Row],[Longitude -decimal degrees]]="","",Master[[#This Row],[Longitude -decimal degrees]])</f>
        <v>-105.44336</v>
      </c>
      <c r="M116" s="89" t="str">
        <f>IF(Master[[#This Row],[Cooperator (Donor) 1 -full record]]="","",Master[[#This Row],[Cooperator (Donor) 1 -full record]])</f>
        <v>Bureau of Land Management, SOS project</v>
      </c>
    </row>
    <row r="117" spans="1:13" ht="409.5" x14ac:dyDescent="0.25">
      <c r="A117" s="89">
        <f t="shared" si="3"/>
        <v>115</v>
      </c>
      <c r="B117" s="89" t="str">
        <f>Master[[#This Row],[Accession Prefix (NPGS)]]&amp;" "&amp;Master[[#This Row],[Accession Number -Assigned]]</f>
        <v>W6 59703</v>
      </c>
      <c r="C117" s="89" t="str">
        <f>Master[[#This Row],[Inventory Prefix]]&amp;" "&amp;Master[[#This Row],[Inventory Number]]&amp;" "&amp;Master[[#This Row],[Inventory Suffix]]&amp;" "&amp;Master[[#This Row],[Inventory Type - Lookup Picker]]</f>
        <v>W6   SD</v>
      </c>
      <c r="D117" s="89" t="str">
        <f>IF(Master[[#This Row],[Accession Name (Identifier 1)]]="","",Master[[#This Row],[Accession Name (Identifier 1)]])</f>
        <v/>
      </c>
      <c r="E117" s="87">
        <f>IF(Master[[#This Row],[Date Collected or Developed]]="","",Master[[#This Row],[Date Collected or Developed]])</f>
        <v>44049</v>
      </c>
      <c r="F117" s="87">
        <f>IF(Master[[#This Row],[Received Date -received by site]]="","",Master[[#This Row],[Received Date -received by site]])</f>
        <v>44466</v>
      </c>
      <c r="G117" s="89" t="str">
        <f>IF(Master[[#This Row],[Taxon -Lookup Picker in GRIN]]="","",Master[[#This Row],[Taxon -Lookup Picker in GRIN]])</f>
        <v>Ratibida columnifera</v>
      </c>
      <c r="H117" s="89" t="str">
        <f>IF(Master[[#This Row],[Inventory Maintenance Policy]]="","",Master[[#This Row],[Inventory Maintenance Policy]])</f>
        <v>w6_native</v>
      </c>
      <c r="I117" s="89" t="str">
        <f>IF(Master[[#This Row],[Geography (Collection) -Lookup Picker in GRIN]]="",#REF!,Master[[#This Row],[Geography (Collection) -Lookup Picker in GRIN]])</f>
        <v>United States, Wyoming, Johnson</v>
      </c>
      <c r="J117" s="89" t="str">
        <f>IF(Master[[#This Row],[Collector Verbatim Locality]]="","",Master[[#This Row],[Collector Verbatim Locality]])</f>
        <v>Middle Fork Powder River Management Area/ Outlaw Cave/ From the I25 exit in Kaycee, head west on Highway 191 for about 1 mile. Turn left onto Highway 190W for about 16 miles to Barnum. Turn left onto Bar C Road and continue for 23.15 miles (following signs for Middle Fork Powder River Management Area) . This road travels directly through the headquarters of the Hole-in-the-Wall ranch. The collection was to the north/northeast side of the road, mostly in a rocky reclaimed old road, and continued along the old road for about a half mile.</v>
      </c>
      <c r="K117" s="91">
        <f>IF(Master[[#This Row],[Latitude -decimal degrees]]="","",Master[[#This Row],[Latitude -decimal degrees]])</f>
        <v>43.586930000000002</v>
      </c>
      <c r="L117" s="91">
        <f>IF(Master[[#This Row],[Longitude -decimal degrees]]="","",Master[[#This Row],[Longitude -decimal degrees]])</f>
        <v>-106.93411999999999</v>
      </c>
      <c r="M117" s="89" t="str">
        <f>IF(Master[[#This Row],[Cooperator (Donor) 1 -full record]]="","",Master[[#This Row],[Cooperator (Donor) 1 -full record]])</f>
        <v>Bureau of Land Management, SOS project</v>
      </c>
    </row>
    <row r="118" spans="1:13" ht="409.5" x14ac:dyDescent="0.25">
      <c r="A118" s="89">
        <f t="shared" si="3"/>
        <v>116</v>
      </c>
      <c r="B118" s="89" t="str">
        <f>Master[[#This Row],[Accession Prefix (NPGS)]]&amp;" "&amp;Master[[#This Row],[Accession Number -Assigned]]</f>
        <v>W6 59704</v>
      </c>
      <c r="C118" s="89" t="str">
        <f>Master[[#This Row],[Inventory Prefix]]&amp;" "&amp;Master[[#This Row],[Inventory Number]]&amp;" "&amp;Master[[#This Row],[Inventory Suffix]]&amp;" "&amp;Master[[#This Row],[Inventory Type - Lookup Picker]]</f>
        <v>W6   SD</v>
      </c>
      <c r="D118" s="89" t="str">
        <f>IF(Master[[#This Row],[Accession Name (Identifier 1)]]="","",Master[[#This Row],[Accession Name (Identifier 1)]])</f>
        <v/>
      </c>
      <c r="E118" s="87">
        <f>IF(Master[[#This Row],[Date Collected or Developed]]="","",Master[[#This Row],[Date Collected or Developed]])</f>
        <v>44053</v>
      </c>
      <c r="F118" s="87">
        <f>IF(Master[[#This Row],[Received Date -received by site]]="","",Master[[#This Row],[Received Date -received by site]])</f>
        <v>44466</v>
      </c>
      <c r="G118" s="89" t="str">
        <f>IF(Master[[#This Row],[Taxon -Lookup Picker in GRIN]]="","",Master[[#This Row],[Taxon -Lookup Picker in GRIN]])</f>
        <v>Heterotheca villosa</v>
      </c>
      <c r="H118" s="89" t="str">
        <f>IF(Master[[#This Row],[Inventory Maintenance Policy]]="","",Master[[#This Row],[Inventory Maintenance Policy]])</f>
        <v>w6_native</v>
      </c>
      <c r="I118" s="89" t="str">
        <f>IF(Master[[#This Row],[Geography (Collection) -Lookup Picker in GRIN]]="",#REF!,Master[[#This Row],[Geography (Collection) -Lookup Picker in GRIN]])</f>
        <v>United States, Wyoming, Johnson</v>
      </c>
      <c r="J118" s="89" t="str">
        <f>IF(Master[[#This Row],[Collector Verbatim Locality]]="","",Master[[#This Row],[Collector Verbatim Locality]])</f>
        <v>/ Poison Creek Trail/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v>
      </c>
      <c r="K118" s="91">
        <f>IF(Master[[#This Row],[Latitude -decimal degrees]]="","",Master[[#This Row],[Latitude -decimal degrees]])</f>
        <v>44.091619999999999</v>
      </c>
      <c r="L118" s="91">
        <f>IF(Master[[#This Row],[Longitude -decimal degrees]]="","",Master[[#This Row],[Longitude -decimal degrees]])</f>
        <v>-106.84506</v>
      </c>
      <c r="M118" s="89" t="str">
        <f>IF(Master[[#This Row],[Cooperator (Donor) 1 -full record]]="","",Master[[#This Row],[Cooperator (Donor) 1 -full record]])</f>
        <v>Bureau of Land Management, SOS project</v>
      </c>
    </row>
    <row r="119" spans="1:13" ht="409.5" x14ac:dyDescent="0.25">
      <c r="A119" s="89">
        <f t="shared" si="3"/>
        <v>117</v>
      </c>
      <c r="B119" s="89" t="str">
        <f>Master[[#This Row],[Accession Prefix (NPGS)]]&amp;" "&amp;Master[[#This Row],[Accession Number -Assigned]]</f>
        <v>W6 59705</v>
      </c>
      <c r="C119" s="89" t="str">
        <f>Master[[#This Row],[Inventory Prefix]]&amp;" "&amp;Master[[#This Row],[Inventory Number]]&amp;" "&amp;Master[[#This Row],[Inventory Suffix]]&amp;" "&amp;Master[[#This Row],[Inventory Type - Lookup Picker]]</f>
        <v>W6   SD</v>
      </c>
      <c r="D119" s="89" t="str">
        <f>IF(Master[[#This Row],[Accession Name (Identifier 1)]]="","",Master[[#This Row],[Accession Name (Identifier 1)]])</f>
        <v/>
      </c>
      <c r="E119" s="87">
        <f>IF(Master[[#This Row],[Date Collected or Developed]]="","",Master[[#This Row],[Date Collected or Developed]])</f>
        <v>44056</v>
      </c>
      <c r="F119" s="87">
        <f>IF(Master[[#This Row],[Received Date -received by site]]="","",Master[[#This Row],[Received Date -received by site]])</f>
        <v>44466</v>
      </c>
      <c r="G119" s="89" t="str">
        <f>IF(Master[[#This Row],[Taxon -Lookup Picker in GRIN]]="","",Master[[#This Row],[Taxon -Lookup Picker in GRIN]])</f>
        <v>Heterotheca villosa</v>
      </c>
      <c r="H119" s="89" t="str">
        <f>IF(Master[[#This Row],[Inventory Maintenance Policy]]="","",Master[[#This Row],[Inventory Maintenance Policy]])</f>
        <v>w6_native</v>
      </c>
      <c r="I119" s="89" t="str">
        <f>IF(Master[[#This Row],[Geography (Collection) -Lookup Picker in GRIN]]="",#REF!,Master[[#This Row],[Geography (Collection) -Lookup Picker in GRIN]])</f>
        <v>United States, Wyoming, Johnson</v>
      </c>
      <c r="J119" s="89" t="str">
        <f>IF(Master[[#This Row],[Collector Verbatim Locality]]="","",Master[[#This Row],[Collector Verbatim Locality]])</f>
        <v>Gardner Mountain/ Near Gardner Mountain Trail Head/ From Buffalo, head west on US-16 W for about 27 miles, then turn south onto Hazelton Road for 20 miles. Go straight to continue on Slip Road for 8.1 miles. Turn south onto a rough two-track, and follow two-track to left (before parking sign) to get to the collection area. Collect for several hundred feet on both sides of road.</v>
      </c>
      <c r="K119" s="91">
        <f>IF(Master[[#This Row],[Latitude -decimal degrees]]="","",Master[[#This Row],[Latitude -decimal degrees]])</f>
        <v>43.841180000000001</v>
      </c>
      <c r="L119" s="91">
        <f>IF(Master[[#This Row],[Longitude -decimal degrees]]="","",Master[[#This Row],[Longitude -decimal degrees]])</f>
        <v>-106.93975</v>
      </c>
      <c r="M119" s="89" t="str">
        <f>IF(Master[[#This Row],[Cooperator (Donor) 1 -full record]]="","",Master[[#This Row],[Cooperator (Donor) 1 -full record]])</f>
        <v>Bureau of Land Management, SOS project</v>
      </c>
    </row>
    <row r="120" spans="1:13" ht="409.5" x14ac:dyDescent="0.25">
      <c r="A120" s="89">
        <f t="shared" si="3"/>
        <v>118</v>
      </c>
      <c r="B120" s="89" t="str">
        <f>Master[[#This Row],[Accession Prefix (NPGS)]]&amp;" "&amp;Master[[#This Row],[Accession Number -Assigned]]</f>
        <v>W6 59706</v>
      </c>
      <c r="C120" s="89" t="str">
        <f>Master[[#This Row],[Inventory Prefix]]&amp;" "&amp;Master[[#This Row],[Inventory Number]]&amp;" "&amp;Master[[#This Row],[Inventory Suffix]]&amp;" "&amp;Master[[#This Row],[Inventory Type - Lookup Picker]]</f>
        <v>W6   SD</v>
      </c>
      <c r="D120" s="89" t="str">
        <f>IF(Master[[#This Row],[Accession Name (Identifier 1)]]="","",Master[[#This Row],[Accession Name (Identifier 1)]])</f>
        <v/>
      </c>
      <c r="E120" s="87">
        <f>IF(Master[[#This Row],[Date Collected or Developed]]="","",Master[[#This Row],[Date Collected or Developed]])</f>
        <v>44060</v>
      </c>
      <c r="F120" s="87">
        <f>IF(Master[[#This Row],[Received Date -received by site]]="","",Master[[#This Row],[Received Date -received by site]])</f>
        <v>44466</v>
      </c>
      <c r="G120" s="89" t="str">
        <f>IF(Master[[#This Row],[Taxon -Lookup Picker in GRIN]]="","",Master[[#This Row],[Taxon -Lookup Picker in GRIN]])</f>
        <v>Heterotheca villosa</v>
      </c>
      <c r="H120" s="89" t="str">
        <f>IF(Master[[#This Row],[Inventory Maintenance Policy]]="","",Master[[#This Row],[Inventory Maintenance Policy]])</f>
        <v>w6_native</v>
      </c>
      <c r="I120" s="89" t="str">
        <f>IF(Master[[#This Row],[Geography (Collection) -Lookup Picker in GRIN]]="",#REF!,Master[[#This Row],[Geography (Collection) -Lookup Picker in GRIN]])</f>
        <v>United States, Wyoming, Johnson</v>
      </c>
      <c r="J120" s="89" t="str">
        <f>IF(Master[[#This Row],[Collector Verbatim Locality]]="","",Master[[#This Row],[Collector Verbatim Locality]])</f>
        <v>Mosier Gulch/ Clear Creek Trail/ From Buffalo, head west onto US-16W for about 5 miles. Turn left (South) into Mosier Gulch Recreation Area. Drive all the way to the end of the road and park near turnaround. Walk over wooden bridge crossing creekbed, and collect in area within 100 feet of both sides of the trail.</v>
      </c>
      <c r="K120" s="91">
        <f>IF(Master[[#This Row],[Latitude -decimal degrees]]="","",Master[[#This Row],[Latitude -decimal degrees]])</f>
        <v>44.328679999999999</v>
      </c>
      <c r="L120" s="91">
        <f>IF(Master[[#This Row],[Longitude -decimal degrees]]="","",Master[[#This Row],[Longitude -decimal degrees]])</f>
        <v>-106.81099</v>
      </c>
      <c r="M120" s="89" t="str">
        <f>IF(Master[[#This Row],[Cooperator (Donor) 1 -full record]]="","",Master[[#This Row],[Cooperator (Donor) 1 -full record]])</f>
        <v>Bureau of Land Management, SOS project</v>
      </c>
    </row>
    <row r="121" spans="1:13" ht="360" x14ac:dyDescent="0.25">
      <c r="A121" s="89">
        <f t="shared" si="3"/>
        <v>119</v>
      </c>
      <c r="B121" s="89" t="str">
        <f>Master[[#This Row],[Accession Prefix (NPGS)]]&amp;" "&amp;Master[[#This Row],[Accession Number -Assigned]]</f>
        <v>W6 59707</v>
      </c>
      <c r="C121" s="89" t="str">
        <f>Master[[#This Row],[Inventory Prefix]]&amp;" "&amp;Master[[#This Row],[Inventory Number]]&amp;" "&amp;Master[[#This Row],[Inventory Suffix]]&amp;" "&amp;Master[[#This Row],[Inventory Type - Lookup Picker]]</f>
        <v>W6   SD</v>
      </c>
      <c r="D121" s="89" t="str">
        <f>IF(Master[[#This Row],[Accession Name (Identifier 1)]]="","",Master[[#This Row],[Accession Name (Identifier 1)]])</f>
        <v/>
      </c>
      <c r="E121" s="87">
        <f>IF(Master[[#This Row],[Date Collected or Developed]]="","",Master[[#This Row],[Date Collected or Developed]])</f>
        <v>44060</v>
      </c>
      <c r="F121" s="87">
        <f>IF(Master[[#This Row],[Received Date -received by site]]="","",Master[[#This Row],[Received Date -received by site]])</f>
        <v>44466</v>
      </c>
      <c r="G121" s="89" t="str">
        <f>IF(Master[[#This Row],[Taxon -Lookup Picker in GRIN]]="","",Master[[#This Row],[Taxon -Lookup Picker in GRIN]])</f>
        <v>Heterotheca villosa</v>
      </c>
      <c r="H121" s="89" t="str">
        <f>IF(Master[[#This Row],[Inventory Maintenance Policy]]="","",Master[[#This Row],[Inventory Maintenance Policy]])</f>
        <v>w6_native</v>
      </c>
      <c r="I121" s="89" t="str">
        <f>IF(Master[[#This Row],[Geography (Collection) -Lookup Picker in GRIN]]="",#REF!,Master[[#This Row],[Geography (Collection) -Lookup Picker in GRIN]])</f>
        <v>United States, Wyoming, Johnson</v>
      </c>
      <c r="J121" s="89" t="str">
        <f>IF(Master[[#This Row],[Collector Verbatim Locality]]="","",Master[[#This Row],[Collector Verbatim Locality]])</f>
        <v>Gardner Mountain/ Slip Road/ From Kaycee, take WY-191 N for 12 miles. Continue straight on Mayworth Road for 3 miles, and slight left onto Slip Road for 8.5 miles. Collections occurred on both sides of the road for approximately 600 feet.</v>
      </c>
      <c r="K121" s="91">
        <f>IF(Master[[#This Row],[Latitude -decimal degrees]]="","",Master[[#This Row],[Latitude -decimal degrees]])</f>
        <v>43.860970000000002</v>
      </c>
      <c r="L121" s="91">
        <f>IF(Master[[#This Row],[Longitude -decimal degrees]]="","",Master[[#This Row],[Longitude -decimal degrees]])</f>
        <v>-106.96447999999999</v>
      </c>
      <c r="M121" s="89" t="str">
        <f>IF(Master[[#This Row],[Cooperator (Donor) 1 -full record]]="","",Master[[#This Row],[Cooperator (Donor) 1 -full record]])</f>
        <v>Bureau of Land Management, SOS project</v>
      </c>
    </row>
    <row r="122" spans="1:13" ht="409.5" x14ac:dyDescent="0.25">
      <c r="A122" s="89">
        <f t="shared" si="3"/>
        <v>120</v>
      </c>
      <c r="B122" s="89" t="str">
        <f>Master[[#This Row],[Accession Prefix (NPGS)]]&amp;" "&amp;Master[[#This Row],[Accession Number -Assigned]]</f>
        <v>W6 59708</v>
      </c>
      <c r="C122" s="89" t="str">
        <f>Master[[#This Row],[Inventory Prefix]]&amp;" "&amp;Master[[#This Row],[Inventory Number]]&amp;" "&amp;Master[[#This Row],[Inventory Suffix]]&amp;" "&amp;Master[[#This Row],[Inventory Type - Lookup Picker]]</f>
        <v>W6   SD</v>
      </c>
      <c r="D122" s="89" t="str">
        <f>IF(Master[[#This Row],[Accession Name (Identifier 1)]]="","",Master[[#This Row],[Accession Name (Identifier 1)]])</f>
        <v/>
      </c>
      <c r="E122" s="87">
        <f>IF(Master[[#This Row],[Date Collected or Developed]]="","",Master[[#This Row],[Date Collected or Developed]])</f>
        <v>44061</v>
      </c>
      <c r="F122" s="87">
        <f>IF(Master[[#This Row],[Received Date -received by site]]="","",Master[[#This Row],[Received Date -received by site]])</f>
        <v>44466</v>
      </c>
      <c r="G122" s="89" t="str">
        <f>IF(Master[[#This Row],[Taxon -Lookup Picker in GRIN]]="","",Master[[#This Row],[Taxon -Lookup Picker in GRIN]])</f>
        <v>Ratibida columnifera</v>
      </c>
      <c r="H122" s="89" t="str">
        <f>IF(Master[[#This Row],[Inventory Maintenance Policy]]="","",Master[[#This Row],[Inventory Maintenance Policy]])</f>
        <v>w6_native</v>
      </c>
      <c r="I122" s="89" t="str">
        <f>IF(Master[[#This Row],[Geography (Collection) -Lookup Picker in GRIN]]="",#REF!,Master[[#This Row],[Geography (Collection) -Lookup Picker in GRIN]])</f>
        <v>United States, Wyoming, Campbell</v>
      </c>
      <c r="J122" s="89" t="str">
        <f>IF(Master[[#This Row],[Collector Verbatim Locality]]="","",Master[[#This Row],[Collector Verbatim Locality]])</f>
        <v>Burnt Hollow/ / From Gillette, head north on US-14 W for 8 miles, then turn Northeast onto WY-59 N for 16 miles. Turn right onto Oil Field Road, into parking lot. Park near gate, and collect in the grassy area Southwest of the parking area, in moist depressions and channels.</v>
      </c>
      <c r="K122" s="91">
        <f>IF(Master[[#This Row],[Latitude -decimal degrees]]="","",Master[[#This Row],[Latitude -decimal degrees]])</f>
        <v>44.53913</v>
      </c>
      <c r="L122" s="91">
        <f>IF(Master[[#This Row],[Longitude -decimal degrees]]="","",Master[[#This Row],[Longitude -decimal degrees]])</f>
        <v>-105.40682</v>
      </c>
      <c r="M122" s="89" t="str">
        <f>IF(Master[[#This Row],[Cooperator (Donor) 1 -full record]]="","",Master[[#This Row],[Cooperator (Donor) 1 -full record]])</f>
        <v>Bureau of Land Management, SOS project</v>
      </c>
    </row>
    <row r="123" spans="1:13" ht="409.5" x14ac:dyDescent="0.25">
      <c r="A123" s="89">
        <f t="shared" si="3"/>
        <v>121</v>
      </c>
      <c r="B123" s="89" t="str">
        <f>Master[[#This Row],[Accession Prefix (NPGS)]]&amp;" "&amp;Master[[#This Row],[Accession Number -Assigned]]</f>
        <v>W6 59709</v>
      </c>
      <c r="C123" s="89" t="str">
        <f>Master[[#This Row],[Inventory Prefix]]&amp;" "&amp;Master[[#This Row],[Inventory Number]]&amp;" "&amp;Master[[#This Row],[Inventory Suffix]]&amp;" "&amp;Master[[#This Row],[Inventory Type - Lookup Picker]]</f>
        <v>W6   SD</v>
      </c>
      <c r="D123" s="89" t="str">
        <f>IF(Master[[#This Row],[Accession Name (Identifier 1)]]="","",Master[[#This Row],[Accession Name (Identifier 1)]])</f>
        <v/>
      </c>
      <c r="E123" s="87">
        <f>IF(Master[[#This Row],[Date Collected or Developed]]="","",Master[[#This Row],[Date Collected or Developed]])</f>
        <v>44062</v>
      </c>
      <c r="F123" s="87">
        <f>IF(Master[[#This Row],[Received Date -received by site]]="","",Master[[#This Row],[Received Date -received by site]])</f>
        <v>44466</v>
      </c>
      <c r="G123" s="89" t="str">
        <f>IF(Master[[#This Row],[Taxon -Lookup Picker in GRIN]]="","",Master[[#This Row],[Taxon -Lookup Picker in GRIN]])</f>
        <v>Achillea millefolium</v>
      </c>
      <c r="H123" s="89" t="str">
        <f>IF(Master[[#This Row],[Inventory Maintenance Policy]]="","",Master[[#This Row],[Inventory Maintenance Policy]])</f>
        <v>w6_native</v>
      </c>
      <c r="I123" s="89" t="str">
        <f>IF(Master[[#This Row],[Geography (Collection) -Lookup Picker in GRIN]]="",#REF!,Master[[#This Row],[Geography (Collection) -Lookup Picker in GRIN]])</f>
        <v>United States, Wyoming, Johnson</v>
      </c>
      <c r="J123" s="89" t="str">
        <f>IF(Master[[#This Row],[Collector Verbatim Locality]]="","",Master[[#This Row],[Collector Verbatim Locality]])</f>
        <v>Poison Creek Trail/ / From Buffalo, take Highway 16 West to Hazelton Road. Turn south onto Hazelton Road and travel approximately 0.7 mile, then turn left onto FS Road 466(sign for Johnson County Youth Camp). After about 3 miles, turn left onto Billy Creek Road. The trailhead and parking area will be about 3.5 miles on your right. Collected within 100 feet of trail for up to a half mile, and in large clearing, and along ridge.</v>
      </c>
      <c r="K123" s="91">
        <f>IF(Master[[#This Row],[Latitude -decimal degrees]]="","",Master[[#This Row],[Latitude -decimal degrees]])</f>
        <v>44.091619999999999</v>
      </c>
      <c r="L123" s="91">
        <f>IF(Master[[#This Row],[Longitude -decimal degrees]]="","",Master[[#This Row],[Longitude -decimal degrees]])</f>
        <v>-106.84506</v>
      </c>
      <c r="M123" s="89" t="str">
        <f>IF(Master[[#This Row],[Cooperator (Donor) 1 -full record]]="","",Master[[#This Row],[Cooperator (Donor) 1 -full record]])</f>
        <v>Bureau of Land Management, SOS project</v>
      </c>
    </row>
    <row r="124" spans="1:13" ht="409.5" x14ac:dyDescent="0.25">
      <c r="A124" s="89">
        <f t="shared" si="3"/>
        <v>122</v>
      </c>
      <c r="B124" s="89" t="str">
        <f>Master[[#This Row],[Accession Prefix (NPGS)]]&amp;" "&amp;Master[[#This Row],[Accession Number -Assigned]]</f>
        <v>W6 59710</v>
      </c>
      <c r="C124" s="89" t="str">
        <f>Master[[#This Row],[Inventory Prefix]]&amp;" "&amp;Master[[#This Row],[Inventory Number]]&amp;" "&amp;Master[[#This Row],[Inventory Suffix]]&amp;" "&amp;Master[[#This Row],[Inventory Type - Lookup Picker]]</f>
        <v>W6   SD</v>
      </c>
      <c r="D124" s="89" t="str">
        <f>IF(Master[[#This Row],[Accession Name (Identifier 1)]]="","",Master[[#This Row],[Accession Name (Identifier 1)]])</f>
        <v/>
      </c>
      <c r="E124" s="87">
        <f>IF(Master[[#This Row],[Date Collected or Developed]]="","",Master[[#This Row],[Date Collected or Developed]])</f>
        <v>44067</v>
      </c>
      <c r="F124" s="87">
        <f>IF(Master[[#This Row],[Received Date -received by site]]="","",Master[[#This Row],[Received Date -received by site]])</f>
        <v>44466</v>
      </c>
      <c r="G124" s="89" t="str">
        <f>IF(Master[[#This Row],[Taxon -Lookup Picker in GRIN]]="","",Master[[#This Row],[Taxon -Lookup Picker in GRIN]])</f>
        <v>Heterotheca villosa</v>
      </c>
      <c r="H124" s="89" t="str">
        <f>IF(Master[[#This Row],[Inventory Maintenance Policy]]="","",Master[[#This Row],[Inventory Maintenance Policy]])</f>
        <v>w6_native</v>
      </c>
      <c r="I124" s="89" t="str">
        <f>IF(Master[[#This Row],[Geography (Collection) -Lookup Picker in GRIN]]="",#REF!,Master[[#This Row],[Geography (Collection) -Lookup Picker in GRIN]])</f>
        <v>United States, Wyoming, Sheridan</v>
      </c>
      <c r="J124" s="89" t="str">
        <f>IF(Master[[#This Row],[Collector Verbatim Locality]]="","",Master[[#This Row],[Collector Verbatim Locality]])</f>
        <v>Bighorn National Forest/ Steamboat Point Trail/ From Sheridan, take I-90 W for 14.5 mi. Take exit for US-14 W towards Dayton, and follow for 19.3 miles. Parking area for Steamboat Point Trail located on right (north) side of road. Collection took place on slope following the trail, approximately 800 feet from the parking lot.</v>
      </c>
      <c r="K124" s="91">
        <f>IF(Master[[#This Row],[Latitude -decimal degrees]]="","",Master[[#This Row],[Latitude -decimal degrees]])</f>
        <v>44.803660000000001</v>
      </c>
      <c r="L124" s="91">
        <f>IF(Master[[#This Row],[Longitude -decimal degrees]]="","",Master[[#This Row],[Longitude -decimal degrees]])</f>
        <v>-107.36359</v>
      </c>
      <c r="M124" s="89" t="str">
        <f>IF(Master[[#This Row],[Cooperator (Donor) 1 -full record]]="","",Master[[#This Row],[Cooperator (Donor) 1 -full record]])</f>
        <v>Bureau of Land Management, SOS project</v>
      </c>
    </row>
    <row r="125" spans="1:13" ht="409.5" x14ac:dyDescent="0.25">
      <c r="A125" s="89">
        <f t="shared" si="3"/>
        <v>123</v>
      </c>
      <c r="B125" s="89" t="str">
        <f>Master[[#This Row],[Accession Prefix (NPGS)]]&amp;" "&amp;Master[[#This Row],[Accession Number -Assigned]]</f>
        <v>W6 59711</v>
      </c>
      <c r="C125" s="89" t="str">
        <f>Master[[#This Row],[Inventory Prefix]]&amp;" "&amp;Master[[#This Row],[Inventory Number]]&amp;" "&amp;Master[[#This Row],[Inventory Suffix]]&amp;" "&amp;Master[[#This Row],[Inventory Type - Lookup Picker]]</f>
        <v>W6   SD</v>
      </c>
      <c r="D125" s="89" t="str">
        <f>IF(Master[[#This Row],[Accession Name (Identifier 1)]]="","",Master[[#This Row],[Accession Name (Identifier 1)]])</f>
        <v/>
      </c>
      <c r="E125" s="87">
        <f>IF(Master[[#This Row],[Date Collected or Developed]]="","",Master[[#This Row],[Date Collected or Developed]])</f>
        <v>44070</v>
      </c>
      <c r="F125" s="87">
        <f>IF(Master[[#This Row],[Received Date -received by site]]="","",Master[[#This Row],[Received Date -received by site]])</f>
        <v>44466</v>
      </c>
      <c r="G125" s="89" t="str">
        <f>IF(Master[[#This Row],[Taxon -Lookup Picker in GRIN]]="","",Master[[#This Row],[Taxon -Lookup Picker in GRIN]])</f>
        <v>Achillea millefolium</v>
      </c>
      <c r="H125" s="89" t="str">
        <f>IF(Master[[#This Row],[Inventory Maintenance Policy]]="","",Master[[#This Row],[Inventory Maintenance Policy]])</f>
        <v>w6_native</v>
      </c>
      <c r="I125" s="89" t="str">
        <f>IF(Master[[#This Row],[Geography (Collection) -Lookup Picker in GRIN]]="",#REF!,Master[[#This Row],[Geography (Collection) -Lookup Picker in GRIN]])</f>
        <v>United States, Wyoming, Johnson</v>
      </c>
      <c r="J125" s="89" t="str">
        <f>IF(Master[[#This Row],[Collector Verbatim Locality]]="","",Master[[#This Row],[Collector Verbatim Locality]])</f>
        <v>Tie Hack Recreation Area/ / From Buffalo, head west on US-16 W for about 15 miles. Turn left (South) onto Tie Hack Road for 0.6 miles, then veer left to stay on Tie Hack Road for another mile until you reach the parking area nearest the reservoir. Follow the trail along the north side of the lake for 1500 feet, collecting near trail between the water and treeline.</v>
      </c>
      <c r="K125" s="91">
        <f>IF(Master[[#This Row],[Latitude -decimal degrees]]="","",Master[[#This Row],[Latitude -decimal degrees]])</f>
        <v>44.284910000000004</v>
      </c>
      <c r="L125" s="91">
        <f>IF(Master[[#This Row],[Longitude -decimal degrees]]="","",Master[[#This Row],[Longitude -decimal degrees]])</f>
        <v>-106.92558</v>
      </c>
      <c r="M125" s="89" t="str">
        <f>IF(Master[[#This Row],[Cooperator (Donor) 1 -full record]]="","",Master[[#This Row],[Cooperator (Donor) 1 -full record]])</f>
        <v>Bureau of Land Management, SOS project</v>
      </c>
    </row>
    <row r="126" spans="1:13" ht="409.5" x14ac:dyDescent="0.25">
      <c r="A126" s="89">
        <f t="shared" si="3"/>
        <v>124</v>
      </c>
      <c r="B126" s="89" t="str">
        <f>Master[[#This Row],[Accession Prefix (NPGS)]]&amp;" "&amp;Master[[#This Row],[Accession Number -Assigned]]</f>
        <v>W6 59712</v>
      </c>
      <c r="C126" s="89" t="str">
        <f>Master[[#This Row],[Inventory Prefix]]&amp;" "&amp;Master[[#This Row],[Inventory Number]]&amp;" "&amp;Master[[#This Row],[Inventory Suffix]]&amp;" "&amp;Master[[#This Row],[Inventory Type - Lookup Picker]]</f>
        <v>W6   SD</v>
      </c>
      <c r="D126" s="89" t="str">
        <f>IF(Master[[#This Row],[Accession Name (Identifier 1)]]="","",Master[[#This Row],[Accession Name (Identifier 1)]])</f>
        <v/>
      </c>
      <c r="E126" s="87">
        <f>IF(Master[[#This Row],[Date Collected or Developed]]="","",Master[[#This Row],[Date Collected or Developed]])</f>
        <v>44075</v>
      </c>
      <c r="F126" s="87">
        <f>IF(Master[[#This Row],[Received Date -received by site]]="","",Master[[#This Row],[Received Date -received by site]])</f>
        <v>44466</v>
      </c>
      <c r="G126" s="89" t="str">
        <f>IF(Master[[#This Row],[Taxon -Lookup Picker in GRIN]]="","",Master[[#This Row],[Taxon -Lookup Picker in GRIN]])</f>
        <v>Achillea millefolium</v>
      </c>
      <c r="H126" s="89" t="str">
        <f>IF(Master[[#This Row],[Inventory Maintenance Policy]]="","",Master[[#This Row],[Inventory Maintenance Policy]])</f>
        <v>w6_native</v>
      </c>
      <c r="I126" s="89" t="str">
        <f>IF(Master[[#This Row],[Geography (Collection) -Lookup Picker in GRIN]]="",#REF!,Master[[#This Row],[Geography (Collection) -Lookup Picker in GRIN]])</f>
        <v>United States, Wyoming, Sheridan</v>
      </c>
      <c r="J126" s="89" t="str">
        <f>IF(Master[[#This Row],[Collector Verbatim Locality]]="","",Master[[#This Row],[Collector Verbatim Locality]])</f>
        <v>Bighorn National Forest/ Steamboat Point Trail - #630/ From Sheridan, take I-90 W for 14.5 mi. Take exit for US-14 W towards Dayton, and follow for 19.3 miles. Parking area for Steamboat Point Trail located on right (north) side of road. Collection took place on slope following the trail, approximately 800 feet from the parking lot.</v>
      </c>
      <c r="K126" s="91">
        <f>IF(Master[[#This Row],[Latitude -decimal degrees]]="","",Master[[#This Row],[Latitude -decimal degrees]])</f>
        <v>44.803669999999997</v>
      </c>
      <c r="L126" s="91">
        <f>IF(Master[[#This Row],[Longitude -decimal degrees]]="","",Master[[#This Row],[Longitude -decimal degrees]])</f>
        <v>-107.36360000000001</v>
      </c>
      <c r="M126" s="89" t="str">
        <f>IF(Master[[#This Row],[Cooperator (Donor) 1 -full record]]="","",Master[[#This Row],[Cooperator (Donor) 1 -full record]])</f>
        <v>Bureau of Land Management, SOS project</v>
      </c>
    </row>
    <row r="127" spans="1:13" ht="390" x14ac:dyDescent="0.25">
      <c r="A127" s="89">
        <f t="shared" si="3"/>
        <v>125</v>
      </c>
      <c r="B127" s="89" t="str">
        <f>Master[[#This Row],[Accession Prefix (NPGS)]]&amp;" "&amp;Master[[#This Row],[Accession Number -Assigned]]</f>
        <v>W6 59713</v>
      </c>
      <c r="C127" s="89" t="str">
        <f>Master[[#This Row],[Inventory Prefix]]&amp;" "&amp;Master[[#This Row],[Inventory Number]]&amp;" "&amp;Master[[#This Row],[Inventory Suffix]]&amp;" "&amp;Master[[#This Row],[Inventory Type - Lookup Picker]]</f>
        <v>W6   SD</v>
      </c>
      <c r="D127" s="89" t="str">
        <f>IF(Master[[#This Row],[Accession Name (Identifier 1)]]="","",Master[[#This Row],[Accession Name (Identifier 1)]])</f>
        <v/>
      </c>
      <c r="E127" s="87">
        <f>IF(Master[[#This Row],[Date Collected or Developed]]="","",Master[[#This Row],[Date Collected or Developed]])</f>
        <v>44046</v>
      </c>
      <c r="F127" s="87">
        <f>IF(Master[[#This Row],[Received Date -received by site]]="","",Master[[#This Row],[Received Date -received by site]])</f>
        <v>44466</v>
      </c>
      <c r="G127" s="89" t="str">
        <f>IF(Master[[#This Row],[Taxon -Lookup Picker in GRIN]]="","",Master[[#This Row],[Taxon -Lookup Picker in GRIN]])</f>
        <v>Linum lewisii</v>
      </c>
      <c r="H127" s="89" t="str">
        <f>IF(Master[[#This Row],[Inventory Maintenance Policy]]="","",Master[[#This Row],[Inventory Maintenance Policy]])</f>
        <v>w6_native</v>
      </c>
      <c r="I127" s="89" t="str">
        <f>IF(Master[[#This Row],[Geography (Collection) -Lookup Picker in GRIN]]="",#REF!,Master[[#This Row],[Geography (Collection) -Lookup Picker in GRIN]])</f>
        <v>United States, Wyoming, Lincoln</v>
      </c>
      <c r="J127" s="89" t="str">
        <f>IF(Master[[#This Row],[Collector Verbatim Locality]]="","",Master[[#This Row],[Collector Verbatim Locality]])</f>
        <v>BLM/ / From Alt30/189 Junction in Kemmerer, take 189 N 5 miles, turning NW on County Road 306 (CR 306). In .1 miles bear W at fork onto Farm Field Road. At next immediate junction, bear W again for 1.18 miles. Take two-track bearing E/NE for .09 miles.</v>
      </c>
      <c r="K127" s="91">
        <f>IF(Master[[#This Row],[Latitude -decimal degrees]]="","",Master[[#This Row],[Latitude -decimal degrees]])</f>
        <v>41.86307</v>
      </c>
      <c r="L127" s="91">
        <f>IF(Master[[#This Row],[Longitude -decimal degrees]]="","",Master[[#This Row],[Longitude -decimal degrees]])</f>
        <v>-110.54873000000001</v>
      </c>
      <c r="M127" s="89" t="str">
        <f>IF(Master[[#This Row],[Cooperator (Donor) 1 -full record]]="","",Master[[#This Row],[Cooperator (Donor) 1 -full record]])</f>
        <v>Bureau of Land Management, SOS project</v>
      </c>
    </row>
    <row r="128" spans="1:13" ht="409.5" x14ac:dyDescent="0.25">
      <c r="A128" s="89">
        <f t="shared" si="3"/>
        <v>126</v>
      </c>
      <c r="B128" s="89" t="str">
        <f>Master[[#This Row],[Accession Prefix (NPGS)]]&amp;" "&amp;Master[[#This Row],[Accession Number -Assigned]]</f>
        <v>W6 59714</v>
      </c>
      <c r="C128" s="89" t="str">
        <f>Master[[#This Row],[Inventory Prefix]]&amp;" "&amp;Master[[#This Row],[Inventory Number]]&amp;" "&amp;Master[[#This Row],[Inventory Suffix]]&amp;" "&amp;Master[[#This Row],[Inventory Type - Lookup Picker]]</f>
        <v>W6   SD</v>
      </c>
      <c r="D128" s="89" t="str">
        <f>IF(Master[[#This Row],[Accession Name (Identifier 1)]]="","",Master[[#This Row],[Accession Name (Identifier 1)]])</f>
        <v/>
      </c>
      <c r="E128" s="87">
        <f>IF(Master[[#This Row],[Date Collected or Developed]]="","",Master[[#This Row],[Date Collected or Developed]])</f>
        <v>44048</v>
      </c>
      <c r="F128" s="87">
        <f>IF(Master[[#This Row],[Received Date -received by site]]="","",Master[[#This Row],[Received Date -received by site]])</f>
        <v>44466</v>
      </c>
      <c r="G128" s="89" t="str">
        <f>IF(Master[[#This Row],[Taxon -Lookup Picker in GRIN]]="","",Master[[#This Row],[Taxon -Lookup Picker in GRIN]])</f>
        <v>Lomatium dissectum</v>
      </c>
      <c r="H128" s="89" t="str">
        <f>IF(Master[[#This Row],[Inventory Maintenance Policy]]="","",Master[[#This Row],[Inventory Maintenance Policy]])</f>
        <v>w6_native</v>
      </c>
      <c r="I128" s="89" t="str">
        <f>IF(Master[[#This Row],[Geography (Collection) -Lookup Picker in GRIN]]="",#REF!,Master[[#This Row],[Geography (Collection) -Lookup Picker in GRIN]])</f>
        <v>United States, Wyoming, Lincoln</v>
      </c>
      <c r="J128" s="89" t="str">
        <f>IF(Master[[#This Row],[Collector Verbatim Locality]]="","",Master[[#This Row],[Collector Verbatim Locality]])</f>
        <v>/ / From Cokeville, WY, take HWY 232 N/NE 5.3 miles; turn NE onto a gravel road that crosses a cattle guard. Follow this road for 1.5 miles, where meets another gravel road going E, follow for 1.7 miles. After the fence line in about .2 miles is a fork, bear SE following this two-track .7 miles. At this junction head north until the road ends. From there it is roughly .5 miles down the mountain on foot.</v>
      </c>
      <c r="K128" s="91">
        <f>IF(Master[[#This Row],[Latitude -decimal degrees]]="","",Master[[#This Row],[Latitude -decimal degrees]])</f>
        <v>42.166969999999999</v>
      </c>
      <c r="L128" s="91">
        <f>IF(Master[[#This Row],[Longitude -decimal degrees]]="","",Master[[#This Row],[Longitude -decimal degrees]])</f>
        <v>-110.83566</v>
      </c>
      <c r="M128" s="89" t="str">
        <f>IF(Master[[#This Row],[Cooperator (Donor) 1 -full record]]="","",Master[[#This Row],[Cooperator (Donor) 1 -full record]])</f>
        <v>Bureau of Land Management, SOS project</v>
      </c>
    </row>
    <row r="129" spans="1:13" ht="405" x14ac:dyDescent="0.25">
      <c r="A129" s="89">
        <f t="shared" si="3"/>
        <v>127</v>
      </c>
      <c r="B129" s="89" t="str">
        <f>Master[[#This Row],[Accession Prefix (NPGS)]]&amp;" "&amp;Master[[#This Row],[Accession Number -Assigned]]</f>
        <v>W6 59715</v>
      </c>
      <c r="C129" s="89" t="str">
        <f>Master[[#This Row],[Inventory Prefix]]&amp;" "&amp;Master[[#This Row],[Inventory Number]]&amp;" "&amp;Master[[#This Row],[Inventory Suffix]]&amp;" "&amp;Master[[#This Row],[Inventory Type - Lookup Picker]]</f>
        <v>W6   SD</v>
      </c>
      <c r="D129" s="89" t="str">
        <f>IF(Master[[#This Row],[Accession Name (Identifier 1)]]="","",Master[[#This Row],[Accession Name (Identifier 1)]])</f>
        <v/>
      </c>
      <c r="E129" s="87">
        <f>IF(Master[[#This Row],[Date Collected or Developed]]="","",Master[[#This Row],[Date Collected or Developed]])</f>
        <v>44055</v>
      </c>
      <c r="F129" s="87">
        <f>IF(Master[[#This Row],[Received Date -received by site]]="","",Master[[#This Row],[Received Date -received by site]])</f>
        <v>44466</v>
      </c>
      <c r="G129" s="89" t="str">
        <f>IF(Master[[#This Row],[Taxon -Lookup Picker in GRIN]]="","",Master[[#This Row],[Taxon -Lookup Picker in GRIN]])</f>
        <v>Linum lewisii</v>
      </c>
      <c r="H129" s="89" t="str">
        <f>IF(Master[[#This Row],[Inventory Maintenance Policy]]="","",Master[[#This Row],[Inventory Maintenance Policy]])</f>
        <v>w6_native</v>
      </c>
      <c r="I129" s="89" t="str">
        <f>IF(Master[[#This Row],[Geography (Collection) -Lookup Picker in GRIN]]="",#REF!,Master[[#This Row],[Geography (Collection) -Lookup Picker in GRIN]])</f>
        <v>United States, Wyoming, Lincoln</v>
      </c>
      <c r="J129" s="89" t="str">
        <f>IF(Master[[#This Row],[Collector Verbatim Locality]]="","",Master[[#This Row],[Collector Verbatim Locality]])</f>
        <v>BLM/ / From 30/189 split in Kemmerer, travel .75 miles, turning onto WY-233N. Turn NW on Dempsey road in 3.8 miles. Follow Dempsey road for 4.94 miles. Turn N onto a two-track, follow for .26 miles. At this point you will turn W/NW onto another two-track for .17 miles.</v>
      </c>
      <c r="K129" s="91">
        <f>IF(Master[[#This Row],[Latitude -decimal degrees]]="","",Master[[#This Row],[Latitude -decimal degrees]])</f>
        <v>41.892189999999999</v>
      </c>
      <c r="L129" s="91">
        <f>IF(Master[[#This Row],[Longitude -decimal degrees]]="","",Master[[#This Row],[Longitude -decimal degrees]])</f>
        <v>-110.63723</v>
      </c>
      <c r="M129" s="89" t="str">
        <f>IF(Master[[#This Row],[Cooperator (Donor) 1 -full record]]="","",Master[[#This Row],[Cooperator (Donor) 1 -full record]])</f>
        <v>Bureau of Land Management, SOS project</v>
      </c>
    </row>
    <row r="130" spans="1:13" ht="409.5" x14ac:dyDescent="0.25">
      <c r="A130" s="89">
        <f t="shared" ref="A130:A161" si="4">ROW()-2</f>
        <v>128</v>
      </c>
      <c r="B130" s="89" t="str">
        <f>Master[[#This Row],[Accession Prefix (NPGS)]]&amp;" "&amp;Master[[#This Row],[Accession Number -Assigned]]</f>
        <v>W6 59716</v>
      </c>
      <c r="C130" s="89" t="str">
        <f>Master[[#This Row],[Inventory Prefix]]&amp;" "&amp;Master[[#This Row],[Inventory Number]]&amp;" "&amp;Master[[#This Row],[Inventory Suffix]]&amp;" "&amp;Master[[#This Row],[Inventory Type - Lookup Picker]]</f>
        <v>W6   SD</v>
      </c>
      <c r="D130" s="89" t="str">
        <f>IF(Master[[#This Row],[Accession Name (Identifier 1)]]="","",Master[[#This Row],[Accession Name (Identifier 1)]])</f>
        <v/>
      </c>
      <c r="E130" s="87">
        <f>IF(Master[[#This Row],[Date Collected or Developed]]="","",Master[[#This Row],[Date Collected or Developed]])</f>
        <v>44060</v>
      </c>
      <c r="F130" s="87">
        <f>IF(Master[[#This Row],[Received Date -received by site]]="","",Master[[#This Row],[Received Date -received by site]])</f>
        <v>44466</v>
      </c>
      <c r="G130" s="89" t="str">
        <f>IF(Master[[#This Row],[Taxon -Lookup Picker in GRIN]]="","",Master[[#This Row],[Taxon -Lookup Picker in GRIN]])</f>
        <v>Penstemon procerus</v>
      </c>
      <c r="H130" s="89" t="str">
        <f>IF(Master[[#This Row],[Inventory Maintenance Policy]]="","",Master[[#This Row],[Inventory Maintenance Policy]])</f>
        <v>w6_native</v>
      </c>
      <c r="I130" s="89" t="str">
        <f>IF(Master[[#This Row],[Geography (Collection) -Lookup Picker in GRIN]]="",#REF!,Master[[#This Row],[Geography (Collection) -Lookup Picker in GRIN]])</f>
        <v>United States, Wyoming, Lincoln</v>
      </c>
      <c r="J130" s="89" t="str">
        <f>IF(Master[[#This Row],[Collector Verbatim Locality]]="","",Master[[#This Row],[Collector Verbatim Locality]])</f>
        <v>/ / From Junction of WY089 and US30 follow US30 East toward Kemmerer for 4.9 miles, at turn off there is a large fence, turn South at underpass across the train tracks, continue through hunt area 6 , at 41.76838, -110.89066 bear NE at fork for about 2 miles, turn South on 2 track for 0.5 miles.</v>
      </c>
      <c r="K130" s="91">
        <f>IF(Master[[#This Row],[Latitude -decimal degrees]]="","",Master[[#This Row],[Latitude -decimal degrees]])</f>
        <v>41.765470000000001</v>
      </c>
      <c r="L130" s="91">
        <f>IF(Master[[#This Row],[Longitude -decimal degrees]]="","",Master[[#This Row],[Longitude -decimal degrees]])</f>
        <v>-110.8428</v>
      </c>
      <c r="M130" s="89" t="str">
        <f>IF(Master[[#This Row],[Cooperator (Donor) 1 -full record]]="","",Master[[#This Row],[Cooperator (Donor) 1 -full record]])</f>
        <v>Bureau of Land Management, SOS project</v>
      </c>
    </row>
    <row r="131" spans="1:13" ht="375" x14ac:dyDescent="0.25">
      <c r="A131" s="89">
        <f t="shared" si="4"/>
        <v>129</v>
      </c>
      <c r="B131" s="89" t="str">
        <f>Master[[#This Row],[Accession Prefix (NPGS)]]&amp;" "&amp;Master[[#This Row],[Accession Number -Assigned]]</f>
        <v>W6 59717</v>
      </c>
      <c r="C131" s="89" t="str">
        <f>Master[[#This Row],[Inventory Prefix]]&amp;" "&amp;Master[[#This Row],[Inventory Number]]&amp;" "&amp;Master[[#This Row],[Inventory Suffix]]&amp;" "&amp;Master[[#This Row],[Inventory Type - Lookup Picker]]</f>
        <v>W6   SD</v>
      </c>
      <c r="D131" s="89" t="str">
        <f>IF(Master[[#This Row],[Accession Name (Identifier 1)]]="","",Master[[#This Row],[Accession Name (Identifier 1)]])</f>
        <v/>
      </c>
      <c r="E131" s="87">
        <f>IF(Master[[#This Row],[Date Collected or Developed]]="","",Master[[#This Row],[Date Collected or Developed]])</f>
        <v>44062</v>
      </c>
      <c r="F131" s="87">
        <f>IF(Master[[#This Row],[Received Date -received by site]]="","",Master[[#This Row],[Received Date -received by site]])</f>
        <v>44466</v>
      </c>
      <c r="G131" s="89" t="str">
        <f>IF(Master[[#This Row],[Taxon -Lookup Picker in GRIN]]="","",Master[[#This Row],[Taxon -Lookup Picker in GRIN]])</f>
        <v>Linum lewisii</v>
      </c>
      <c r="H131" s="89" t="str">
        <f>IF(Master[[#This Row],[Inventory Maintenance Policy]]="","",Master[[#This Row],[Inventory Maintenance Policy]])</f>
        <v>w6_native</v>
      </c>
      <c r="I131" s="89" t="str">
        <f>IF(Master[[#This Row],[Geography (Collection) -Lookup Picker in GRIN]]="",#REF!,Master[[#This Row],[Geography (Collection) -Lookup Picker in GRIN]])</f>
        <v>United States, Wyoming, Lincoln</v>
      </c>
      <c r="J131" s="89" t="str">
        <f>IF(Master[[#This Row],[Collector Verbatim Locality]]="","",Master[[#This Row],[Collector Verbatim Locality]])</f>
        <v>/ / From Alt30/189 Junction in Kemmerer, take 189 N 5 miles, turning NW on County Road 306 (CR 306). Follow CR306 for 9.3 miles. Bear left at fork for .25 miles, turn W onto two-track for .15 miles or until it ends. Collection site is .15 miles to the N.</v>
      </c>
      <c r="K131" s="91">
        <f>IF(Master[[#This Row],[Latitude -decimal degrees]]="","",Master[[#This Row],[Latitude -decimal degrees]])</f>
        <v>41.988709999999998</v>
      </c>
      <c r="L131" s="91">
        <f>IF(Master[[#This Row],[Longitude -decimal degrees]]="","",Master[[#This Row],[Longitude -decimal degrees]])</f>
        <v>-110.52948000000001</v>
      </c>
      <c r="M131" s="89" t="str">
        <f>IF(Master[[#This Row],[Cooperator (Donor) 1 -full record]]="","",Master[[#This Row],[Cooperator (Donor) 1 -full record]])</f>
        <v>Bureau of Land Management, SOS project</v>
      </c>
    </row>
    <row r="132" spans="1:13" ht="300" x14ac:dyDescent="0.25">
      <c r="A132" s="89">
        <f t="shared" si="4"/>
        <v>130</v>
      </c>
      <c r="B132" s="89" t="str">
        <f>Master[[#This Row],[Accession Prefix (NPGS)]]&amp;" "&amp;Master[[#This Row],[Accession Number -Assigned]]</f>
        <v>W6 59718</v>
      </c>
      <c r="C132" s="89" t="str">
        <f>Master[[#This Row],[Inventory Prefix]]&amp;" "&amp;Master[[#This Row],[Inventory Number]]&amp;" "&amp;Master[[#This Row],[Inventory Suffix]]&amp;" "&amp;Master[[#This Row],[Inventory Type - Lookup Picker]]</f>
        <v>W6   SD</v>
      </c>
      <c r="D132" s="89" t="str">
        <f>IF(Master[[#This Row],[Accession Name (Identifier 1)]]="","",Master[[#This Row],[Accession Name (Identifier 1)]])</f>
        <v/>
      </c>
      <c r="E132" s="87">
        <f>IF(Master[[#This Row],[Date Collected or Developed]]="","",Master[[#This Row],[Date Collected or Developed]])</f>
        <v>44062</v>
      </c>
      <c r="F132" s="87">
        <f>IF(Master[[#This Row],[Received Date -received by site]]="","",Master[[#This Row],[Received Date -received by site]])</f>
        <v>44466</v>
      </c>
      <c r="G132" s="89" t="str">
        <f>IF(Master[[#This Row],[Taxon -Lookup Picker in GRIN]]="","",Master[[#This Row],[Taxon -Lookup Picker in GRIN]])</f>
        <v>Penstemon procerus</v>
      </c>
      <c r="H132" s="89" t="str">
        <f>IF(Master[[#This Row],[Inventory Maintenance Policy]]="","",Master[[#This Row],[Inventory Maintenance Policy]])</f>
        <v>w6_native</v>
      </c>
      <c r="I132" s="89" t="str">
        <f>IF(Master[[#This Row],[Geography (Collection) -Lookup Picker in GRIN]]="",#REF!,Master[[#This Row],[Geography (Collection) -Lookup Picker in GRIN]])</f>
        <v>United States, Wyoming, Lincoln</v>
      </c>
      <c r="J132" s="89" t="str">
        <f>IF(Master[[#This Row],[Collector Verbatim Locality]]="","",Master[[#This Row],[Collector Verbatim Locality]])</f>
        <v>/ / From Alt30/189 Junction in Kemmerer, take 189 5 miles, turning NW on County Road 306 (CR 306). Follow CR306 for 9.3 miles. Bear left at fork and follow for 2.9 miles. At fork, bear West (left) for .4 miles.</v>
      </c>
      <c r="K132" s="91">
        <f>IF(Master[[#This Row],[Latitude -decimal degrees]]="","",Master[[#This Row],[Latitude -decimal degrees]])</f>
        <v>42.006639999999997</v>
      </c>
      <c r="L132" s="91">
        <f>IF(Master[[#This Row],[Longitude -decimal degrees]]="","",Master[[#This Row],[Longitude -decimal degrees]])</f>
        <v>-110.56185000000001</v>
      </c>
      <c r="M132" s="89" t="str">
        <f>IF(Master[[#This Row],[Cooperator (Donor) 1 -full record]]="","",Master[[#This Row],[Cooperator (Donor) 1 -full record]])</f>
        <v>Bureau of Land Management, SOS project</v>
      </c>
    </row>
    <row r="133" spans="1:13" ht="300" x14ac:dyDescent="0.25">
      <c r="A133" s="89">
        <f t="shared" si="4"/>
        <v>131</v>
      </c>
      <c r="B133" s="89" t="str">
        <f>Master[[#This Row],[Accession Prefix (NPGS)]]&amp;" "&amp;Master[[#This Row],[Accession Number -Assigned]]</f>
        <v>W6 59719</v>
      </c>
      <c r="C133" s="89" t="str">
        <f>Master[[#This Row],[Inventory Prefix]]&amp;" "&amp;Master[[#This Row],[Inventory Number]]&amp;" "&amp;Master[[#This Row],[Inventory Suffix]]&amp;" "&amp;Master[[#This Row],[Inventory Type - Lookup Picker]]</f>
        <v>W6   SD</v>
      </c>
      <c r="D133" s="89" t="str">
        <f>IF(Master[[#This Row],[Accession Name (Identifier 1)]]="","",Master[[#This Row],[Accession Name (Identifier 1)]])</f>
        <v/>
      </c>
      <c r="E133" s="87">
        <f>IF(Master[[#This Row],[Date Collected or Developed]]="","",Master[[#This Row],[Date Collected or Developed]])</f>
        <v>44069</v>
      </c>
      <c r="F133" s="87">
        <f>IF(Master[[#This Row],[Received Date -received by site]]="","",Master[[#This Row],[Received Date -received by site]])</f>
        <v>44466</v>
      </c>
      <c r="G133" s="89" t="str">
        <f>IF(Master[[#This Row],[Taxon -Lookup Picker in GRIN]]="","",Master[[#This Row],[Taxon -Lookup Picker in GRIN]])</f>
        <v>Achillea millefolium</v>
      </c>
      <c r="H133" s="89" t="str">
        <f>IF(Master[[#This Row],[Inventory Maintenance Policy]]="","",Master[[#This Row],[Inventory Maintenance Policy]])</f>
        <v>w6_native</v>
      </c>
      <c r="I133" s="89" t="str">
        <f>IF(Master[[#This Row],[Geography (Collection) -Lookup Picker in GRIN]]="",#REF!,Master[[#This Row],[Geography (Collection) -Lookup Picker in GRIN]])</f>
        <v>United States, Wyoming, Lincoln</v>
      </c>
      <c r="J133" s="89" t="str">
        <f>IF(Master[[#This Row],[Collector Verbatim Locality]]="","",Master[[#This Row],[Collector Verbatim Locality]])</f>
        <v>/ / From Alt30/189 Junction in Kemmerer, take 189 N 5 miles, turning NW on County Road 306 (CR 306). Follow CR306 for 9.3 miles. Bear left at fork and follow for 2.9 miles. At fork, bear West (left) for .4 miles.</v>
      </c>
      <c r="K133" s="91">
        <f>IF(Master[[#This Row],[Latitude -decimal degrees]]="","",Master[[#This Row],[Latitude -decimal degrees]])</f>
        <v>42.007860000000001</v>
      </c>
      <c r="L133" s="91">
        <f>IF(Master[[#This Row],[Longitude -decimal degrees]]="","",Master[[#This Row],[Longitude -decimal degrees]])</f>
        <v>-110.56079</v>
      </c>
      <c r="M133" s="89" t="str">
        <f>IF(Master[[#This Row],[Cooperator (Donor) 1 -full record]]="","",Master[[#This Row],[Cooperator (Donor) 1 -full record]])</f>
        <v>Bureau of Land Management, SOS project</v>
      </c>
    </row>
    <row r="134" spans="1:13" ht="409.5" x14ac:dyDescent="0.25">
      <c r="A134" s="89">
        <f t="shared" si="4"/>
        <v>132</v>
      </c>
      <c r="B134" s="89" t="str">
        <f>Master[[#This Row],[Accession Prefix (NPGS)]]&amp;" "&amp;Master[[#This Row],[Accession Number -Assigned]]</f>
        <v>W6 59720</v>
      </c>
      <c r="C134" s="89" t="str">
        <f>Master[[#This Row],[Inventory Prefix]]&amp;" "&amp;Master[[#This Row],[Inventory Number]]&amp;" "&amp;Master[[#This Row],[Inventory Suffix]]&amp;" "&amp;Master[[#This Row],[Inventory Type - Lookup Picker]]</f>
        <v>W6   SD</v>
      </c>
      <c r="D134" s="89" t="str">
        <f>IF(Master[[#This Row],[Accession Name (Identifier 1)]]="","",Master[[#This Row],[Accession Name (Identifier 1)]])</f>
        <v/>
      </c>
      <c r="E134" s="87">
        <f>IF(Master[[#This Row],[Date Collected or Developed]]="","",Master[[#This Row],[Date Collected or Developed]])</f>
        <v>44069</v>
      </c>
      <c r="F134" s="87">
        <f>IF(Master[[#This Row],[Received Date -received by site]]="","",Master[[#This Row],[Received Date -received by site]])</f>
        <v>44466</v>
      </c>
      <c r="G134" s="89" t="str">
        <f>IF(Master[[#This Row],[Taxon -Lookup Picker in GRIN]]="","",Master[[#This Row],[Taxon -Lookup Picker in GRIN]])</f>
        <v>Penstemon procerus</v>
      </c>
      <c r="H134" s="89" t="str">
        <f>IF(Master[[#This Row],[Inventory Maintenance Policy]]="","",Master[[#This Row],[Inventory Maintenance Policy]])</f>
        <v>w6_native</v>
      </c>
      <c r="I134" s="89" t="str">
        <f>IF(Master[[#This Row],[Geography (Collection) -Lookup Picker in GRIN]]="",#REF!,Master[[#This Row],[Geography (Collection) -Lookup Picker in GRIN]])</f>
        <v>United States, Wyoming, Lincoln</v>
      </c>
      <c r="J134" s="89" t="str">
        <f>IF(Master[[#This Row],[Collector Verbatim Locality]]="","",Master[[#This Row],[Collector Verbatim Locality]])</f>
        <v>/ / From Alt30/189 Junction in Kemmerer, take 189 N/NE 5 miles, turning NW on County Road 306 (CR 306). Follow CR306 for 9.3 miles. Bear left at fork and follow for 2.9 miles. Almost immediately after, in .07 miles take the two-track on the left (heading SW), follow for 3 miles.</v>
      </c>
      <c r="K134" s="91">
        <f>IF(Master[[#This Row],[Latitude -decimal degrees]]="","",Master[[#This Row],[Latitude -decimal degrees]])</f>
        <v>41.996690000000001</v>
      </c>
      <c r="L134" s="91">
        <f>IF(Master[[#This Row],[Longitude -decimal degrees]]="","",Master[[#This Row],[Longitude -decimal degrees]])</f>
        <v>-110.57847</v>
      </c>
      <c r="M134" s="89" t="str">
        <f>IF(Master[[#This Row],[Cooperator (Donor) 1 -full record]]="","",Master[[#This Row],[Cooperator (Donor) 1 -full record]])</f>
        <v>Bureau of Land Management, SOS project</v>
      </c>
    </row>
    <row r="135" spans="1:13" ht="345" x14ac:dyDescent="0.25">
      <c r="A135" s="89">
        <f t="shared" si="4"/>
        <v>133</v>
      </c>
      <c r="B135" s="89" t="str">
        <f>Master[[#This Row],[Accession Prefix (NPGS)]]&amp;" "&amp;Master[[#This Row],[Accession Number -Assigned]]</f>
        <v>W6 59721</v>
      </c>
      <c r="C135" s="89" t="str">
        <f>Master[[#This Row],[Inventory Prefix]]&amp;" "&amp;Master[[#This Row],[Inventory Number]]&amp;" "&amp;Master[[#This Row],[Inventory Suffix]]&amp;" "&amp;Master[[#This Row],[Inventory Type - Lookup Picker]]</f>
        <v>W6   SD</v>
      </c>
      <c r="D135" s="89" t="str">
        <f>IF(Master[[#This Row],[Accession Name (Identifier 1)]]="","",Master[[#This Row],[Accession Name (Identifier 1)]])</f>
        <v/>
      </c>
      <c r="E135" s="87">
        <f>IF(Master[[#This Row],[Date Collected or Developed]]="","",Master[[#This Row],[Date Collected or Developed]])</f>
        <v>44070</v>
      </c>
      <c r="F135" s="87">
        <f>IF(Master[[#This Row],[Received Date -received by site]]="","",Master[[#This Row],[Received Date -received by site]])</f>
        <v>44466</v>
      </c>
      <c r="G135" s="89" t="str">
        <f>IF(Master[[#This Row],[Taxon -Lookup Picker in GRIN]]="","",Master[[#This Row],[Taxon -Lookup Picker in GRIN]])</f>
        <v>Achillea millefolium</v>
      </c>
      <c r="H135" s="89" t="str">
        <f>IF(Master[[#This Row],[Inventory Maintenance Policy]]="","",Master[[#This Row],[Inventory Maintenance Policy]])</f>
        <v>w6_native</v>
      </c>
      <c r="I135" s="89" t="str">
        <f>IF(Master[[#This Row],[Geography (Collection) -Lookup Picker in GRIN]]="",#REF!,Master[[#This Row],[Geography (Collection) -Lookup Picker in GRIN]])</f>
        <v>United States, Wyoming, Lincoln</v>
      </c>
      <c r="J135" s="89"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K135" s="91">
        <f>IF(Master[[#This Row],[Latitude -decimal degrees]]="","",Master[[#This Row],[Latitude -decimal degrees]])</f>
        <v>41.843609999999998</v>
      </c>
      <c r="L135" s="91">
        <f>IF(Master[[#This Row],[Longitude -decimal degrees]]="","",Master[[#This Row],[Longitude -decimal degrees]])</f>
        <v>-110.90468</v>
      </c>
      <c r="M135" s="89" t="str">
        <f>IF(Master[[#This Row],[Cooperator (Donor) 1 -full record]]="","",Master[[#This Row],[Cooperator (Donor) 1 -full record]])</f>
        <v>Bureau of Land Management, SOS project</v>
      </c>
    </row>
    <row r="136" spans="1:13" ht="180" x14ac:dyDescent="0.25">
      <c r="A136" s="89">
        <f t="shared" si="4"/>
        <v>134</v>
      </c>
      <c r="B136" s="89" t="str">
        <f>Master[[#This Row],[Accession Prefix (NPGS)]]&amp;" "&amp;Master[[#This Row],[Accession Number -Assigned]]</f>
        <v>W6 59722</v>
      </c>
      <c r="C136" s="89" t="str">
        <f>Master[[#This Row],[Inventory Prefix]]&amp;" "&amp;Master[[#This Row],[Inventory Number]]&amp;" "&amp;Master[[#This Row],[Inventory Suffix]]&amp;" "&amp;Master[[#This Row],[Inventory Type - Lookup Picker]]</f>
        <v>W6   SD</v>
      </c>
      <c r="D136" s="89" t="str">
        <f>IF(Master[[#This Row],[Accession Name (Identifier 1)]]="","",Master[[#This Row],[Accession Name (Identifier 1)]])</f>
        <v/>
      </c>
      <c r="E136" s="87">
        <f>IF(Master[[#This Row],[Date Collected or Developed]]="","",Master[[#This Row],[Date Collected or Developed]])</f>
        <v>44083</v>
      </c>
      <c r="F136" s="87">
        <f>IF(Master[[#This Row],[Received Date -received by site]]="","",Master[[#This Row],[Received Date -received by site]])</f>
        <v>44466</v>
      </c>
      <c r="G136" s="89" t="str">
        <f>IF(Master[[#This Row],[Taxon -Lookup Picker in GRIN]]="","",Master[[#This Row],[Taxon -Lookup Picker in GRIN]])</f>
        <v>Achillea millefolium</v>
      </c>
      <c r="H136" s="89" t="str">
        <f>IF(Master[[#This Row],[Inventory Maintenance Policy]]="","",Master[[#This Row],[Inventory Maintenance Policy]])</f>
        <v>w6_native</v>
      </c>
      <c r="I136" s="89" t="str">
        <f>IF(Master[[#This Row],[Geography (Collection) -Lookup Picker in GRIN]]="",#REF!,Master[[#This Row],[Geography (Collection) -Lookup Picker in GRIN]])</f>
        <v>United States, Wyoming, Lincoln</v>
      </c>
      <c r="J136" s="89" t="str">
        <f>IF(Master[[#This Row],[Collector Verbatim Locality]]="","",Master[[#This Row],[Collector Verbatim Locality]])</f>
        <v>/ / From Alt30/189 junction in Kemmerer, take 189 N/NE for 11.9 miles. Turn north onto gravel road, follow for about .4 miles.</v>
      </c>
      <c r="K136" s="91">
        <f>IF(Master[[#This Row],[Latitude -decimal degrees]]="","",Master[[#This Row],[Latitude -decimal degrees]])</f>
        <v>41.904130000000002</v>
      </c>
      <c r="L136" s="91">
        <f>IF(Master[[#This Row],[Longitude -decimal degrees]]="","",Master[[#This Row],[Longitude -decimal degrees]])</f>
        <v>-110.41144</v>
      </c>
      <c r="M136" s="89" t="str">
        <f>IF(Master[[#This Row],[Cooperator (Donor) 1 -full record]]="","",Master[[#This Row],[Cooperator (Donor) 1 -full record]])</f>
        <v>Bureau of Land Management, SOS project</v>
      </c>
    </row>
    <row r="137" spans="1:13" ht="300" x14ac:dyDescent="0.25">
      <c r="A137" s="89">
        <f t="shared" si="4"/>
        <v>135</v>
      </c>
      <c r="B137" s="89" t="str">
        <f>Master[[#This Row],[Accession Prefix (NPGS)]]&amp;" "&amp;Master[[#This Row],[Accession Number -Assigned]]</f>
        <v>W6 59723</v>
      </c>
      <c r="C137" s="89" t="str">
        <f>Master[[#This Row],[Inventory Prefix]]&amp;" "&amp;Master[[#This Row],[Inventory Number]]&amp;" "&amp;Master[[#This Row],[Inventory Suffix]]&amp;" "&amp;Master[[#This Row],[Inventory Type - Lookup Picker]]</f>
        <v>W6   SD</v>
      </c>
      <c r="D137" s="89" t="str">
        <f>IF(Master[[#This Row],[Accession Name (Identifier 1)]]="","",Master[[#This Row],[Accession Name (Identifier 1)]])</f>
        <v/>
      </c>
      <c r="E137" s="87">
        <f>IF(Master[[#This Row],[Date Collected or Developed]]="","",Master[[#This Row],[Date Collected or Developed]])</f>
        <v>44084</v>
      </c>
      <c r="F137" s="87">
        <f>IF(Master[[#This Row],[Received Date -received by site]]="","",Master[[#This Row],[Received Date -received by site]])</f>
        <v>44466</v>
      </c>
      <c r="G137" s="89" t="str">
        <f>IF(Master[[#This Row],[Taxon -Lookup Picker in GRIN]]="","",Master[[#This Row],[Taxon -Lookup Picker in GRIN]])</f>
        <v>Phacelia hastata</v>
      </c>
      <c r="H137" s="89" t="str">
        <f>IF(Master[[#This Row],[Inventory Maintenance Policy]]="","",Master[[#This Row],[Inventory Maintenance Policy]])</f>
        <v>w6_native</v>
      </c>
      <c r="I137" s="89" t="str">
        <f>IF(Master[[#This Row],[Geography (Collection) -Lookup Picker in GRIN]]="",#REF!,Master[[#This Row],[Geography (Collection) -Lookup Picker in GRIN]])</f>
        <v>United States, Wyoming, Lincoln</v>
      </c>
      <c r="J137" s="89" t="str">
        <f>IF(Master[[#This Row],[Collector Verbatim Locality]]="","",Master[[#This Row],[Collector Verbatim Locality]])</f>
        <v>/ / From Alt30/189 Junction in Kemmerer, take 189 N 5 miles, turning NW on County Road 306 (CR 306). Follow CR306 for 9.3 miles. Bear left at fork and follow for 2.9 miles. At fork, bear West (left) for .4 miles.</v>
      </c>
      <c r="K137" s="91">
        <f>IF(Master[[#This Row],[Latitude -decimal degrees]]="","",Master[[#This Row],[Latitude -decimal degrees]])</f>
        <v>42.005969999999998</v>
      </c>
      <c r="L137" s="91">
        <f>IF(Master[[#This Row],[Longitude -decimal degrees]]="","",Master[[#This Row],[Longitude -decimal degrees]])</f>
        <v>-110.55083</v>
      </c>
      <c r="M137" s="89" t="str">
        <f>IF(Master[[#This Row],[Cooperator (Donor) 1 -full record]]="","",Master[[#This Row],[Cooperator (Donor) 1 -full record]])</f>
        <v>Bureau of Land Management, SOS project</v>
      </c>
    </row>
    <row r="138" spans="1:13" ht="375" x14ac:dyDescent="0.25">
      <c r="A138" s="89">
        <f t="shared" si="4"/>
        <v>136</v>
      </c>
      <c r="B138" s="89" t="str">
        <f>Master[[#This Row],[Accession Prefix (NPGS)]]&amp;" "&amp;Master[[#This Row],[Accession Number -Assigned]]</f>
        <v>W6 59724</v>
      </c>
      <c r="C138" s="89" t="str">
        <f>Master[[#This Row],[Inventory Prefix]]&amp;" "&amp;Master[[#This Row],[Inventory Number]]&amp;" "&amp;Master[[#This Row],[Inventory Suffix]]&amp;" "&amp;Master[[#This Row],[Inventory Type - Lookup Picker]]</f>
        <v>W6   SD</v>
      </c>
      <c r="D138" s="89" t="str">
        <f>IF(Master[[#This Row],[Accession Name (Identifier 1)]]="","",Master[[#This Row],[Accession Name (Identifier 1)]])</f>
        <v/>
      </c>
      <c r="E138" s="87">
        <f>IF(Master[[#This Row],[Date Collected or Developed]]="","",Master[[#This Row],[Date Collected or Developed]])</f>
        <v>44084</v>
      </c>
      <c r="F138" s="87">
        <f>IF(Master[[#This Row],[Received Date -received by site]]="","",Master[[#This Row],[Received Date -received by site]])</f>
        <v>44466</v>
      </c>
      <c r="G138" s="89" t="str">
        <f>IF(Master[[#This Row],[Taxon -Lookup Picker in GRIN]]="","",Master[[#This Row],[Taxon -Lookup Picker in GRIN]])</f>
        <v>Penstemon procerus</v>
      </c>
      <c r="H138" s="89" t="str">
        <f>IF(Master[[#This Row],[Inventory Maintenance Policy]]="","",Master[[#This Row],[Inventory Maintenance Policy]])</f>
        <v>w6_native</v>
      </c>
      <c r="I138" s="89" t="str">
        <f>IF(Master[[#This Row],[Geography (Collection) -Lookup Picker in GRIN]]="",#REF!,Master[[#This Row],[Geography (Collection) -Lookup Picker in GRIN]])</f>
        <v>United States, Wyoming, Lincoln</v>
      </c>
      <c r="J138" s="89" t="str">
        <f>IF(Master[[#This Row],[Collector Verbatim Locality]]="","",Master[[#This Row],[Collector Verbatim Locality]])</f>
        <v>/ / From Alt30/189 Junction in Kemmerer, take 189 N 5 miles, turning NW on County Road 306 (CR 306). Follow CR306 for 9.3 miles. Bear left at fork for .3 miles. Collection took place on both sides of road, but most abundant on E side on hill sides.</v>
      </c>
      <c r="K138" s="91">
        <f>IF(Master[[#This Row],[Latitude -decimal degrees]]="","",Master[[#This Row],[Latitude -decimal degrees]])</f>
        <v>41.988329999999998</v>
      </c>
      <c r="L138" s="91">
        <f>IF(Master[[#This Row],[Longitude -decimal degrees]]="","",Master[[#This Row],[Longitude -decimal degrees]])</f>
        <v>-110.52561</v>
      </c>
      <c r="M138" s="89" t="str">
        <f>IF(Master[[#This Row],[Cooperator (Donor) 1 -full record]]="","",Master[[#This Row],[Cooperator (Donor) 1 -full record]])</f>
        <v>Bureau of Land Management, SOS project</v>
      </c>
    </row>
    <row r="139" spans="1:13" ht="375" x14ac:dyDescent="0.25">
      <c r="A139" s="89">
        <f t="shared" si="4"/>
        <v>137</v>
      </c>
      <c r="B139" s="89" t="str">
        <f>Master[[#This Row],[Accession Prefix (NPGS)]]&amp;" "&amp;Master[[#This Row],[Accession Number -Assigned]]</f>
        <v>W6 59725</v>
      </c>
      <c r="C139" s="89" t="str">
        <f>Master[[#This Row],[Inventory Prefix]]&amp;" "&amp;Master[[#This Row],[Inventory Number]]&amp;" "&amp;Master[[#This Row],[Inventory Suffix]]&amp;" "&amp;Master[[#This Row],[Inventory Type - Lookup Picker]]</f>
        <v>W6   SD</v>
      </c>
      <c r="D139" s="89" t="str">
        <f>IF(Master[[#This Row],[Accession Name (Identifier 1)]]="","",Master[[#This Row],[Accession Name (Identifier 1)]])</f>
        <v/>
      </c>
      <c r="E139" s="87">
        <f>IF(Master[[#This Row],[Date Collected or Developed]]="","",Master[[#This Row],[Date Collected or Developed]])</f>
        <v>44089</v>
      </c>
      <c r="F139" s="87">
        <f>IF(Master[[#This Row],[Received Date -received by site]]="","",Master[[#This Row],[Received Date -received by site]])</f>
        <v>44466</v>
      </c>
      <c r="G139" s="89" t="str">
        <f>IF(Master[[#This Row],[Taxon -Lookup Picker in GRIN]]="","",Master[[#This Row],[Taxon -Lookup Picker in GRIN]])</f>
        <v>Achillea millefolium</v>
      </c>
      <c r="H139" s="89" t="str">
        <f>IF(Master[[#This Row],[Inventory Maintenance Policy]]="","",Master[[#This Row],[Inventory Maintenance Policy]])</f>
        <v>w6_native</v>
      </c>
      <c r="I139" s="89" t="str">
        <f>IF(Master[[#This Row],[Geography (Collection) -Lookup Picker in GRIN]]="",#REF!,Master[[#This Row],[Geography (Collection) -Lookup Picker in GRIN]])</f>
        <v>United States, Wyoming, Lincoln</v>
      </c>
      <c r="J139" s="89" t="str">
        <f>IF(Master[[#This Row],[Collector Verbatim Locality]]="","",Master[[#This Row],[Collector Verbatim Locality]])</f>
        <v>/ / From Alt30/189 Junction in Kemmerer, take 189 N 5 miles, turning NW on County Road 306 (CR 306). Follow CR306 for 9.3 miles. Bear left at fork for .25 miles, turn W onto two-track for .15 miles or until it ends. Collection site is .15 miles to the N.</v>
      </c>
      <c r="K139" s="91">
        <f>IF(Master[[#This Row],[Latitude -decimal degrees]]="","",Master[[#This Row],[Latitude -decimal degrees]])</f>
        <v>41.990609999999997</v>
      </c>
      <c r="L139" s="91">
        <f>IF(Master[[#This Row],[Longitude -decimal degrees]]="","",Master[[#This Row],[Longitude -decimal degrees]])</f>
        <v>-110.52633</v>
      </c>
      <c r="M139" s="89" t="str">
        <f>IF(Master[[#This Row],[Cooperator (Donor) 1 -full record]]="","",Master[[#This Row],[Cooperator (Donor) 1 -full record]])</f>
        <v>Bureau of Land Management, SOS project</v>
      </c>
    </row>
    <row r="140" spans="1:13" ht="330" x14ac:dyDescent="0.25">
      <c r="A140" s="89">
        <f t="shared" si="4"/>
        <v>138</v>
      </c>
      <c r="B140" s="89" t="str">
        <f>Master[[#This Row],[Accession Prefix (NPGS)]]&amp;" "&amp;Master[[#This Row],[Accession Number -Assigned]]</f>
        <v>W6 59726</v>
      </c>
      <c r="C140" s="89" t="str">
        <f>Master[[#This Row],[Inventory Prefix]]&amp;" "&amp;Master[[#This Row],[Inventory Number]]&amp;" "&amp;Master[[#This Row],[Inventory Suffix]]&amp;" "&amp;Master[[#This Row],[Inventory Type - Lookup Picker]]</f>
        <v>W6   SD</v>
      </c>
      <c r="D140" s="89" t="str">
        <f>IF(Master[[#This Row],[Accession Name (Identifier 1)]]="","",Master[[#This Row],[Accession Name (Identifier 1)]])</f>
        <v/>
      </c>
      <c r="E140" s="87">
        <f>IF(Master[[#This Row],[Date Collected or Developed]]="","",Master[[#This Row],[Date Collected or Developed]])</f>
        <v>44091</v>
      </c>
      <c r="F140" s="87">
        <f>IF(Master[[#This Row],[Received Date -received by site]]="","",Master[[#This Row],[Received Date -received by site]])</f>
        <v>44466</v>
      </c>
      <c r="G140" s="89" t="str">
        <f>IF(Master[[#This Row],[Taxon -Lookup Picker in GRIN]]="","",Master[[#This Row],[Taxon -Lookup Picker in GRIN]])</f>
        <v>Achillea millefolium</v>
      </c>
      <c r="H140" s="89" t="str">
        <f>IF(Master[[#This Row],[Inventory Maintenance Policy]]="","",Master[[#This Row],[Inventory Maintenance Policy]])</f>
        <v>w6_native</v>
      </c>
      <c r="I140" s="89" t="str">
        <f>IF(Master[[#This Row],[Geography (Collection) -Lookup Picker in GRIN]]="",#REF!,Master[[#This Row],[Geography (Collection) -Lookup Picker in GRIN]])</f>
        <v>United States, Wyoming, Lincoln</v>
      </c>
      <c r="J140" s="89" t="str">
        <f>IF(Master[[#This Row],[Collector Verbatim Locality]]="","",Master[[#This Row],[Collector Verbatim Locality]])</f>
        <v>/ / Follow HWY 232 N from Cokeville for 12.25 miles. Turn E/NE onto a gravel road and follow for .74 miles. There is a dirt two track that cross a stream, this road goes E. Follow for .12 miles until you have crossed onto BLM.</v>
      </c>
      <c r="K140" s="91">
        <f>IF(Master[[#This Row],[Latitude -decimal degrees]]="","",Master[[#This Row],[Latitude -decimal degrees]])</f>
        <v>42.239330000000002</v>
      </c>
      <c r="L140" s="91">
        <f>IF(Master[[#This Row],[Longitude -decimal degrees]]="","",Master[[#This Row],[Longitude -decimal degrees]])</f>
        <v>-110.85616</v>
      </c>
      <c r="M140" s="89" t="str">
        <f>IF(Master[[#This Row],[Cooperator (Donor) 1 -full record]]="","",Master[[#This Row],[Cooperator (Donor) 1 -full record]])</f>
        <v>Bureau of Land Management, SOS project</v>
      </c>
    </row>
    <row r="141" spans="1:13" ht="330" x14ac:dyDescent="0.25">
      <c r="A141" s="89">
        <f t="shared" si="4"/>
        <v>139</v>
      </c>
      <c r="B141" s="89" t="str">
        <f>Master[[#This Row],[Accession Prefix (NPGS)]]&amp;" "&amp;Master[[#This Row],[Accession Number -Assigned]]</f>
        <v>W6 59727</v>
      </c>
      <c r="C141" s="89" t="str">
        <f>Master[[#This Row],[Inventory Prefix]]&amp;" "&amp;Master[[#This Row],[Inventory Number]]&amp;" "&amp;Master[[#This Row],[Inventory Suffix]]&amp;" "&amp;Master[[#This Row],[Inventory Type - Lookup Picker]]</f>
        <v>W6   SD</v>
      </c>
      <c r="D141" s="89" t="str">
        <f>IF(Master[[#This Row],[Accession Name (Identifier 1)]]="","",Master[[#This Row],[Accession Name (Identifier 1)]])</f>
        <v/>
      </c>
      <c r="E141" s="87">
        <f>IF(Master[[#This Row],[Date Collected or Developed]]="","",Master[[#This Row],[Date Collected or Developed]])</f>
        <v>44091</v>
      </c>
      <c r="F141" s="87">
        <f>IF(Master[[#This Row],[Received Date -received by site]]="","",Master[[#This Row],[Received Date -received by site]])</f>
        <v>44466</v>
      </c>
      <c r="G141" s="89" t="str">
        <f>IF(Master[[#This Row],[Taxon -Lookup Picker in GRIN]]="","",Master[[#This Row],[Taxon -Lookup Picker in GRIN]])</f>
        <v>Symphyotrichum ascendens</v>
      </c>
      <c r="H141" s="89" t="str">
        <f>IF(Master[[#This Row],[Inventory Maintenance Policy]]="","",Master[[#This Row],[Inventory Maintenance Policy]])</f>
        <v>w6_native</v>
      </c>
      <c r="I141" s="89" t="str">
        <f>IF(Master[[#This Row],[Geography (Collection) -Lookup Picker in GRIN]]="",#REF!,Master[[#This Row],[Geography (Collection) -Lookup Picker in GRIN]])</f>
        <v>United States, Wyoming, Lincoln</v>
      </c>
      <c r="J141" s="89" t="str">
        <f>IF(Master[[#This Row],[Collector Verbatim Locality]]="","",Master[[#This Row],[Collector Verbatim Locality]])</f>
        <v>/ / Follow HWY 232 N from Cokeville for 12.25 miles. Turn E/NE onto a gravel road and follow for .74 miles. There is a dirt two track that cross a stream, this road goes E. Follow for .12 miles until you have crossed onto BLM.</v>
      </c>
      <c r="K141" s="91">
        <f>IF(Master[[#This Row],[Latitude -decimal degrees]]="","",Master[[#This Row],[Latitude -decimal degrees]])</f>
        <v>42.239359999999998</v>
      </c>
      <c r="L141" s="91">
        <f>IF(Master[[#This Row],[Longitude -decimal degrees]]="","",Master[[#This Row],[Longitude -decimal degrees]])</f>
        <v>-110.85605</v>
      </c>
      <c r="M141" s="89" t="str">
        <f>IF(Master[[#This Row],[Cooperator (Donor) 1 -full record]]="","",Master[[#This Row],[Cooperator (Donor) 1 -full record]])</f>
        <v>Bureau of Land Management, SOS project</v>
      </c>
    </row>
    <row r="142" spans="1:13" ht="345" x14ac:dyDescent="0.25">
      <c r="A142" s="89">
        <f t="shared" si="4"/>
        <v>140</v>
      </c>
      <c r="B142" s="89" t="str">
        <f>Master[[#This Row],[Accession Prefix (NPGS)]]&amp;" "&amp;Master[[#This Row],[Accession Number -Assigned]]</f>
        <v>W6 59728</v>
      </c>
      <c r="C142" s="89" t="str">
        <f>Master[[#This Row],[Inventory Prefix]]&amp;" "&amp;Master[[#This Row],[Inventory Number]]&amp;" "&amp;Master[[#This Row],[Inventory Suffix]]&amp;" "&amp;Master[[#This Row],[Inventory Type - Lookup Picker]]</f>
        <v>W6   SD</v>
      </c>
      <c r="D142" s="89" t="str">
        <f>IF(Master[[#This Row],[Accession Name (Identifier 1)]]="","",Master[[#This Row],[Accession Name (Identifier 1)]])</f>
        <v/>
      </c>
      <c r="E142" s="87">
        <f>IF(Master[[#This Row],[Date Collected or Developed]]="","",Master[[#This Row],[Date Collected or Developed]])</f>
        <v>44095</v>
      </c>
      <c r="F142" s="87">
        <f>IF(Master[[#This Row],[Received Date -received by site]]="","",Master[[#This Row],[Received Date -received by site]])</f>
        <v>44466</v>
      </c>
      <c r="G142" s="89" t="str">
        <f>IF(Master[[#This Row],[Taxon -Lookup Picker in GRIN]]="","",Master[[#This Row],[Taxon -Lookup Picker in GRIN]])</f>
        <v>Symphyotrichum ascendens</v>
      </c>
      <c r="H142" s="89" t="str">
        <f>IF(Master[[#This Row],[Inventory Maintenance Policy]]="","",Master[[#This Row],[Inventory Maintenance Policy]])</f>
        <v>w6_native</v>
      </c>
      <c r="I142" s="89" t="str">
        <f>IF(Master[[#This Row],[Geography (Collection) -Lookup Picker in GRIN]]="",#REF!,Master[[#This Row],[Geography (Collection) -Lookup Picker in GRIN]])</f>
        <v>United States, Wyoming, Lincoln</v>
      </c>
      <c r="J142" s="89"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K142" s="91">
        <f>IF(Master[[#This Row],[Latitude -decimal degrees]]="","",Master[[#This Row],[Latitude -decimal degrees]])</f>
        <v>41.843359999999997</v>
      </c>
      <c r="L142" s="91">
        <f>IF(Master[[#This Row],[Longitude -decimal degrees]]="","",Master[[#This Row],[Longitude -decimal degrees]])</f>
        <v>-110.90519</v>
      </c>
      <c r="M142" s="89" t="str">
        <f>IF(Master[[#This Row],[Cooperator (Donor) 1 -full record]]="","",Master[[#This Row],[Cooperator (Donor) 1 -full record]])</f>
        <v>Bureau of Land Management, SOS project</v>
      </c>
    </row>
    <row r="143" spans="1:13" ht="345" x14ac:dyDescent="0.25">
      <c r="A143" s="89">
        <f t="shared" si="4"/>
        <v>141</v>
      </c>
      <c r="B143" s="89" t="str">
        <f>Master[[#This Row],[Accession Prefix (NPGS)]]&amp;" "&amp;Master[[#This Row],[Accession Number -Assigned]]</f>
        <v>W6 59729</v>
      </c>
      <c r="C143" s="89" t="str">
        <f>Master[[#This Row],[Inventory Prefix]]&amp;" "&amp;Master[[#This Row],[Inventory Number]]&amp;" "&amp;Master[[#This Row],[Inventory Suffix]]&amp;" "&amp;Master[[#This Row],[Inventory Type - Lookup Picker]]</f>
        <v>W6   SD</v>
      </c>
      <c r="D143" s="89" t="str">
        <f>IF(Master[[#This Row],[Accession Name (Identifier 1)]]="","",Master[[#This Row],[Accession Name (Identifier 1)]])</f>
        <v/>
      </c>
      <c r="E143" s="87">
        <f>IF(Master[[#This Row],[Date Collected or Developed]]="","",Master[[#This Row],[Date Collected or Developed]])</f>
        <v>44097</v>
      </c>
      <c r="F143" s="87">
        <f>IF(Master[[#This Row],[Received Date -received by site]]="","",Master[[#This Row],[Received Date -received by site]])</f>
        <v>44466</v>
      </c>
      <c r="G143" s="89" t="str">
        <f>IF(Master[[#This Row],[Taxon -Lookup Picker in GRIN]]="","",Master[[#This Row],[Taxon -Lookup Picker in GRIN]])</f>
        <v>Achillea millefolium</v>
      </c>
      <c r="H143" s="89" t="str">
        <f>IF(Master[[#This Row],[Inventory Maintenance Policy]]="","",Master[[#This Row],[Inventory Maintenance Policy]])</f>
        <v>w6_native</v>
      </c>
      <c r="I143" s="89" t="str">
        <f>IF(Master[[#This Row],[Geography (Collection) -Lookup Picker in GRIN]]="",#REF!,Master[[#This Row],[Geography (Collection) -Lookup Picker in GRIN]])</f>
        <v>United States, Wyoming, Lincoln</v>
      </c>
      <c r="J143" s="89" t="str">
        <f>IF(Master[[#This Row],[Collector Verbatim Locality]]="","",Master[[#This Row],[Collector Verbatim Locality]])</f>
        <v>/ / From Junction of WY089 and US30 follow US30 East toward Kemmerer for 4.9 miles, at turn off there is a large fence, go under the under pass heading north. Stay on this road for 1.5 miles, at fork bear W for 1.25 miles.</v>
      </c>
      <c r="K143" s="91">
        <f>IF(Master[[#This Row],[Latitude -decimal degrees]]="","",Master[[#This Row],[Latitude -decimal degrees]])</f>
        <v>41.862409999999997</v>
      </c>
      <c r="L143" s="91">
        <f>IF(Master[[#This Row],[Longitude -decimal degrees]]="","",Master[[#This Row],[Longitude -decimal degrees]])</f>
        <v>-110.88722</v>
      </c>
      <c r="M143" s="89" t="str">
        <f>IF(Master[[#This Row],[Cooperator (Donor) 1 -full record]]="","",Master[[#This Row],[Cooperator (Donor) 1 -full record]])</f>
        <v>Bureau of Land Management, SOS project</v>
      </c>
    </row>
    <row r="144" spans="1:13" ht="270" x14ac:dyDescent="0.25">
      <c r="A144" s="89">
        <f t="shared" si="4"/>
        <v>142</v>
      </c>
      <c r="B144" s="89" t="str">
        <f>Master[[#This Row],[Accession Prefix (NPGS)]]&amp;" "&amp;Master[[#This Row],[Accession Number -Assigned]]</f>
        <v>W6 59730</v>
      </c>
      <c r="C144" s="89" t="str">
        <f>Master[[#This Row],[Inventory Prefix]]&amp;" "&amp;Master[[#This Row],[Inventory Number]]&amp;" "&amp;Master[[#This Row],[Inventory Suffix]]&amp;" "&amp;Master[[#This Row],[Inventory Type - Lookup Picker]]</f>
        <v>W6   SD</v>
      </c>
      <c r="D144" s="89" t="str">
        <f>IF(Master[[#This Row],[Accession Name (Identifier 1)]]="","",Master[[#This Row],[Accession Name (Identifier 1)]])</f>
        <v/>
      </c>
      <c r="E144" s="87">
        <f>IF(Master[[#This Row],[Date Collected or Developed]]="","",Master[[#This Row],[Date Collected or Developed]])</f>
        <v>44098</v>
      </c>
      <c r="F144" s="87">
        <f>IF(Master[[#This Row],[Received Date -received by site]]="","",Master[[#This Row],[Received Date -received by site]])</f>
        <v>44466</v>
      </c>
      <c r="G144" s="89" t="str">
        <f>IF(Master[[#This Row],[Taxon -Lookup Picker in GRIN]]="","",Master[[#This Row],[Taxon -Lookup Picker in GRIN]])</f>
        <v>Symphyotrichum ascendens</v>
      </c>
      <c r="H144" s="89" t="str">
        <f>IF(Master[[#This Row],[Inventory Maintenance Policy]]="","",Master[[#This Row],[Inventory Maintenance Policy]])</f>
        <v>w6_native</v>
      </c>
      <c r="I144" s="89" t="str">
        <f>IF(Master[[#This Row],[Geography (Collection) -Lookup Picker in GRIN]]="",#REF!,Master[[#This Row],[Geography (Collection) -Lookup Picker in GRIN]])</f>
        <v>United States, Wyoming, Lincoln</v>
      </c>
      <c r="J144" s="89" t="str">
        <f>IF(Master[[#This Row],[Collector Verbatim Locality]]="","",Master[[#This Row],[Collector Verbatim Locality]])</f>
        <v>/ / From the junction of HWY30 and Co Rd 300 travel E for 1.69 miles. Travel N/NW for 1.28 miles, at this junction bear N. Travel for 1.75 miles on this road to get to collection area.</v>
      </c>
      <c r="K144" s="91">
        <f>IF(Master[[#This Row],[Latitude -decimal degrees]]="","",Master[[#This Row],[Latitude -decimal degrees]])</f>
        <v>41.853050000000003</v>
      </c>
      <c r="L144" s="91">
        <f>IF(Master[[#This Row],[Longitude -decimal degrees]]="","",Master[[#This Row],[Longitude -decimal degrees]])</f>
        <v>-110.80336</v>
      </c>
      <c r="M144" s="89" t="str">
        <f>IF(Master[[#This Row],[Cooperator (Donor) 1 -full record]]="","",Master[[#This Row],[Cooperator (Donor) 1 -full record]])</f>
        <v>Bureau of Land Management, SOS project</v>
      </c>
    </row>
    <row r="145" spans="1:13" ht="300" x14ac:dyDescent="0.25">
      <c r="A145" s="89">
        <f t="shared" si="4"/>
        <v>143</v>
      </c>
      <c r="B145" s="89" t="str">
        <f>Master[[#This Row],[Accession Prefix (NPGS)]]&amp;" "&amp;Master[[#This Row],[Accession Number -Assigned]]</f>
        <v>W6 59731</v>
      </c>
      <c r="C145" s="89" t="str">
        <f>Master[[#This Row],[Inventory Prefix]]&amp;" "&amp;Master[[#This Row],[Inventory Number]]&amp;" "&amp;Master[[#This Row],[Inventory Suffix]]&amp;" "&amp;Master[[#This Row],[Inventory Type - Lookup Picker]]</f>
        <v>W6   SD</v>
      </c>
      <c r="D145" s="89" t="str">
        <f>IF(Master[[#This Row],[Accession Name (Identifier 1)]]="","",Master[[#This Row],[Accession Name (Identifier 1)]])</f>
        <v/>
      </c>
      <c r="E145" s="87">
        <f>IF(Master[[#This Row],[Date Collected or Developed]]="","",Master[[#This Row],[Date Collected or Developed]])</f>
        <v>44105</v>
      </c>
      <c r="F145" s="87">
        <f>IF(Master[[#This Row],[Received Date -received by site]]="","",Master[[#This Row],[Received Date -received by site]])</f>
        <v>44466</v>
      </c>
      <c r="G145" s="89" t="str">
        <f>IF(Master[[#This Row],[Taxon -Lookup Picker in GRIN]]="","",Master[[#This Row],[Taxon -Lookup Picker in GRIN]])</f>
        <v>Achillea millefolium</v>
      </c>
      <c r="H145" s="89" t="str">
        <f>IF(Master[[#This Row],[Inventory Maintenance Policy]]="","",Master[[#This Row],[Inventory Maintenance Policy]])</f>
        <v>w6_native</v>
      </c>
      <c r="I145" s="89" t="str">
        <f>IF(Master[[#This Row],[Geography (Collection) -Lookup Picker in GRIN]]="",#REF!,Master[[#This Row],[Geography (Collection) -Lookup Picker in GRIN]])</f>
        <v>United States, Wyoming, Lincoln</v>
      </c>
      <c r="J145" s="89" t="str">
        <f>IF(Master[[#This Row],[Collector Verbatim Locality]]="","",Master[[#This Row],[Collector Verbatim Locality]])</f>
        <v>/ / From the junction of HWY30 and Co Rd. 300, travel E on Co Rd 300 for 1.69 miles. Travel N/NW for 1.28 miles, at this junction bear N. Travel for 1.75-2 miles on this road to get to collection area.</v>
      </c>
      <c r="K145" s="91">
        <f>IF(Master[[#This Row],[Latitude -decimal degrees]]="","",Master[[#This Row],[Latitude -decimal degrees]])</f>
        <v>41.855359999999997</v>
      </c>
      <c r="L145" s="91">
        <f>IF(Master[[#This Row],[Longitude -decimal degrees]]="","",Master[[#This Row],[Longitude -decimal degrees]])</f>
        <v>-110.80172</v>
      </c>
      <c r="M145" s="89" t="str">
        <f>IF(Master[[#This Row],[Cooperator (Donor) 1 -full record]]="","",Master[[#This Row],[Cooperator (Donor) 1 -full record]])</f>
        <v>Bureau of Land Management, SOS project</v>
      </c>
    </row>
    <row r="146" spans="1:13" ht="300" x14ac:dyDescent="0.25">
      <c r="A146" s="89">
        <f t="shared" si="4"/>
        <v>144</v>
      </c>
      <c r="B146" s="89" t="str">
        <f>Master[[#This Row],[Accession Prefix (NPGS)]]&amp;" "&amp;Master[[#This Row],[Accession Number -Assigned]]</f>
        <v>W6 59732</v>
      </c>
      <c r="C146" s="89" t="str">
        <f>Master[[#This Row],[Inventory Prefix]]&amp;" "&amp;Master[[#This Row],[Inventory Number]]&amp;" "&amp;Master[[#This Row],[Inventory Suffix]]&amp;" "&amp;Master[[#This Row],[Inventory Type - Lookup Picker]]</f>
        <v>W6   SD</v>
      </c>
      <c r="D146" s="89" t="str">
        <f>IF(Master[[#This Row],[Accession Name (Identifier 1)]]="","",Master[[#This Row],[Accession Name (Identifier 1)]])</f>
        <v/>
      </c>
      <c r="E146" s="87">
        <f>IF(Master[[#This Row],[Date Collected or Developed]]="","",Master[[#This Row],[Date Collected or Developed]])</f>
        <v>44106</v>
      </c>
      <c r="F146" s="87">
        <f>IF(Master[[#This Row],[Received Date -received by site]]="","",Master[[#This Row],[Received Date -received by site]])</f>
        <v>44466</v>
      </c>
      <c r="G146" s="89" t="str">
        <f>IF(Master[[#This Row],[Taxon -Lookup Picker in GRIN]]="","",Master[[#This Row],[Taxon -Lookup Picker in GRIN]])</f>
        <v>Achillea millefolium</v>
      </c>
      <c r="H146" s="89" t="str">
        <f>IF(Master[[#This Row],[Inventory Maintenance Policy]]="","",Master[[#This Row],[Inventory Maintenance Policy]])</f>
        <v>w6_native</v>
      </c>
      <c r="I146" s="89" t="str">
        <f>IF(Master[[#This Row],[Geography (Collection) -Lookup Picker in GRIN]]="",#REF!,Master[[#This Row],[Geography (Collection) -Lookup Picker in GRIN]])</f>
        <v>United States, Wyoming, Lincoln</v>
      </c>
      <c r="J146" s="89"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K146" s="91">
        <f>IF(Master[[#This Row],[Latitude -decimal degrees]]="","",Master[[#This Row],[Latitude -decimal degrees]])</f>
        <v>42.108440000000002</v>
      </c>
      <c r="L146" s="91">
        <f>IF(Master[[#This Row],[Longitude -decimal degrees]]="","",Master[[#This Row],[Longitude -decimal degrees]])</f>
        <v>-110.82561</v>
      </c>
      <c r="M146" s="89" t="str">
        <f>IF(Master[[#This Row],[Cooperator (Donor) 1 -full record]]="","",Master[[#This Row],[Cooperator (Donor) 1 -full record]])</f>
        <v>Bureau of Land Management, SOS project</v>
      </c>
    </row>
    <row r="147" spans="1:13" ht="300" x14ac:dyDescent="0.25">
      <c r="A147" s="89">
        <f t="shared" si="4"/>
        <v>145</v>
      </c>
      <c r="B147" s="89" t="str">
        <f>Master[[#This Row],[Accession Prefix (NPGS)]]&amp;" "&amp;Master[[#This Row],[Accession Number -Assigned]]</f>
        <v>W6 59733</v>
      </c>
      <c r="C147" s="89" t="str">
        <f>Master[[#This Row],[Inventory Prefix]]&amp;" "&amp;Master[[#This Row],[Inventory Number]]&amp;" "&amp;Master[[#This Row],[Inventory Suffix]]&amp;" "&amp;Master[[#This Row],[Inventory Type - Lookup Picker]]</f>
        <v>W6   SD</v>
      </c>
      <c r="D147" s="89" t="str">
        <f>IF(Master[[#This Row],[Accession Name (Identifier 1)]]="","",Master[[#This Row],[Accession Name (Identifier 1)]])</f>
        <v/>
      </c>
      <c r="E147" s="87">
        <f>IF(Master[[#This Row],[Date Collected or Developed]]="","",Master[[#This Row],[Date Collected or Developed]])</f>
        <v>44109</v>
      </c>
      <c r="F147" s="87">
        <f>IF(Master[[#This Row],[Received Date -received by site]]="","",Master[[#This Row],[Received Date -received by site]])</f>
        <v>44466</v>
      </c>
      <c r="G147" s="89" t="str">
        <f>IF(Master[[#This Row],[Taxon -Lookup Picker in GRIN]]="","",Master[[#This Row],[Taxon -Lookup Picker in GRIN]])</f>
        <v>Penstemon procerus</v>
      </c>
      <c r="H147" s="89" t="str">
        <f>IF(Master[[#This Row],[Inventory Maintenance Policy]]="","",Master[[#This Row],[Inventory Maintenance Policy]])</f>
        <v>w6_native</v>
      </c>
      <c r="I147" s="89" t="str">
        <f>IF(Master[[#This Row],[Geography (Collection) -Lookup Picker in GRIN]]="",#REF!,Master[[#This Row],[Geography (Collection) -Lookup Picker in GRIN]])</f>
        <v>United States, Wyoming, Lincoln</v>
      </c>
      <c r="J147" s="89"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K147" s="91">
        <f>IF(Master[[#This Row],[Latitude -decimal degrees]]="","",Master[[#This Row],[Latitude -decimal degrees]])</f>
        <v>42.108440000000002</v>
      </c>
      <c r="L147" s="91">
        <f>IF(Master[[#This Row],[Longitude -decimal degrees]]="","",Master[[#This Row],[Longitude -decimal degrees]])</f>
        <v>-110.82561</v>
      </c>
      <c r="M147" s="89" t="str">
        <f>IF(Master[[#This Row],[Cooperator (Donor) 1 -full record]]="","",Master[[#This Row],[Cooperator (Donor) 1 -full record]])</f>
        <v>Bureau of Land Management, SOS project</v>
      </c>
    </row>
    <row r="148" spans="1:13" ht="300" x14ac:dyDescent="0.25">
      <c r="A148" s="89">
        <f t="shared" si="4"/>
        <v>146</v>
      </c>
      <c r="B148" s="89" t="str">
        <f>Master[[#This Row],[Accession Prefix (NPGS)]]&amp;" "&amp;Master[[#This Row],[Accession Number -Assigned]]</f>
        <v>W6 59734</v>
      </c>
      <c r="C148" s="89" t="str">
        <f>Master[[#This Row],[Inventory Prefix]]&amp;" "&amp;Master[[#This Row],[Inventory Number]]&amp;" "&amp;Master[[#This Row],[Inventory Suffix]]&amp;" "&amp;Master[[#This Row],[Inventory Type - Lookup Picker]]</f>
        <v>W6   SD</v>
      </c>
      <c r="D148" s="89" t="str">
        <f>IF(Master[[#This Row],[Accession Name (Identifier 1)]]="","",Master[[#This Row],[Accession Name (Identifier 1)]])</f>
        <v/>
      </c>
      <c r="E148" s="87">
        <f>IF(Master[[#This Row],[Date Collected or Developed]]="","",Master[[#This Row],[Date Collected or Developed]])</f>
        <v>44109</v>
      </c>
      <c r="F148" s="87">
        <f>IF(Master[[#This Row],[Received Date -received by site]]="","",Master[[#This Row],[Received Date -received by site]])</f>
        <v>44466</v>
      </c>
      <c r="G148" s="89" t="str">
        <f>IF(Master[[#This Row],[Taxon -Lookup Picker in GRIN]]="","",Master[[#This Row],[Taxon -Lookup Picker in GRIN]])</f>
        <v>Eriogonum umbellatum</v>
      </c>
      <c r="H148" s="89" t="str">
        <f>IF(Master[[#This Row],[Inventory Maintenance Policy]]="","",Master[[#This Row],[Inventory Maintenance Policy]])</f>
        <v>w6_native</v>
      </c>
      <c r="I148" s="89" t="str">
        <f>IF(Master[[#This Row],[Geography (Collection) -Lookup Picker in GRIN]]="",#REF!,Master[[#This Row],[Geography (Collection) -Lookup Picker in GRIN]])</f>
        <v>United States, Wyoming, Lincoln</v>
      </c>
      <c r="J148" s="89" t="str">
        <f>IF(Master[[#This Row],[Collector Verbatim Locality]]="","",Master[[#This Row],[Collector Verbatim Locality]])</f>
        <v>/ / From Cokeville, WY follow HWY 232 N/NE for 2.98 miles. Turn E onto Co. Rd 204 following the sign for Pine Creek Ski Resort. Follow for CR 204 for 4.33 miles. Collection area is around the vehicle pullout.</v>
      </c>
      <c r="K148" s="91">
        <f>IF(Master[[#This Row],[Latitude -decimal degrees]]="","",Master[[#This Row],[Latitude -decimal degrees]])</f>
        <v>42.108440000000002</v>
      </c>
      <c r="L148" s="91">
        <f>IF(Master[[#This Row],[Longitude -decimal degrees]]="","",Master[[#This Row],[Longitude -decimal degrees]])</f>
        <v>-110.82561</v>
      </c>
      <c r="M148" s="89" t="str">
        <f>IF(Master[[#This Row],[Cooperator (Donor) 1 -full record]]="","",Master[[#This Row],[Cooperator (Donor) 1 -full record]])</f>
        <v>Bureau of Land Management, SOS project</v>
      </c>
    </row>
    <row r="149" spans="1:13" ht="409.5" x14ac:dyDescent="0.25">
      <c r="A149" s="89">
        <f t="shared" si="4"/>
        <v>147</v>
      </c>
      <c r="B149" s="89" t="str">
        <f>Master[[#This Row],[Accession Prefix (NPGS)]]&amp;" "&amp;Master[[#This Row],[Accession Number -Assigned]]</f>
        <v>W6 59735</v>
      </c>
      <c r="C149" s="89" t="str">
        <f>Master[[#This Row],[Inventory Prefix]]&amp;" "&amp;Master[[#This Row],[Inventory Number]]&amp;" "&amp;Master[[#This Row],[Inventory Suffix]]&amp;" "&amp;Master[[#This Row],[Inventory Type - Lookup Picker]]</f>
        <v>W6   SD</v>
      </c>
      <c r="D149" s="89" t="str">
        <f>IF(Master[[#This Row],[Accession Name (Identifier 1)]]="","",Master[[#This Row],[Accession Name (Identifier 1)]])</f>
        <v/>
      </c>
      <c r="E149" s="87">
        <f>IF(Master[[#This Row],[Date Collected or Developed]]="","",Master[[#This Row],[Date Collected or Developed]])</f>
        <v>44041</v>
      </c>
      <c r="F149" s="87">
        <f>IF(Master[[#This Row],[Received Date -received by site]]="","",Master[[#This Row],[Received Date -received by site]])</f>
        <v>44466</v>
      </c>
      <c r="G149" s="89" t="str">
        <f>IF(Master[[#This Row],[Taxon -Lookup Picker in GRIN]]="","",Master[[#This Row],[Taxon -Lookup Picker in GRIN]])</f>
        <v>Achnatherum hymenoides</v>
      </c>
      <c r="H149" s="89" t="str">
        <f>IF(Master[[#This Row],[Inventory Maintenance Policy]]="","",Master[[#This Row],[Inventory Maintenance Policy]])</f>
        <v>w6_native</v>
      </c>
      <c r="I149" s="89" t="str">
        <f>IF(Master[[#This Row],[Geography (Collection) -Lookup Picker in GRIN]]="",#REF!,Master[[#This Row],[Geography (Collection) -Lookup Picker in GRIN]])</f>
        <v>United States, Wyoming, Lincoln</v>
      </c>
      <c r="J149" s="89" t="str">
        <f>IF(Master[[#This Row],[Collector Verbatim Locality]]="","",Master[[#This Row],[Collector Verbatim Locality]])</f>
        <v>/ / Traveling E on I-80 from the UT/WY border, take exit 66. Follow the exit to merge onto US HWY 30, heading N for 11 miles (from the exit). Turn E onto a gravel road and stay on this road (across the train tracks) for 2.88 miles. Turn E at the junction and follow for 2 miles. Turn S for .5 miles. Collection area is in area to the S of the oil pad on foot.</v>
      </c>
      <c r="K149" s="91">
        <f>IF(Master[[#This Row],[Latitude -decimal degrees]]="","",Master[[#This Row],[Latitude -decimal degrees]])</f>
        <v>41.638649999999998</v>
      </c>
      <c r="L149" s="91">
        <f>IF(Master[[#This Row],[Longitude -decimal degrees]]="","",Master[[#This Row],[Longitude -decimal degrees]])</f>
        <v>-110.11857000000001</v>
      </c>
      <c r="M149" s="89" t="str">
        <f>IF(Master[[#This Row],[Cooperator (Donor) 1 -full record]]="","",Master[[#This Row],[Cooperator (Donor) 1 -full record]])</f>
        <v>Bureau of Land Management, SOS project</v>
      </c>
    </row>
    <row r="150" spans="1:13" ht="409.5" x14ac:dyDescent="0.25">
      <c r="A150" s="89">
        <f t="shared" si="4"/>
        <v>148</v>
      </c>
      <c r="B150" s="89" t="str">
        <f>Master[[#This Row],[Accession Prefix (NPGS)]]&amp;" "&amp;Master[[#This Row],[Accession Number -Assigned]]</f>
        <v>W6 59736</v>
      </c>
      <c r="C150" s="89" t="str">
        <f>Master[[#This Row],[Inventory Prefix]]&amp;" "&amp;Master[[#This Row],[Inventory Number]]&amp;" "&amp;Master[[#This Row],[Inventory Suffix]]&amp;" "&amp;Master[[#This Row],[Inventory Type - Lookup Picker]]</f>
        <v>W6   SD</v>
      </c>
      <c r="D150" s="89" t="str">
        <f>IF(Master[[#This Row],[Accession Name (Identifier 1)]]="","",Master[[#This Row],[Accession Name (Identifier 1)]])</f>
        <v/>
      </c>
      <c r="E150" s="87">
        <f>IF(Master[[#This Row],[Date Collected or Developed]]="","",Master[[#This Row],[Date Collected or Developed]])</f>
        <v>44111</v>
      </c>
      <c r="F150" s="87">
        <f>IF(Master[[#This Row],[Received Date -received by site]]="","",Master[[#This Row],[Received Date -received by site]])</f>
        <v>44466</v>
      </c>
      <c r="G150" s="89" t="str">
        <f>IF(Master[[#This Row],[Taxon -Lookup Picker in GRIN]]="","",Master[[#This Row],[Taxon -Lookup Picker in GRIN]])</f>
        <v>Achillea millefolium</v>
      </c>
      <c r="H150" s="89" t="str">
        <f>IF(Master[[#This Row],[Inventory Maintenance Policy]]="","",Master[[#This Row],[Inventory Maintenance Policy]])</f>
        <v>w6_native</v>
      </c>
      <c r="I150" s="89" t="str">
        <f>IF(Master[[#This Row],[Geography (Collection) -Lookup Picker in GRIN]]="",#REF!,Master[[#This Row],[Geography (Collection) -Lookup Picker in GRIN]])</f>
        <v>United States, Wyoming, Uinta</v>
      </c>
      <c r="J150" s="89" t="str">
        <f>IF(Master[[#This Row],[Collector Verbatim Locality]]="","",Master[[#This Row],[Collector Verbatim Locality]])</f>
        <v>/ / From Evanston, WY traveling E on I-80 take exit 30, turn S onto Co. Rd 173 for 6.76 miles. At this junction turn S/SE onto Co. Rd. 204 for 7.75 miles. Turn S/SW onto Co. Rd 271 and follower for 15.13 miles. At this point there is a two-track dirt road to the E that leads to a camping area. It is in and around here that the collection was made.</v>
      </c>
      <c r="K150" s="91">
        <f>IF(Master[[#This Row],[Latitude -decimal degrees]]="","",Master[[#This Row],[Latitude -decimal degrees]])</f>
        <v>41.001910000000002</v>
      </c>
      <c r="L150" s="91">
        <f>IF(Master[[#This Row],[Longitude -decimal degrees]]="","",Master[[#This Row],[Longitude -decimal degrees]])</f>
        <v>-110.5895</v>
      </c>
      <c r="M150" s="89" t="str">
        <f>IF(Master[[#This Row],[Cooperator (Donor) 1 -full record]]="","",Master[[#This Row],[Cooperator (Donor) 1 -full record]])</f>
        <v>Bureau of Land Management, SOS project</v>
      </c>
    </row>
    <row r="151" spans="1:13" ht="180" x14ac:dyDescent="0.25">
      <c r="A151" s="89">
        <f t="shared" si="4"/>
        <v>149</v>
      </c>
      <c r="B151" s="89" t="str">
        <f>Master[[#This Row],[Accession Prefix (NPGS)]]&amp;" "&amp;Master[[#This Row],[Accession Number -Assigned]]</f>
        <v>W6 59737</v>
      </c>
      <c r="C151" s="89" t="str">
        <f>Master[[#This Row],[Inventory Prefix]]&amp;" "&amp;Master[[#This Row],[Inventory Number]]&amp;" "&amp;Master[[#This Row],[Inventory Suffix]]&amp;" "&amp;Master[[#This Row],[Inventory Type - Lookup Picker]]</f>
        <v>W6   SD</v>
      </c>
      <c r="D151" s="89" t="str">
        <f>IF(Master[[#This Row],[Accession Name (Identifier 1)]]="","",Master[[#This Row],[Accession Name (Identifier 1)]])</f>
        <v/>
      </c>
      <c r="E151" s="87">
        <f>IF(Master[[#This Row],[Date Collected or Developed]]="","",Master[[#This Row],[Date Collected or Developed]])</f>
        <v>44061</v>
      </c>
      <c r="F151" s="87">
        <f>IF(Master[[#This Row],[Received Date -received by site]]="","",Master[[#This Row],[Received Date -received by site]])</f>
        <v>44466</v>
      </c>
      <c r="G151" s="89" t="str">
        <f>IF(Master[[#This Row],[Taxon -Lookup Picker in GRIN]]="","",Master[[#This Row],[Taxon -Lookup Picker in GRIN]])</f>
        <v>Eriogonum umbellatum</v>
      </c>
      <c r="H151" s="89" t="str">
        <f>IF(Master[[#This Row],[Inventory Maintenance Policy]]="","",Master[[#This Row],[Inventory Maintenance Policy]])</f>
        <v>w6_native</v>
      </c>
      <c r="I151" s="89" t="str">
        <f>IF(Master[[#This Row],[Geography (Collection) -Lookup Picker in GRIN]]="",#REF!,Master[[#This Row],[Geography (Collection) -Lookup Picker in GRIN]])</f>
        <v>United States, Wyoming, Lincoln</v>
      </c>
      <c r="J151" s="89" t="str">
        <f>IF(Master[[#This Row],[Collector Verbatim Locality]]="","",Master[[#This Row],[Collector Verbatim Locality]])</f>
        <v>/ / From Kemmerer travel North on Hwy 189 for 9.5 miles, turn South (right) onto the BLM road for around 0.4 miles</v>
      </c>
      <c r="K151" s="91">
        <f>IF(Master[[#This Row],[Latitude -decimal degrees]]="","",Master[[#This Row],[Latitude -decimal degrees]])</f>
        <v>41.862180000000002</v>
      </c>
      <c r="L151" s="91">
        <f>IF(Master[[#This Row],[Longitude -decimal degrees]]="","",Master[[#This Row],[Longitude -decimal degrees]])</f>
        <v>-110.45403</v>
      </c>
      <c r="M151" s="89" t="str">
        <f>IF(Master[[#This Row],[Cooperator (Donor) 1 -full record]]="","",Master[[#This Row],[Cooperator (Donor) 1 -full record]])</f>
        <v>Bureau of Land Management, SOS project</v>
      </c>
    </row>
    <row r="152" spans="1:13" x14ac:dyDescent="0.25">
      <c r="A152" s="89">
        <f t="shared" si="4"/>
        <v>150</v>
      </c>
      <c r="B152" s="89" t="str">
        <f>Master[[#This Row],[Accession Prefix (NPGS)]]&amp;" "&amp;Master[[#This Row],[Accession Number -Assigned]]</f>
        <v xml:space="preserve"> </v>
      </c>
      <c r="C152" s="89" t="str">
        <f>Master[[#This Row],[Inventory Prefix]]&amp;" "&amp;Master[[#This Row],[Inventory Number]]&amp;" "&amp;Master[[#This Row],[Inventory Suffix]]&amp;" "&amp;Master[[#This Row],[Inventory Type - Lookup Picker]]</f>
        <v xml:space="preserve">   </v>
      </c>
      <c r="D152" s="89" t="str">
        <f>IF(Master[[#This Row],[Accession Name (Identifier 1)]]="","",Master[[#This Row],[Accession Name (Identifier 1)]])</f>
        <v/>
      </c>
      <c r="E152" s="87" t="str">
        <f>IF(Master[[#This Row],[Date Collected or Developed]]="","",Master[[#This Row],[Date Collected or Developed]])</f>
        <v/>
      </c>
      <c r="F152" s="87" t="str">
        <f>IF(Master[[#This Row],[Received Date -received by site]]="","",Master[[#This Row],[Received Date -received by site]])</f>
        <v/>
      </c>
      <c r="G152" s="89" t="str">
        <f>IF(Master[[#This Row],[Taxon -Lookup Picker in GRIN]]="","",Master[[#This Row],[Taxon -Lookup Picker in GRIN]])</f>
        <v/>
      </c>
      <c r="H152" s="89" t="str">
        <f>IF(Master[[#This Row],[Inventory Maintenance Policy]]="","",Master[[#This Row],[Inventory Maintenance Policy]])</f>
        <v/>
      </c>
      <c r="I152" s="89" t="e">
        <f>IF(Master[[#This Row],[Geography (Collection) -Lookup Picker in GRIN]]="",#REF!,Master[[#This Row],[Geography (Collection) -Lookup Picker in GRIN]])</f>
        <v>#REF!</v>
      </c>
      <c r="J152" s="89" t="str">
        <f>IF(Master[[#This Row],[Collector Verbatim Locality]]="","",Master[[#This Row],[Collector Verbatim Locality]])</f>
        <v/>
      </c>
      <c r="K152" s="91" t="str">
        <f>IF(Master[[#This Row],[Latitude -decimal degrees]]="","",Master[[#This Row],[Latitude -decimal degrees]])</f>
        <v/>
      </c>
      <c r="L152" s="91" t="str">
        <f>IF(Master[[#This Row],[Longitude -decimal degrees]]="","",Master[[#This Row],[Longitude -decimal degrees]])</f>
        <v/>
      </c>
      <c r="M152" s="89" t="str">
        <f>IF(Master[[#This Row],[Cooperator (Donor) 1 -full record]]="","",Master[[#This Row],[Cooperator (Donor) 1 -full record]])</f>
        <v/>
      </c>
    </row>
    <row r="153" spans="1:13" x14ac:dyDescent="0.25">
      <c r="A153" s="89">
        <f t="shared" si="4"/>
        <v>151</v>
      </c>
      <c r="B153" s="89" t="str">
        <f>Master[[#This Row],[Accession Prefix (NPGS)]]&amp;" "&amp;Master[[#This Row],[Accession Number -Assigned]]</f>
        <v xml:space="preserve"> </v>
      </c>
      <c r="C153" s="89" t="str">
        <f>Master[[#This Row],[Inventory Prefix]]&amp;" "&amp;Master[[#This Row],[Inventory Number]]&amp;" "&amp;Master[[#This Row],[Inventory Suffix]]&amp;" "&amp;Master[[#This Row],[Inventory Type - Lookup Picker]]</f>
        <v xml:space="preserve">   </v>
      </c>
      <c r="D153" s="89" t="str">
        <f>IF(Master[[#This Row],[Accession Name (Identifier 1)]]="","",Master[[#This Row],[Accession Name (Identifier 1)]])</f>
        <v xml:space="preserve"> </v>
      </c>
      <c r="E153" s="87" t="str">
        <f>IF(Master[[#This Row],[Date Collected or Developed]]="","",Master[[#This Row],[Date Collected or Developed]])</f>
        <v/>
      </c>
      <c r="F153" s="87" t="str">
        <f>IF(Master[[#This Row],[Received Date -received by site]]="","",Master[[#This Row],[Received Date -received by site]])</f>
        <v/>
      </c>
      <c r="G153" s="89" t="str">
        <f>IF(Master[[#This Row],[Taxon -Lookup Picker in GRIN]]="","",Master[[#This Row],[Taxon -Lookup Picker in GRIN]])</f>
        <v/>
      </c>
      <c r="H153" s="89" t="str">
        <f>IF(Master[[#This Row],[Inventory Maintenance Policy]]="","",Master[[#This Row],[Inventory Maintenance Policy]])</f>
        <v/>
      </c>
      <c r="I153" s="89" t="e">
        <f>IF(Master[[#This Row],[Geography (Collection) -Lookup Picker in GRIN]]="",#REF!,Master[[#This Row],[Geography (Collection) -Lookup Picker in GRIN]])</f>
        <v>#REF!</v>
      </c>
      <c r="J153" s="89" t="str">
        <f>IF(Master[[#This Row],[Collector Verbatim Locality]]="","",Master[[#This Row],[Collector Verbatim Locality]])</f>
        <v/>
      </c>
      <c r="K153" s="91" t="str">
        <f>IF(Master[[#This Row],[Latitude -decimal degrees]]="","",Master[[#This Row],[Latitude -decimal degrees]])</f>
        <v/>
      </c>
      <c r="L153" s="91" t="str">
        <f>IF(Master[[#This Row],[Longitude -decimal degrees]]="","",Master[[#This Row],[Longitude -decimal degrees]])</f>
        <v/>
      </c>
      <c r="M153" s="89" t="str">
        <f>IF(Master[[#This Row],[Cooperator (Donor) 1 -full record]]="","",Master[[#This Row],[Cooperator (Donor) 1 -full record]])</f>
        <v/>
      </c>
    </row>
    <row r="154" spans="1:13" x14ac:dyDescent="0.25">
      <c r="A154" s="89">
        <f t="shared" si="4"/>
        <v>152</v>
      </c>
      <c r="B154" s="89" t="str">
        <f>Master[[#This Row],[Accession Prefix (NPGS)]]&amp;" "&amp;Master[[#This Row],[Accession Number -Assigned]]</f>
        <v xml:space="preserve"> </v>
      </c>
      <c r="C154" s="89" t="str">
        <f>Master[[#This Row],[Inventory Prefix]]&amp;" "&amp;Master[[#This Row],[Inventory Number]]&amp;" "&amp;Master[[#This Row],[Inventory Suffix]]&amp;" "&amp;Master[[#This Row],[Inventory Type - Lookup Picker]]</f>
        <v xml:space="preserve">   </v>
      </c>
      <c r="D154" s="89" t="str">
        <f>IF(Master[[#This Row],[Accession Name (Identifier 1)]]="","",Master[[#This Row],[Accession Name (Identifier 1)]])</f>
        <v xml:space="preserve"> </v>
      </c>
      <c r="E154" s="87" t="str">
        <f>IF(Master[[#This Row],[Date Collected or Developed]]="","",Master[[#This Row],[Date Collected or Developed]])</f>
        <v/>
      </c>
      <c r="F154" s="87" t="str">
        <f>IF(Master[[#This Row],[Received Date -received by site]]="","",Master[[#This Row],[Received Date -received by site]])</f>
        <v/>
      </c>
      <c r="G154" s="89" t="str">
        <f>IF(Master[[#This Row],[Taxon -Lookup Picker in GRIN]]="","",Master[[#This Row],[Taxon -Lookup Picker in GRIN]])</f>
        <v/>
      </c>
      <c r="H154" s="89" t="str">
        <f>IF(Master[[#This Row],[Inventory Maintenance Policy]]="","",Master[[#This Row],[Inventory Maintenance Policy]])</f>
        <v/>
      </c>
      <c r="I154" s="89" t="e">
        <f>IF(Master[[#This Row],[Geography (Collection) -Lookup Picker in GRIN]]="",#REF!,Master[[#This Row],[Geography (Collection) -Lookup Picker in GRIN]])</f>
        <v>#REF!</v>
      </c>
      <c r="J154" s="89" t="str">
        <f>IF(Master[[#This Row],[Collector Verbatim Locality]]="","",Master[[#This Row],[Collector Verbatim Locality]])</f>
        <v/>
      </c>
      <c r="K154" s="91" t="str">
        <f>IF(Master[[#This Row],[Latitude -decimal degrees]]="","",Master[[#This Row],[Latitude -decimal degrees]])</f>
        <v/>
      </c>
      <c r="L154" s="91" t="str">
        <f>IF(Master[[#This Row],[Longitude -decimal degrees]]="","",Master[[#This Row],[Longitude -decimal degrees]])</f>
        <v/>
      </c>
      <c r="M154" s="89" t="str">
        <f>IF(Master[[#This Row],[Cooperator (Donor) 1 -full record]]="","",Master[[#This Row],[Cooperator (Donor) 1 -full record]])</f>
        <v/>
      </c>
    </row>
    <row r="155" spans="1:13" x14ac:dyDescent="0.25">
      <c r="A155" s="89">
        <f t="shared" si="4"/>
        <v>153</v>
      </c>
      <c r="B155" s="89" t="str">
        <f>Master[[#This Row],[Accession Prefix (NPGS)]]&amp;" "&amp;Master[[#This Row],[Accession Number -Assigned]]</f>
        <v xml:space="preserve"> </v>
      </c>
      <c r="C155" s="89" t="str">
        <f>Master[[#This Row],[Inventory Prefix]]&amp;" "&amp;Master[[#This Row],[Inventory Number]]&amp;" "&amp;Master[[#This Row],[Inventory Suffix]]&amp;" "&amp;Master[[#This Row],[Inventory Type - Lookup Picker]]</f>
        <v xml:space="preserve">   </v>
      </c>
      <c r="D155" s="89" t="str">
        <f>IF(Master[[#This Row],[Accession Name (Identifier 1)]]="","",Master[[#This Row],[Accession Name (Identifier 1)]])</f>
        <v xml:space="preserve"> </v>
      </c>
      <c r="E155" s="87" t="str">
        <f>IF(Master[[#This Row],[Date Collected or Developed]]="","",Master[[#This Row],[Date Collected or Developed]])</f>
        <v/>
      </c>
      <c r="F155" s="87" t="str">
        <f>IF(Master[[#This Row],[Received Date -received by site]]="","",Master[[#This Row],[Received Date -received by site]])</f>
        <v/>
      </c>
      <c r="G155" s="89" t="str">
        <f>IF(Master[[#This Row],[Taxon -Lookup Picker in GRIN]]="","",Master[[#This Row],[Taxon -Lookup Picker in GRIN]])</f>
        <v/>
      </c>
      <c r="H155" s="89" t="str">
        <f>IF(Master[[#This Row],[Inventory Maintenance Policy]]="","",Master[[#This Row],[Inventory Maintenance Policy]])</f>
        <v/>
      </c>
      <c r="I155" s="89" t="e">
        <f>IF(Master[[#This Row],[Geography (Collection) -Lookup Picker in GRIN]]="",#REF!,Master[[#This Row],[Geography (Collection) -Lookup Picker in GRIN]])</f>
        <v>#REF!</v>
      </c>
      <c r="J155" s="89" t="str">
        <f>IF(Master[[#This Row],[Collector Verbatim Locality]]="","",Master[[#This Row],[Collector Verbatim Locality]])</f>
        <v/>
      </c>
      <c r="K155" s="91" t="str">
        <f>IF(Master[[#This Row],[Latitude -decimal degrees]]="","",Master[[#This Row],[Latitude -decimal degrees]])</f>
        <v/>
      </c>
      <c r="L155" s="91" t="str">
        <f>IF(Master[[#This Row],[Longitude -decimal degrees]]="","",Master[[#This Row],[Longitude -decimal degrees]])</f>
        <v/>
      </c>
      <c r="M155" s="89" t="str">
        <f>IF(Master[[#This Row],[Cooperator (Donor) 1 -full record]]="","",Master[[#This Row],[Cooperator (Donor) 1 -full record]])</f>
        <v/>
      </c>
    </row>
    <row r="156" spans="1:13" x14ac:dyDescent="0.25">
      <c r="A156" s="89">
        <f t="shared" si="4"/>
        <v>154</v>
      </c>
      <c r="B156" s="89" t="str">
        <f>Master[[#This Row],[Accession Prefix (NPGS)]]&amp;" "&amp;Master[[#This Row],[Accession Number -Assigned]]</f>
        <v xml:space="preserve"> </v>
      </c>
      <c r="C156" s="89" t="str">
        <f>Master[[#This Row],[Inventory Prefix]]&amp;" "&amp;Master[[#This Row],[Inventory Number]]&amp;" "&amp;Master[[#This Row],[Inventory Suffix]]&amp;" "&amp;Master[[#This Row],[Inventory Type - Lookup Picker]]</f>
        <v xml:space="preserve">   </v>
      </c>
      <c r="D156" s="89" t="str">
        <f>IF(Master[[#This Row],[Accession Name (Identifier 1)]]="","",Master[[#This Row],[Accession Name (Identifier 1)]])</f>
        <v xml:space="preserve"> </v>
      </c>
      <c r="E156" s="87" t="str">
        <f>IF(Master[[#This Row],[Date Collected or Developed]]="","",Master[[#This Row],[Date Collected or Developed]])</f>
        <v/>
      </c>
      <c r="F156" s="87" t="str">
        <f>IF(Master[[#This Row],[Received Date -received by site]]="","",Master[[#This Row],[Received Date -received by site]])</f>
        <v/>
      </c>
      <c r="G156" s="89" t="str">
        <f>IF(Master[[#This Row],[Taxon -Lookup Picker in GRIN]]="","",Master[[#This Row],[Taxon -Lookup Picker in GRIN]])</f>
        <v/>
      </c>
      <c r="H156" s="89" t="str">
        <f>IF(Master[[#This Row],[Inventory Maintenance Policy]]="","",Master[[#This Row],[Inventory Maintenance Policy]])</f>
        <v/>
      </c>
      <c r="I156" s="89" t="e">
        <f>IF(Master[[#This Row],[Geography (Collection) -Lookup Picker in GRIN]]="",#REF!,Master[[#This Row],[Geography (Collection) -Lookup Picker in GRIN]])</f>
        <v>#REF!</v>
      </c>
      <c r="J156" s="89" t="str">
        <f>IF(Master[[#This Row],[Collector Verbatim Locality]]="","",Master[[#This Row],[Collector Verbatim Locality]])</f>
        <v/>
      </c>
      <c r="K156" s="91" t="str">
        <f>IF(Master[[#This Row],[Latitude -decimal degrees]]="","",Master[[#This Row],[Latitude -decimal degrees]])</f>
        <v/>
      </c>
      <c r="L156" s="91" t="str">
        <f>IF(Master[[#This Row],[Longitude -decimal degrees]]="","",Master[[#This Row],[Longitude -decimal degrees]])</f>
        <v/>
      </c>
      <c r="M156" s="89" t="str">
        <f>IF(Master[[#This Row],[Cooperator (Donor) 1 -full record]]="","",Master[[#This Row],[Cooperator (Donor) 1 -full record]])</f>
        <v/>
      </c>
    </row>
    <row r="157" spans="1:13" x14ac:dyDescent="0.25">
      <c r="A157" s="89">
        <f t="shared" si="4"/>
        <v>155</v>
      </c>
      <c r="B157" s="89" t="str">
        <f>Master[[#This Row],[Accession Prefix (NPGS)]]&amp;" "&amp;Master[[#This Row],[Accession Number -Assigned]]</f>
        <v xml:space="preserve"> </v>
      </c>
      <c r="C157" s="89" t="str">
        <f>Master[[#This Row],[Inventory Prefix]]&amp;" "&amp;Master[[#This Row],[Inventory Number]]&amp;" "&amp;Master[[#This Row],[Inventory Suffix]]&amp;" "&amp;Master[[#This Row],[Inventory Type - Lookup Picker]]</f>
        <v xml:space="preserve">   </v>
      </c>
      <c r="D157" s="89" t="str">
        <f>IF(Master[[#This Row],[Accession Name (Identifier 1)]]="","",Master[[#This Row],[Accession Name (Identifier 1)]])</f>
        <v xml:space="preserve"> </v>
      </c>
      <c r="E157" s="87" t="str">
        <f>IF(Master[[#This Row],[Date Collected or Developed]]="","",Master[[#This Row],[Date Collected or Developed]])</f>
        <v/>
      </c>
      <c r="F157" s="87" t="str">
        <f>IF(Master[[#This Row],[Received Date -received by site]]="","",Master[[#This Row],[Received Date -received by site]])</f>
        <v/>
      </c>
      <c r="G157" s="89" t="str">
        <f>IF(Master[[#This Row],[Taxon -Lookup Picker in GRIN]]="","",Master[[#This Row],[Taxon -Lookup Picker in GRIN]])</f>
        <v/>
      </c>
      <c r="H157" s="89" t="str">
        <f>IF(Master[[#This Row],[Inventory Maintenance Policy]]="","",Master[[#This Row],[Inventory Maintenance Policy]])</f>
        <v/>
      </c>
      <c r="I157" s="89" t="e">
        <f>IF(Master[[#This Row],[Geography (Collection) -Lookup Picker in GRIN]]="",#REF!,Master[[#This Row],[Geography (Collection) -Lookup Picker in GRIN]])</f>
        <v>#REF!</v>
      </c>
      <c r="J157" s="89" t="str">
        <f>IF(Master[[#This Row],[Collector Verbatim Locality]]="","",Master[[#This Row],[Collector Verbatim Locality]])</f>
        <v/>
      </c>
      <c r="K157" s="91" t="str">
        <f>IF(Master[[#This Row],[Latitude -decimal degrees]]="","",Master[[#This Row],[Latitude -decimal degrees]])</f>
        <v/>
      </c>
      <c r="L157" s="91" t="str">
        <f>IF(Master[[#This Row],[Longitude -decimal degrees]]="","",Master[[#This Row],[Longitude -decimal degrees]])</f>
        <v/>
      </c>
      <c r="M157" s="89" t="str">
        <f>IF(Master[[#This Row],[Cooperator (Donor) 1 -full record]]="","",Master[[#This Row],[Cooperator (Donor) 1 -full record]])</f>
        <v/>
      </c>
    </row>
    <row r="158" spans="1:13" x14ac:dyDescent="0.25">
      <c r="A158" s="89">
        <f t="shared" si="4"/>
        <v>156</v>
      </c>
      <c r="B158" s="89" t="str">
        <f>Master[[#This Row],[Accession Prefix (NPGS)]]&amp;" "&amp;Master[[#This Row],[Accession Number -Assigned]]</f>
        <v xml:space="preserve"> </v>
      </c>
      <c r="C158" s="89" t="str">
        <f>Master[[#This Row],[Inventory Prefix]]&amp;" "&amp;Master[[#This Row],[Inventory Number]]&amp;" "&amp;Master[[#This Row],[Inventory Suffix]]&amp;" "&amp;Master[[#This Row],[Inventory Type - Lookup Picker]]</f>
        <v xml:space="preserve">   </v>
      </c>
      <c r="D158" s="89" t="str">
        <f>IF(Master[[#This Row],[Accession Name (Identifier 1)]]="","",Master[[#This Row],[Accession Name (Identifier 1)]])</f>
        <v xml:space="preserve"> </v>
      </c>
      <c r="E158" s="87" t="str">
        <f>IF(Master[[#This Row],[Date Collected or Developed]]="","",Master[[#This Row],[Date Collected or Developed]])</f>
        <v/>
      </c>
      <c r="F158" s="87" t="str">
        <f>IF(Master[[#This Row],[Received Date -received by site]]="","",Master[[#This Row],[Received Date -received by site]])</f>
        <v/>
      </c>
      <c r="G158" s="89" t="str">
        <f>IF(Master[[#This Row],[Taxon -Lookup Picker in GRIN]]="","",Master[[#This Row],[Taxon -Lookup Picker in GRIN]])</f>
        <v/>
      </c>
      <c r="H158" s="89" t="str">
        <f>IF(Master[[#This Row],[Inventory Maintenance Policy]]="","",Master[[#This Row],[Inventory Maintenance Policy]])</f>
        <v/>
      </c>
      <c r="I158" s="89" t="e">
        <f>IF(Master[[#This Row],[Geography (Collection) -Lookup Picker in GRIN]]="",#REF!,Master[[#This Row],[Geography (Collection) -Lookup Picker in GRIN]])</f>
        <v>#REF!</v>
      </c>
      <c r="J158" s="89" t="str">
        <f>IF(Master[[#This Row],[Collector Verbatim Locality]]="","",Master[[#This Row],[Collector Verbatim Locality]])</f>
        <v/>
      </c>
      <c r="K158" s="91" t="str">
        <f>IF(Master[[#This Row],[Latitude -decimal degrees]]="","",Master[[#This Row],[Latitude -decimal degrees]])</f>
        <v/>
      </c>
      <c r="L158" s="91" t="str">
        <f>IF(Master[[#This Row],[Longitude -decimal degrees]]="","",Master[[#This Row],[Longitude -decimal degrees]])</f>
        <v/>
      </c>
      <c r="M158" s="89" t="str">
        <f>IF(Master[[#This Row],[Cooperator (Donor) 1 -full record]]="","",Master[[#This Row],[Cooperator (Donor) 1 -full record]])</f>
        <v/>
      </c>
    </row>
    <row r="159" spans="1:13" x14ac:dyDescent="0.25">
      <c r="A159" s="89">
        <f t="shared" si="4"/>
        <v>157</v>
      </c>
      <c r="B159" s="89" t="str">
        <f>Master[[#This Row],[Accession Prefix (NPGS)]]&amp;" "&amp;Master[[#This Row],[Accession Number -Assigned]]</f>
        <v xml:space="preserve"> </v>
      </c>
      <c r="C159" s="89" t="str">
        <f>Master[[#This Row],[Inventory Prefix]]&amp;" "&amp;Master[[#This Row],[Inventory Number]]&amp;" "&amp;Master[[#This Row],[Inventory Suffix]]&amp;" "&amp;Master[[#This Row],[Inventory Type - Lookup Picker]]</f>
        <v xml:space="preserve">   </v>
      </c>
      <c r="D159" s="89" t="str">
        <f>IF(Master[[#This Row],[Accession Name (Identifier 1)]]="","",Master[[#This Row],[Accession Name (Identifier 1)]])</f>
        <v xml:space="preserve"> </v>
      </c>
      <c r="E159" s="87" t="str">
        <f>IF(Master[[#This Row],[Date Collected or Developed]]="","",Master[[#This Row],[Date Collected or Developed]])</f>
        <v/>
      </c>
      <c r="F159" s="87" t="str">
        <f>IF(Master[[#This Row],[Received Date -received by site]]="","",Master[[#This Row],[Received Date -received by site]])</f>
        <v/>
      </c>
      <c r="G159" s="89" t="str">
        <f>IF(Master[[#This Row],[Taxon -Lookup Picker in GRIN]]="","",Master[[#This Row],[Taxon -Lookup Picker in GRIN]])</f>
        <v/>
      </c>
      <c r="H159" s="89" t="str">
        <f>IF(Master[[#This Row],[Inventory Maintenance Policy]]="","",Master[[#This Row],[Inventory Maintenance Policy]])</f>
        <v/>
      </c>
      <c r="I159" s="89" t="e">
        <f>IF(Master[[#This Row],[Geography (Collection) -Lookup Picker in GRIN]]="",#REF!,Master[[#This Row],[Geography (Collection) -Lookup Picker in GRIN]])</f>
        <v>#REF!</v>
      </c>
      <c r="J159" s="89" t="str">
        <f>IF(Master[[#This Row],[Collector Verbatim Locality]]="","",Master[[#This Row],[Collector Verbatim Locality]])</f>
        <v/>
      </c>
      <c r="K159" s="91" t="str">
        <f>IF(Master[[#This Row],[Latitude -decimal degrees]]="","",Master[[#This Row],[Latitude -decimal degrees]])</f>
        <v/>
      </c>
      <c r="L159" s="91" t="str">
        <f>IF(Master[[#This Row],[Longitude -decimal degrees]]="","",Master[[#This Row],[Longitude -decimal degrees]])</f>
        <v/>
      </c>
      <c r="M159" s="89" t="str">
        <f>IF(Master[[#This Row],[Cooperator (Donor) 1 -full record]]="","",Master[[#This Row],[Cooperator (Donor) 1 -full record]])</f>
        <v/>
      </c>
    </row>
    <row r="160" spans="1:13" x14ac:dyDescent="0.25">
      <c r="A160" s="89">
        <f t="shared" si="4"/>
        <v>158</v>
      </c>
      <c r="B160" s="89" t="str">
        <f>Master[[#This Row],[Accession Prefix (NPGS)]]&amp;" "&amp;Master[[#This Row],[Accession Number -Assigned]]</f>
        <v xml:space="preserve"> </v>
      </c>
      <c r="C160" s="89" t="str">
        <f>Master[[#This Row],[Inventory Prefix]]&amp;" "&amp;Master[[#This Row],[Inventory Number]]&amp;" "&amp;Master[[#This Row],[Inventory Suffix]]&amp;" "&amp;Master[[#This Row],[Inventory Type - Lookup Picker]]</f>
        <v xml:space="preserve">   </v>
      </c>
      <c r="D160" s="89" t="str">
        <f>IF(Master[[#This Row],[Accession Name (Identifier 1)]]="","",Master[[#This Row],[Accession Name (Identifier 1)]])</f>
        <v xml:space="preserve"> </v>
      </c>
      <c r="E160" s="87" t="str">
        <f>IF(Master[[#This Row],[Date Collected or Developed]]="","",Master[[#This Row],[Date Collected or Developed]])</f>
        <v/>
      </c>
      <c r="F160" s="87" t="str">
        <f>IF(Master[[#This Row],[Received Date -received by site]]="","",Master[[#This Row],[Received Date -received by site]])</f>
        <v/>
      </c>
      <c r="G160" s="89" t="str">
        <f>IF(Master[[#This Row],[Taxon -Lookup Picker in GRIN]]="","",Master[[#This Row],[Taxon -Lookup Picker in GRIN]])</f>
        <v/>
      </c>
      <c r="H160" s="89" t="str">
        <f>IF(Master[[#This Row],[Inventory Maintenance Policy]]="","",Master[[#This Row],[Inventory Maintenance Policy]])</f>
        <v/>
      </c>
      <c r="I160" s="89" t="e">
        <f>IF(Master[[#This Row],[Geography (Collection) -Lookup Picker in GRIN]]="",#REF!,Master[[#This Row],[Geography (Collection) -Lookup Picker in GRIN]])</f>
        <v>#REF!</v>
      </c>
      <c r="J160" s="89" t="str">
        <f>IF(Master[[#This Row],[Collector Verbatim Locality]]="","",Master[[#This Row],[Collector Verbatim Locality]])</f>
        <v/>
      </c>
      <c r="K160" s="91" t="str">
        <f>IF(Master[[#This Row],[Latitude -decimal degrees]]="","",Master[[#This Row],[Latitude -decimal degrees]])</f>
        <v/>
      </c>
      <c r="L160" s="91" t="str">
        <f>IF(Master[[#This Row],[Longitude -decimal degrees]]="","",Master[[#This Row],[Longitude -decimal degrees]])</f>
        <v/>
      </c>
      <c r="M160" s="89" t="str">
        <f>IF(Master[[#This Row],[Cooperator (Donor) 1 -full record]]="","",Master[[#This Row],[Cooperator (Donor) 1 -full record]])</f>
        <v/>
      </c>
    </row>
    <row r="161" spans="1:13" x14ac:dyDescent="0.25">
      <c r="A161" s="89">
        <f t="shared" si="4"/>
        <v>159</v>
      </c>
      <c r="B161" s="89" t="str">
        <f>Master[[#This Row],[Accession Prefix (NPGS)]]&amp;" "&amp;Master[[#This Row],[Accession Number -Assigned]]</f>
        <v xml:space="preserve"> </v>
      </c>
      <c r="C161" s="89" t="str">
        <f>Master[[#This Row],[Inventory Prefix]]&amp;" "&amp;Master[[#This Row],[Inventory Number]]&amp;" "&amp;Master[[#This Row],[Inventory Suffix]]&amp;" "&amp;Master[[#This Row],[Inventory Type - Lookup Picker]]</f>
        <v xml:space="preserve">   </v>
      </c>
      <c r="D161" s="89" t="str">
        <f>IF(Master[[#This Row],[Accession Name (Identifier 1)]]="","",Master[[#This Row],[Accession Name (Identifier 1)]])</f>
        <v xml:space="preserve"> </v>
      </c>
      <c r="E161" s="87" t="str">
        <f>IF(Master[[#This Row],[Date Collected or Developed]]="","",Master[[#This Row],[Date Collected or Developed]])</f>
        <v/>
      </c>
      <c r="F161" s="87" t="str">
        <f>IF(Master[[#This Row],[Received Date -received by site]]="","",Master[[#This Row],[Received Date -received by site]])</f>
        <v/>
      </c>
      <c r="G161" s="89" t="str">
        <f>IF(Master[[#This Row],[Taxon -Lookup Picker in GRIN]]="","",Master[[#This Row],[Taxon -Lookup Picker in GRIN]])</f>
        <v/>
      </c>
      <c r="H161" s="89" t="str">
        <f>IF(Master[[#This Row],[Inventory Maintenance Policy]]="","",Master[[#This Row],[Inventory Maintenance Policy]])</f>
        <v/>
      </c>
      <c r="I161" s="89" t="e">
        <f>IF(Master[[#This Row],[Geography (Collection) -Lookup Picker in GRIN]]="",#REF!,Master[[#This Row],[Geography (Collection) -Lookup Picker in GRIN]])</f>
        <v>#REF!</v>
      </c>
      <c r="J161" s="89" t="str">
        <f>IF(Master[[#This Row],[Collector Verbatim Locality]]="","",Master[[#This Row],[Collector Verbatim Locality]])</f>
        <v/>
      </c>
      <c r="K161" s="91" t="str">
        <f>IF(Master[[#This Row],[Latitude -decimal degrees]]="","",Master[[#This Row],[Latitude -decimal degrees]])</f>
        <v/>
      </c>
      <c r="L161" s="91" t="str">
        <f>IF(Master[[#This Row],[Longitude -decimal degrees]]="","",Master[[#This Row],[Longitude -decimal degrees]])</f>
        <v/>
      </c>
      <c r="M161" s="89" t="str">
        <f>IF(Master[[#This Row],[Cooperator (Donor) 1 -full record]]="","",Master[[#This Row],[Cooperator (Donor) 1 -full record]])</f>
        <v/>
      </c>
    </row>
    <row r="162" spans="1:13" x14ac:dyDescent="0.25">
      <c r="A162" s="89">
        <f t="shared" ref="A162:A193" si="5">ROW()-2</f>
        <v>160</v>
      </c>
      <c r="B162" s="89" t="str">
        <f>Master[[#This Row],[Accession Prefix (NPGS)]]&amp;" "&amp;Master[[#This Row],[Accession Number -Assigned]]</f>
        <v xml:space="preserve"> </v>
      </c>
      <c r="C162" s="89" t="str">
        <f>Master[[#This Row],[Inventory Prefix]]&amp;" "&amp;Master[[#This Row],[Inventory Number]]&amp;" "&amp;Master[[#This Row],[Inventory Suffix]]&amp;" "&amp;Master[[#This Row],[Inventory Type - Lookup Picker]]</f>
        <v xml:space="preserve">   </v>
      </c>
      <c r="D162" s="89" t="str">
        <f>IF(Master[[#This Row],[Accession Name (Identifier 1)]]="","",Master[[#This Row],[Accession Name (Identifier 1)]])</f>
        <v xml:space="preserve"> </v>
      </c>
      <c r="E162" s="87" t="str">
        <f>IF(Master[[#This Row],[Date Collected or Developed]]="","",Master[[#This Row],[Date Collected or Developed]])</f>
        <v/>
      </c>
      <c r="F162" s="87" t="str">
        <f>IF(Master[[#This Row],[Received Date -received by site]]="","",Master[[#This Row],[Received Date -received by site]])</f>
        <v/>
      </c>
      <c r="G162" s="89" t="str">
        <f>IF(Master[[#This Row],[Taxon -Lookup Picker in GRIN]]="","",Master[[#This Row],[Taxon -Lookup Picker in GRIN]])</f>
        <v/>
      </c>
      <c r="H162" s="89" t="str">
        <f>IF(Master[[#This Row],[Inventory Maintenance Policy]]="","",Master[[#This Row],[Inventory Maintenance Policy]])</f>
        <v/>
      </c>
      <c r="I162" s="89" t="e">
        <f>IF(Master[[#This Row],[Geography (Collection) -Lookup Picker in GRIN]]="",#REF!,Master[[#This Row],[Geography (Collection) -Lookup Picker in GRIN]])</f>
        <v>#REF!</v>
      </c>
      <c r="J162" s="89" t="str">
        <f>IF(Master[[#This Row],[Collector Verbatim Locality]]="","",Master[[#This Row],[Collector Verbatim Locality]])</f>
        <v/>
      </c>
      <c r="K162" s="91" t="str">
        <f>IF(Master[[#This Row],[Latitude -decimal degrees]]="","",Master[[#This Row],[Latitude -decimal degrees]])</f>
        <v/>
      </c>
      <c r="L162" s="91" t="str">
        <f>IF(Master[[#This Row],[Longitude -decimal degrees]]="","",Master[[#This Row],[Longitude -decimal degrees]])</f>
        <v/>
      </c>
      <c r="M162" s="89" t="str">
        <f>IF(Master[[#This Row],[Cooperator (Donor) 1 -full record]]="","",Master[[#This Row],[Cooperator (Donor) 1 -full record]])</f>
        <v/>
      </c>
    </row>
    <row r="163" spans="1:13" x14ac:dyDescent="0.25">
      <c r="A163" s="89">
        <f t="shared" si="5"/>
        <v>161</v>
      </c>
      <c r="B163" s="89" t="str">
        <f>Master[[#This Row],[Accession Prefix (NPGS)]]&amp;" "&amp;Master[[#This Row],[Accession Number -Assigned]]</f>
        <v xml:space="preserve"> </v>
      </c>
      <c r="C163" s="89" t="str">
        <f>Master[[#This Row],[Inventory Prefix]]&amp;" "&amp;Master[[#This Row],[Inventory Number]]&amp;" "&amp;Master[[#This Row],[Inventory Suffix]]&amp;" "&amp;Master[[#This Row],[Inventory Type - Lookup Picker]]</f>
        <v xml:space="preserve">   </v>
      </c>
      <c r="D163" s="89" t="str">
        <f>IF(Master[[#This Row],[Accession Name (Identifier 1)]]="","",Master[[#This Row],[Accession Name (Identifier 1)]])</f>
        <v xml:space="preserve"> </v>
      </c>
      <c r="E163" s="87" t="str">
        <f>IF(Master[[#This Row],[Date Collected or Developed]]="","",Master[[#This Row],[Date Collected or Developed]])</f>
        <v/>
      </c>
      <c r="F163" s="87" t="str">
        <f>IF(Master[[#This Row],[Received Date -received by site]]="","",Master[[#This Row],[Received Date -received by site]])</f>
        <v/>
      </c>
      <c r="G163" s="89" t="str">
        <f>IF(Master[[#This Row],[Taxon -Lookup Picker in GRIN]]="","",Master[[#This Row],[Taxon -Lookup Picker in GRIN]])</f>
        <v/>
      </c>
      <c r="H163" s="89" t="str">
        <f>IF(Master[[#This Row],[Inventory Maintenance Policy]]="","",Master[[#This Row],[Inventory Maintenance Policy]])</f>
        <v/>
      </c>
      <c r="I163" s="89" t="e">
        <f>IF(Master[[#This Row],[Geography (Collection) -Lookup Picker in GRIN]]="",#REF!,Master[[#This Row],[Geography (Collection) -Lookup Picker in GRIN]])</f>
        <v>#REF!</v>
      </c>
      <c r="J163" s="89" t="str">
        <f>IF(Master[[#This Row],[Collector Verbatim Locality]]="","",Master[[#This Row],[Collector Verbatim Locality]])</f>
        <v/>
      </c>
      <c r="K163" s="91" t="str">
        <f>IF(Master[[#This Row],[Latitude -decimal degrees]]="","",Master[[#This Row],[Latitude -decimal degrees]])</f>
        <v/>
      </c>
      <c r="L163" s="91" t="str">
        <f>IF(Master[[#This Row],[Longitude -decimal degrees]]="","",Master[[#This Row],[Longitude -decimal degrees]])</f>
        <v/>
      </c>
      <c r="M163" s="89" t="str">
        <f>IF(Master[[#This Row],[Cooperator (Donor) 1 -full record]]="","",Master[[#This Row],[Cooperator (Donor) 1 -full record]])</f>
        <v/>
      </c>
    </row>
    <row r="164" spans="1:13" x14ac:dyDescent="0.25">
      <c r="A164" s="89">
        <f t="shared" si="5"/>
        <v>162</v>
      </c>
      <c r="B164" s="89" t="str">
        <f>Master[[#This Row],[Accession Prefix (NPGS)]]&amp;" "&amp;Master[[#This Row],[Accession Number -Assigned]]</f>
        <v xml:space="preserve"> </v>
      </c>
      <c r="C164" s="89" t="str">
        <f>Master[[#This Row],[Inventory Prefix]]&amp;" "&amp;Master[[#This Row],[Inventory Number]]&amp;" "&amp;Master[[#This Row],[Inventory Suffix]]&amp;" "&amp;Master[[#This Row],[Inventory Type - Lookup Picker]]</f>
        <v xml:space="preserve">   </v>
      </c>
      <c r="D164" s="89" t="str">
        <f>IF(Master[[#This Row],[Accession Name (Identifier 1)]]="","",Master[[#This Row],[Accession Name (Identifier 1)]])</f>
        <v xml:space="preserve"> </v>
      </c>
      <c r="E164" s="87" t="str">
        <f>IF(Master[[#This Row],[Date Collected or Developed]]="","",Master[[#This Row],[Date Collected or Developed]])</f>
        <v/>
      </c>
      <c r="F164" s="87" t="str">
        <f>IF(Master[[#This Row],[Received Date -received by site]]="","",Master[[#This Row],[Received Date -received by site]])</f>
        <v/>
      </c>
      <c r="G164" s="89" t="str">
        <f>IF(Master[[#This Row],[Taxon -Lookup Picker in GRIN]]="","",Master[[#This Row],[Taxon -Lookup Picker in GRIN]])</f>
        <v/>
      </c>
      <c r="H164" s="89" t="str">
        <f>IF(Master[[#This Row],[Inventory Maintenance Policy]]="","",Master[[#This Row],[Inventory Maintenance Policy]])</f>
        <v/>
      </c>
      <c r="I164" s="89" t="e">
        <f>IF(Master[[#This Row],[Geography (Collection) -Lookup Picker in GRIN]]="",#REF!,Master[[#This Row],[Geography (Collection) -Lookup Picker in GRIN]])</f>
        <v>#REF!</v>
      </c>
      <c r="J164" s="89" t="str">
        <f>IF(Master[[#This Row],[Collector Verbatim Locality]]="","",Master[[#This Row],[Collector Verbatim Locality]])</f>
        <v/>
      </c>
      <c r="K164" s="91" t="str">
        <f>IF(Master[[#This Row],[Latitude -decimal degrees]]="","",Master[[#This Row],[Latitude -decimal degrees]])</f>
        <v/>
      </c>
      <c r="L164" s="91" t="str">
        <f>IF(Master[[#This Row],[Longitude -decimal degrees]]="","",Master[[#This Row],[Longitude -decimal degrees]])</f>
        <v/>
      </c>
      <c r="M164" s="89" t="str">
        <f>IF(Master[[#This Row],[Cooperator (Donor) 1 -full record]]="","",Master[[#This Row],[Cooperator (Donor) 1 -full record]])</f>
        <v/>
      </c>
    </row>
    <row r="165" spans="1:13" x14ac:dyDescent="0.25">
      <c r="A165" s="89">
        <f t="shared" si="5"/>
        <v>163</v>
      </c>
      <c r="B165" s="89" t="str">
        <f>Master[[#This Row],[Accession Prefix (NPGS)]]&amp;" "&amp;Master[[#This Row],[Accession Number -Assigned]]</f>
        <v xml:space="preserve"> </v>
      </c>
      <c r="C165" s="89" t="str">
        <f>Master[[#This Row],[Inventory Prefix]]&amp;" "&amp;Master[[#This Row],[Inventory Number]]&amp;" "&amp;Master[[#This Row],[Inventory Suffix]]&amp;" "&amp;Master[[#This Row],[Inventory Type - Lookup Picker]]</f>
        <v xml:space="preserve">   </v>
      </c>
      <c r="D165" s="89" t="str">
        <f>IF(Master[[#This Row],[Accession Name (Identifier 1)]]="","",Master[[#This Row],[Accession Name (Identifier 1)]])</f>
        <v xml:space="preserve"> </v>
      </c>
      <c r="E165" s="87" t="str">
        <f>IF(Master[[#This Row],[Date Collected or Developed]]="","",Master[[#This Row],[Date Collected or Developed]])</f>
        <v/>
      </c>
      <c r="F165" s="87" t="str">
        <f>IF(Master[[#This Row],[Received Date -received by site]]="","",Master[[#This Row],[Received Date -received by site]])</f>
        <v/>
      </c>
      <c r="G165" s="89" t="str">
        <f>IF(Master[[#This Row],[Taxon -Lookup Picker in GRIN]]="","",Master[[#This Row],[Taxon -Lookup Picker in GRIN]])</f>
        <v/>
      </c>
      <c r="H165" s="89" t="str">
        <f>IF(Master[[#This Row],[Inventory Maintenance Policy]]="","",Master[[#This Row],[Inventory Maintenance Policy]])</f>
        <v/>
      </c>
      <c r="I165" s="89" t="e">
        <f>IF(Master[[#This Row],[Geography (Collection) -Lookup Picker in GRIN]]="",#REF!,Master[[#This Row],[Geography (Collection) -Lookup Picker in GRIN]])</f>
        <v>#REF!</v>
      </c>
      <c r="J165" s="89" t="str">
        <f>IF(Master[[#This Row],[Collector Verbatim Locality]]="","",Master[[#This Row],[Collector Verbatim Locality]])</f>
        <v/>
      </c>
      <c r="K165" s="91" t="str">
        <f>IF(Master[[#This Row],[Latitude -decimal degrees]]="","",Master[[#This Row],[Latitude -decimal degrees]])</f>
        <v/>
      </c>
      <c r="L165" s="91" t="str">
        <f>IF(Master[[#This Row],[Longitude -decimal degrees]]="","",Master[[#This Row],[Longitude -decimal degrees]])</f>
        <v/>
      </c>
      <c r="M165" s="89" t="str">
        <f>IF(Master[[#This Row],[Cooperator (Donor) 1 -full record]]="","",Master[[#This Row],[Cooperator (Donor) 1 -full record]])</f>
        <v/>
      </c>
    </row>
    <row r="166" spans="1:13" x14ac:dyDescent="0.25">
      <c r="A166" s="89">
        <f t="shared" si="5"/>
        <v>164</v>
      </c>
      <c r="B166" s="89" t="str">
        <f>Master[[#This Row],[Accession Prefix (NPGS)]]&amp;" "&amp;Master[[#This Row],[Accession Number -Assigned]]</f>
        <v xml:space="preserve"> </v>
      </c>
      <c r="C166" s="89" t="str">
        <f>Master[[#This Row],[Inventory Prefix]]&amp;" "&amp;Master[[#This Row],[Inventory Number]]&amp;" "&amp;Master[[#This Row],[Inventory Suffix]]&amp;" "&amp;Master[[#This Row],[Inventory Type - Lookup Picker]]</f>
        <v xml:space="preserve">   </v>
      </c>
      <c r="D166" s="89" t="str">
        <f>IF(Master[[#This Row],[Accession Name (Identifier 1)]]="","",Master[[#This Row],[Accession Name (Identifier 1)]])</f>
        <v xml:space="preserve"> </v>
      </c>
      <c r="E166" s="87" t="str">
        <f>IF(Master[[#This Row],[Date Collected or Developed]]="","",Master[[#This Row],[Date Collected or Developed]])</f>
        <v/>
      </c>
      <c r="F166" s="87" t="str">
        <f>IF(Master[[#This Row],[Received Date -received by site]]="","",Master[[#This Row],[Received Date -received by site]])</f>
        <v/>
      </c>
      <c r="G166" s="89" t="str">
        <f>IF(Master[[#This Row],[Taxon -Lookup Picker in GRIN]]="","",Master[[#This Row],[Taxon -Lookup Picker in GRIN]])</f>
        <v/>
      </c>
      <c r="H166" s="89" t="str">
        <f>IF(Master[[#This Row],[Inventory Maintenance Policy]]="","",Master[[#This Row],[Inventory Maintenance Policy]])</f>
        <v/>
      </c>
      <c r="I166" s="89" t="e">
        <f>IF(Master[[#This Row],[Geography (Collection) -Lookup Picker in GRIN]]="",#REF!,Master[[#This Row],[Geography (Collection) -Lookup Picker in GRIN]])</f>
        <v>#REF!</v>
      </c>
      <c r="J166" s="89" t="str">
        <f>IF(Master[[#This Row],[Collector Verbatim Locality]]="","",Master[[#This Row],[Collector Verbatim Locality]])</f>
        <v/>
      </c>
      <c r="K166" s="91" t="str">
        <f>IF(Master[[#This Row],[Latitude -decimal degrees]]="","",Master[[#This Row],[Latitude -decimal degrees]])</f>
        <v/>
      </c>
      <c r="L166" s="91" t="str">
        <f>IF(Master[[#This Row],[Longitude -decimal degrees]]="","",Master[[#This Row],[Longitude -decimal degrees]])</f>
        <v/>
      </c>
      <c r="M166" s="89" t="str">
        <f>IF(Master[[#This Row],[Cooperator (Donor) 1 -full record]]="","",Master[[#This Row],[Cooperator (Donor) 1 -full record]])</f>
        <v/>
      </c>
    </row>
    <row r="167" spans="1:13" x14ac:dyDescent="0.25">
      <c r="A167" s="89">
        <f t="shared" si="5"/>
        <v>165</v>
      </c>
      <c r="B167" s="89" t="str">
        <f>Master[[#This Row],[Accession Prefix (NPGS)]]&amp;" "&amp;Master[[#This Row],[Accession Number -Assigned]]</f>
        <v xml:space="preserve"> </v>
      </c>
      <c r="C167" s="89" t="str">
        <f>Master[[#This Row],[Inventory Prefix]]&amp;" "&amp;Master[[#This Row],[Inventory Number]]&amp;" "&amp;Master[[#This Row],[Inventory Suffix]]&amp;" "&amp;Master[[#This Row],[Inventory Type - Lookup Picker]]</f>
        <v xml:space="preserve">   </v>
      </c>
      <c r="D167" s="89" t="str">
        <f>IF(Master[[#This Row],[Accession Name (Identifier 1)]]="","",Master[[#This Row],[Accession Name (Identifier 1)]])</f>
        <v xml:space="preserve"> </v>
      </c>
      <c r="E167" s="87" t="str">
        <f>IF(Master[[#This Row],[Date Collected or Developed]]="","",Master[[#This Row],[Date Collected or Developed]])</f>
        <v/>
      </c>
      <c r="F167" s="87" t="str">
        <f>IF(Master[[#This Row],[Received Date -received by site]]="","",Master[[#This Row],[Received Date -received by site]])</f>
        <v/>
      </c>
      <c r="G167" s="89" t="str">
        <f>IF(Master[[#This Row],[Taxon -Lookup Picker in GRIN]]="","",Master[[#This Row],[Taxon -Lookup Picker in GRIN]])</f>
        <v/>
      </c>
      <c r="H167" s="89" t="str">
        <f>IF(Master[[#This Row],[Inventory Maintenance Policy]]="","",Master[[#This Row],[Inventory Maintenance Policy]])</f>
        <v/>
      </c>
      <c r="I167" s="89" t="e">
        <f>IF(Master[[#This Row],[Geography (Collection) -Lookup Picker in GRIN]]="",#REF!,Master[[#This Row],[Geography (Collection) -Lookup Picker in GRIN]])</f>
        <v>#REF!</v>
      </c>
      <c r="J167" s="89" t="str">
        <f>IF(Master[[#This Row],[Collector Verbatim Locality]]="","",Master[[#This Row],[Collector Verbatim Locality]])</f>
        <v/>
      </c>
      <c r="K167" s="91" t="str">
        <f>IF(Master[[#This Row],[Latitude -decimal degrees]]="","",Master[[#This Row],[Latitude -decimal degrees]])</f>
        <v/>
      </c>
      <c r="L167" s="91" t="str">
        <f>IF(Master[[#This Row],[Longitude -decimal degrees]]="","",Master[[#This Row],[Longitude -decimal degrees]])</f>
        <v/>
      </c>
      <c r="M167" s="89" t="str">
        <f>IF(Master[[#This Row],[Cooperator (Donor) 1 -full record]]="","",Master[[#This Row],[Cooperator (Donor) 1 -full record]])</f>
        <v/>
      </c>
    </row>
    <row r="168" spans="1:13" x14ac:dyDescent="0.25">
      <c r="A168" s="89">
        <f t="shared" si="5"/>
        <v>166</v>
      </c>
      <c r="B168" s="89" t="str">
        <f>Master[[#This Row],[Accession Prefix (NPGS)]]&amp;" "&amp;Master[[#This Row],[Accession Number -Assigned]]</f>
        <v xml:space="preserve"> </v>
      </c>
      <c r="C168" s="89" t="str">
        <f>Master[[#This Row],[Inventory Prefix]]&amp;" "&amp;Master[[#This Row],[Inventory Number]]&amp;" "&amp;Master[[#This Row],[Inventory Suffix]]&amp;" "&amp;Master[[#This Row],[Inventory Type - Lookup Picker]]</f>
        <v xml:space="preserve">   </v>
      </c>
      <c r="D168" s="89" t="str">
        <f>IF(Master[[#This Row],[Accession Name (Identifier 1)]]="","",Master[[#This Row],[Accession Name (Identifier 1)]])</f>
        <v xml:space="preserve"> </v>
      </c>
      <c r="E168" s="87" t="str">
        <f>IF(Master[[#This Row],[Date Collected or Developed]]="","",Master[[#This Row],[Date Collected or Developed]])</f>
        <v/>
      </c>
      <c r="F168" s="87" t="str">
        <f>IF(Master[[#This Row],[Received Date -received by site]]="","",Master[[#This Row],[Received Date -received by site]])</f>
        <v/>
      </c>
      <c r="G168" s="89" t="str">
        <f>IF(Master[[#This Row],[Taxon -Lookup Picker in GRIN]]="","",Master[[#This Row],[Taxon -Lookup Picker in GRIN]])</f>
        <v/>
      </c>
      <c r="H168" s="89" t="str">
        <f>IF(Master[[#This Row],[Inventory Maintenance Policy]]="","",Master[[#This Row],[Inventory Maintenance Policy]])</f>
        <v/>
      </c>
      <c r="I168" s="89" t="e">
        <f>IF(Master[[#This Row],[Geography (Collection) -Lookup Picker in GRIN]]="",#REF!,Master[[#This Row],[Geography (Collection) -Lookup Picker in GRIN]])</f>
        <v>#REF!</v>
      </c>
      <c r="J168" s="89" t="str">
        <f>IF(Master[[#This Row],[Collector Verbatim Locality]]="","",Master[[#This Row],[Collector Verbatim Locality]])</f>
        <v/>
      </c>
      <c r="K168" s="91" t="str">
        <f>IF(Master[[#This Row],[Latitude -decimal degrees]]="","",Master[[#This Row],[Latitude -decimal degrees]])</f>
        <v/>
      </c>
      <c r="L168" s="91" t="str">
        <f>IF(Master[[#This Row],[Longitude -decimal degrees]]="","",Master[[#This Row],[Longitude -decimal degrees]])</f>
        <v/>
      </c>
      <c r="M168" s="89" t="str">
        <f>IF(Master[[#This Row],[Cooperator (Donor) 1 -full record]]="","",Master[[#This Row],[Cooperator (Donor) 1 -full record]])</f>
        <v/>
      </c>
    </row>
    <row r="169" spans="1:13" x14ac:dyDescent="0.25">
      <c r="A169" s="89">
        <f t="shared" si="5"/>
        <v>167</v>
      </c>
      <c r="B169" s="89" t="str">
        <f>Master[[#This Row],[Accession Prefix (NPGS)]]&amp;" "&amp;Master[[#This Row],[Accession Number -Assigned]]</f>
        <v xml:space="preserve"> </v>
      </c>
      <c r="C169" s="89" t="str">
        <f>Master[[#This Row],[Inventory Prefix]]&amp;" "&amp;Master[[#This Row],[Inventory Number]]&amp;" "&amp;Master[[#This Row],[Inventory Suffix]]&amp;" "&amp;Master[[#This Row],[Inventory Type - Lookup Picker]]</f>
        <v xml:space="preserve">   </v>
      </c>
      <c r="D169" s="89" t="str">
        <f>IF(Master[[#This Row],[Accession Name (Identifier 1)]]="","",Master[[#This Row],[Accession Name (Identifier 1)]])</f>
        <v xml:space="preserve"> </v>
      </c>
      <c r="E169" s="87" t="str">
        <f>IF(Master[[#This Row],[Date Collected or Developed]]="","",Master[[#This Row],[Date Collected or Developed]])</f>
        <v/>
      </c>
      <c r="F169" s="87" t="str">
        <f>IF(Master[[#This Row],[Received Date -received by site]]="","",Master[[#This Row],[Received Date -received by site]])</f>
        <v/>
      </c>
      <c r="G169" s="89" t="str">
        <f>IF(Master[[#This Row],[Taxon -Lookup Picker in GRIN]]="","",Master[[#This Row],[Taxon -Lookup Picker in GRIN]])</f>
        <v/>
      </c>
      <c r="H169" s="89" t="str">
        <f>IF(Master[[#This Row],[Inventory Maintenance Policy]]="","",Master[[#This Row],[Inventory Maintenance Policy]])</f>
        <v/>
      </c>
      <c r="I169" s="89" t="e">
        <f>IF(Master[[#This Row],[Geography (Collection) -Lookup Picker in GRIN]]="",#REF!,Master[[#This Row],[Geography (Collection) -Lookup Picker in GRIN]])</f>
        <v>#REF!</v>
      </c>
      <c r="J169" s="89" t="str">
        <f>IF(Master[[#This Row],[Collector Verbatim Locality]]="","",Master[[#This Row],[Collector Verbatim Locality]])</f>
        <v/>
      </c>
      <c r="K169" s="91" t="str">
        <f>IF(Master[[#This Row],[Latitude -decimal degrees]]="","",Master[[#This Row],[Latitude -decimal degrees]])</f>
        <v/>
      </c>
      <c r="L169" s="91" t="str">
        <f>IF(Master[[#This Row],[Longitude -decimal degrees]]="","",Master[[#This Row],[Longitude -decimal degrees]])</f>
        <v/>
      </c>
      <c r="M169" s="89" t="str">
        <f>IF(Master[[#This Row],[Cooperator (Donor) 1 -full record]]="","",Master[[#This Row],[Cooperator (Donor) 1 -full record]])</f>
        <v/>
      </c>
    </row>
    <row r="170" spans="1:13" x14ac:dyDescent="0.25">
      <c r="A170" s="89">
        <f t="shared" si="5"/>
        <v>168</v>
      </c>
      <c r="B170" s="89" t="str">
        <f>Master[[#This Row],[Accession Prefix (NPGS)]]&amp;" "&amp;Master[[#This Row],[Accession Number -Assigned]]</f>
        <v xml:space="preserve"> </v>
      </c>
      <c r="C170" s="89" t="str">
        <f>Master[[#This Row],[Inventory Prefix]]&amp;" "&amp;Master[[#This Row],[Inventory Number]]&amp;" "&amp;Master[[#This Row],[Inventory Suffix]]&amp;" "&amp;Master[[#This Row],[Inventory Type - Lookup Picker]]</f>
        <v xml:space="preserve">   </v>
      </c>
      <c r="D170" s="89" t="str">
        <f>IF(Master[[#This Row],[Accession Name (Identifier 1)]]="","",Master[[#This Row],[Accession Name (Identifier 1)]])</f>
        <v xml:space="preserve"> </v>
      </c>
      <c r="E170" s="87" t="str">
        <f>IF(Master[[#This Row],[Date Collected or Developed]]="","",Master[[#This Row],[Date Collected or Developed]])</f>
        <v/>
      </c>
      <c r="F170" s="87" t="str">
        <f>IF(Master[[#This Row],[Received Date -received by site]]="","",Master[[#This Row],[Received Date -received by site]])</f>
        <v/>
      </c>
      <c r="G170" s="89" t="str">
        <f>IF(Master[[#This Row],[Taxon -Lookup Picker in GRIN]]="","",Master[[#This Row],[Taxon -Lookup Picker in GRIN]])</f>
        <v/>
      </c>
      <c r="H170" s="89" t="str">
        <f>IF(Master[[#This Row],[Inventory Maintenance Policy]]="","",Master[[#This Row],[Inventory Maintenance Policy]])</f>
        <v/>
      </c>
      <c r="I170" s="89" t="e">
        <f>IF(Master[[#This Row],[Geography (Collection) -Lookup Picker in GRIN]]="",#REF!,Master[[#This Row],[Geography (Collection) -Lookup Picker in GRIN]])</f>
        <v>#REF!</v>
      </c>
      <c r="J170" s="89" t="str">
        <f>IF(Master[[#This Row],[Collector Verbatim Locality]]="","",Master[[#This Row],[Collector Verbatim Locality]])</f>
        <v/>
      </c>
      <c r="K170" s="91" t="str">
        <f>IF(Master[[#This Row],[Latitude -decimal degrees]]="","",Master[[#This Row],[Latitude -decimal degrees]])</f>
        <v/>
      </c>
      <c r="L170" s="91" t="str">
        <f>IF(Master[[#This Row],[Longitude -decimal degrees]]="","",Master[[#This Row],[Longitude -decimal degrees]])</f>
        <v/>
      </c>
      <c r="M170" s="89" t="str">
        <f>IF(Master[[#This Row],[Cooperator (Donor) 1 -full record]]="","",Master[[#This Row],[Cooperator (Donor) 1 -full record]])</f>
        <v/>
      </c>
    </row>
    <row r="171" spans="1:13" x14ac:dyDescent="0.25">
      <c r="A171" s="89">
        <f t="shared" si="5"/>
        <v>169</v>
      </c>
      <c r="B171" s="89" t="str">
        <f>Master[[#This Row],[Accession Prefix (NPGS)]]&amp;" "&amp;Master[[#This Row],[Accession Number -Assigned]]</f>
        <v xml:space="preserve"> </v>
      </c>
      <c r="C171" s="89" t="str">
        <f>Master[[#This Row],[Inventory Prefix]]&amp;" "&amp;Master[[#This Row],[Inventory Number]]&amp;" "&amp;Master[[#This Row],[Inventory Suffix]]&amp;" "&amp;Master[[#This Row],[Inventory Type - Lookup Picker]]</f>
        <v xml:space="preserve">   </v>
      </c>
      <c r="D171" s="89" t="str">
        <f>IF(Master[[#This Row],[Accession Name (Identifier 1)]]="","",Master[[#This Row],[Accession Name (Identifier 1)]])</f>
        <v xml:space="preserve"> </v>
      </c>
      <c r="E171" s="87" t="str">
        <f>IF(Master[[#This Row],[Date Collected or Developed]]="","",Master[[#This Row],[Date Collected or Developed]])</f>
        <v/>
      </c>
      <c r="F171" s="87" t="str">
        <f>IF(Master[[#This Row],[Received Date -received by site]]="","",Master[[#This Row],[Received Date -received by site]])</f>
        <v/>
      </c>
      <c r="G171" s="89" t="str">
        <f>IF(Master[[#This Row],[Taxon -Lookup Picker in GRIN]]="","",Master[[#This Row],[Taxon -Lookup Picker in GRIN]])</f>
        <v/>
      </c>
      <c r="H171" s="89" t="str">
        <f>IF(Master[[#This Row],[Inventory Maintenance Policy]]="","",Master[[#This Row],[Inventory Maintenance Policy]])</f>
        <v/>
      </c>
      <c r="I171" s="89" t="e">
        <f>IF(Master[[#This Row],[Geography (Collection) -Lookup Picker in GRIN]]="",#REF!,Master[[#This Row],[Geography (Collection) -Lookup Picker in GRIN]])</f>
        <v>#REF!</v>
      </c>
      <c r="J171" s="89" t="str">
        <f>IF(Master[[#This Row],[Collector Verbatim Locality]]="","",Master[[#This Row],[Collector Verbatim Locality]])</f>
        <v/>
      </c>
      <c r="K171" s="91" t="str">
        <f>IF(Master[[#This Row],[Latitude -decimal degrees]]="","",Master[[#This Row],[Latitude -decimal degrees]])</f>
        <v/>
      </c>
      <c r="L171" s="91" t="str">
        <f>IF(Master[[#This Row],[Longitude -decimal degrees]]="","",Master[[#This Row],[Longitude -decimal degrees]])</f>
        <v/>
      </c>
      <c r="M171" s="89" t="str">
        <f>IF(Master[[#This Row],[Cooperator (Donor) 1 -full record]]="","",Master[[#This Row],[Cooperator (Donor) 1 -full record]])</f>
        <v/>
      </c>
    </row>
    <row r="172" spans="1:13" x14ac:dyDescent="0.25">
      <c r="A172" s="89">
        <f t="shared" si="5"/>
        <v>170</v>
      </c>
      <c r="B172" s="89" t="str">
        <f>Master[[#This Row],[Accession Prefix (NPGS)]]&amp;" "&amp;Master[[#This Row],[Accession Number -Assigned]]</f>
        <v xml:space="preserve"> </v>
      </c>
      <c r="C172" s="89" t="str">
        <f>Master[[#This Row],[Inventory Prefix]]&amp;" "&amp;Master[[#This Row],[Inventory Number]]&amp;" "&amp;Master[[#This Row],[Inventory Suffix]]&amp;" "&amp;Master[[#This Row],[Inventory Type - Lookup Picker]]</f>
        <v xml:space="preserve">   </v>
      </c>
      <c r="D172" s="89" t="str">
        <f>IF(Master[[#This Row],[Accession Name (Identifier 1)]]="","",Master[[#This Row],[Accession Name (Identifier 1)]])</f>
        <v xml:space="preserve"> </v>
      </c>
      <c r="E172" s="87" t="str">
        <f>IF(Master[[#This Row],[Date Collected or Developed]]="","",Master[[#This Row],[Date Collected or Developed]])</f>
        <v/>
      </c>
      <c r="F172" s="87" t="str">
        <f>IF(Master[[#This Row],[Received Date -received by site]]="","",Master[[#This Row],[Received Date -received by site]])</f>
        <v/>
      </c>
      <c r="G172" s="89" t="str">
        <f>IF(Master[[#This Row],[Taxon -Lookup Picker in GRIN]]="","",Master[[#This Row],[Taxon -Lookup Picker in GRIN]])</f>
        <v/>
      </c>
      <c r="H172" s="89" t="str">
        <f>IF(Master[[#This Row],[Inventory Maintenance Policy]]="","",Master[[#This Row],[Inventory Maintenance Policy]])</f>
        <v/>
      </c>
      <c r="I172" s="89" t="e">
        <f>IF(Master[[#This Row],[Geography (Collection) -Lookup Picker in GRIN]]="",#REF!,Master[[#This Row],[Geography (Collection) -Lookup Picker in GRIN]])</f>
        <v>#REF!</v>
      </c>
      <c r="J172" s="89" t="str">
        <f>IF(Master[[#This Row],[Collector Verbatim Locality]]="","",Master[[#This Row],[Collector Verbatim Locality]])</f>
        <v/>
      </c>
      <c r="K172" s="91" t="str">
        <f>IF(Master[[#This Row],[Latitude -decimal degrees]]="","",Master[[#This Row],[Latitude -decimal degrees]])</f>
        <v/>
      </c>
      <c r="L172" s="91" t="str">
        <f>IF(Master[[#This Row],[Longitude -decimal degrees]]="","",Master[[#This Row],[Longitude -decimal degrees]])</f>
        <v/>
      </c>
      <c r="M172" s="89" t="str">
        <f>IF(Master[[#This Row],[Cooperator (Donor) 1 -full record]]="","",Master[[#This Row],[Cooperator (Donor) 1 -full record]])</f>
        <v/>
      </c>
    </row>
    <row r="173" spans="1:13" x14ac:dyDescent="0.25">
      <c r="A173" s="89">
        <f t="shared" si="5"/>
        <v>171</v>
      </c>
      <c r="B173" s="89" t="str">
        <f>Master[[#This Row],[Accession Prefix (NPGS)]]&amp;" "&amp;Master[[#This Row],[Accession Number -Assigned]]</f>
        <v xml:space="preserve"> </v>
      </c>
      <c r="C173" s="89" t="str">
        <f>Master[[#This Row],[Inventory Prefix]]&amp;" "&amp;Master[[#This Row],[Inventory Number]]&amp;" "&amp;Master[[#This Row],[Inventory Suffix]]&amp;" "&amp;Master[[#This Row],[Inventory Type - Lookup Picker]]</f>
        <v xml:space="preserve">   </v>
      </c>
      <c r="D173" s="89" t="str">
        <f>IF(Master[[#This Row],[Accession Name (Identifier 1)]]="","",Master[[#This Row],[Accession Name (Identifier 1)]])</f>
        <v xml:space="preserve"> </v>
      </c>
      <c r="E173" s="87" t="str">
        <f>IF(Master[[#This Row],[Date Collected or Developed]]="","",Master[[#This Row],[Date Collected or Developed]])</f>
        <v/>
      </c>
      <c r="F173" s="87" t="str">
        <f>IF(Master[[#This Row],[Received Date -received by site]]="","",Master[[#This Row],[Received Date -received by site]])</f>
        <v/>
      </c>
      <c r="G173" s="89" t="str">
        <f>IF(Master[[#This Row],[Taxon -Lookup Picker in GRIN]]="","",Master[[#This Row],[Taxon -Lookup Picker in GRIN]])</f>
        <v/>
      </c>
      <c r="H173" s="89" t="str">
        <f>IF(Master[[#This Row],[Inventory Maintenance Policy]]="","",Master[[#This Row],[Inventory Maintenance Policy]])</f>
        <v/>
      </c>
      <c r="I173" s="89" t="e">
        <f>IF(Master[[#This Row],[Geography (Collection) -Lookup Picker in GRIN]]="",#REF!,Master[[#This Row],[Geography (Collection) -Lookup Picker in GRIN]])</f>
        <v>#REF!</v>
      </c>
      <c r="J173" s="89" t="str">
        <f>IF(Master[[#This Row],[Collector Verbatim Locality]]="","",Master[[#This Row],[Collector Verbatim Locality]])</f>
        <v/>
      </c>
      <c r="K173" s="91" t="str">
        <f>IF(Master[[#This Row],[Latitude -decimal degrees]]="","",Master[[#This Row],[Latitude -decimal degrees]])</f>
        <v/>
      </c>
      <c r="L173" s="91" t="str">
        <f>IF(Master[[#This Row],[Longitude -decimal degrees]]="","",Master[[#This Row],[Longitude -decimal degrees]])</f>
        <v/>
      </c>
      <c r="M173" s="89" t="str">
        <f>IF(Master[[#This Row],[Cooperator (Donor) 1 -full record]]="","",Master[[#This Row],[Cooperator (Donor) 1 -full record]])</f>
        <v/>
      </c>
    </row>
    <row r="174" spans="1:13" x14ac:dyDescent="0.25">
      <c r="A174" s="89">
        <f t="shared" si="5"/>
        <v>172</v>
      </c>
      <c r="B174" s="89" t="str">
        <f>Master[[#This Row],[Accession Prefix (NPGS)]]&amp;" "&amp;Master[[#This Row],[Accession Number -Assigned]]</f>
        <v xml:space="preserve"> </v>
      </c>
      <c r="C174" s="89" t="str">
        <f>Master[[#This Row],[Inventory Prefix]]&amp;" "&amp;Master[[#This Row],[Inventory Number]]&amp;" "&amp;Master[[#This Row],[Inventory Suffix]]&amp;" "&amp;Master[[#This Row],[Inventory Type - Lookup Picker]]</f>
        <v xml:space="preserve">   </v>
      </c>
      <c r="D174" s="89" t="str">
        <f>IF(Master[[#This Row],[Accession Name (Identifier 1)]]="","",Master[[#This Row],[Accession Name (Identifier 1)]])</f>
        <v xml:space="preserve"> </v>
      </c>
      <c r="E174" s="87" t="str">
        <f>IF(Master[[#This Row],[Date Collected or Developed]]="","",Master[[#This Row],[Date Collected or Developed]])</f>
        <v/>
      </c>
      <c r="F174" s="87" t="str">
        <f>IF(Master[[#This Row],[Received Date -received by site]]="","",Master[[#This Row],[Received Date -received by site]])</f>
        <v/>
      </c>
      <c r="G174" s="89" t="str">
        <f>IF(Master[[#This Row],[Taxon -Lookup Picker in GRIN]]="","",Master[[#This Row],[Taxon -Lookup Picker in GRIN]])</f>
        <v/>
      </c>
      <c r="H174" s="89" t="str">
        <f>IF(Master[[#This Row],[Inventory Maintenance Policy]]="","",Master[[#This Row],[Inventory Maintenance Policy]])</f>
        <v/>
      </c>
      <c r="I174" s="89" t="e">
        <f>IF(Master[[#This Row],[Geography (Collection) -Lookup Picker in GRIN]]="",#REF!,Master[[#This Row],[Geography (Collection) -Lookup Picker in GRIN]])</f>
        <v>#REF!</v>
      </c>
      <c r="J174" s="89" t="str">
        <f>IF(Master[[#This Row],[Collector Verbatim Locality]]="","",Master[[#This Row],[Collector Verbatim Locality]])</f>
        <v/>
      </c>
      <c r="K174" s="91" t="str">
        <f>IF(Master[[#This Row],[Latitude -decimal degrees]]="","",Master[[#This Row],[Latitude -decimal degrees]])</f>
        <v/>
      </c>
      <c r="L174" s="91" t="str">
        <f>IF(Master[[#This Row],[Longitude -decimal degrees]]="","",Master[[#This Row],[Longitude -decimal degrees]])</f>
        <v/>
      </c>
      <c r="M174" s="89" t="str">
        <f>IF(Master[[#This Row],[Cooperator (Donor) 1 -full record]]="","",Master[[#This Row],[Cooperator (Donor) 1 -full record]])</f>
        <v/>
      </c>
    </row>
    <row r="175" spans="1:13" x14ac:dyDescent="0.25">
      <c r="A175" s="89">
        <f t="shared" si="5"/>
        <v>173</v>
      </c>
      <c r="B175" s="89" t="str">
        <f>Master[[#This Row],[Accession Prefix (NPGS)]]&amp;" "&amp;Master[[#This Row],[Accession Number -Assigned]]</f>
        <v xml:space="preserve"> </v>
      </c>
      <c r="C175" s="89" t="str">
        <f>Master[[#This Row],[Inventory Prefix]]&amp;" "&amp;Master[[#This Row],[Inventory Number]]&amp;" "&amp;Master[[#This Row],[Inventory Suffix]]&amp;" "&amp;Master[[#This Row],[Inventory Type - Lookup Picker]]</f>
        <v xml:space="preserve">   </v>
      </c>
      <c r="D175" s="89" t="str">
        <f>IF(Master[[#This Row],[Accession Name (Identifier 1)]]="","",Master[[#This Row],[Accession Name (Identifier 1)]])</f>
        <v xml:space="preserve"> </v>
      </c>
      <c r="E175" s="87" t="str">
        <f>IF(Master[[#This Row],[Date Collected or Developed]]="","",Master[[#This Row],[Date Collected or Developed]])</f>
        <v/>
      </c>
      <c r="F175" s="87" t="str">
        <f>IF(Master[[#This Row],[Received Date -received by site]]="","",Master[[#This Row],[Received Date -received by site]])</f>
        <v/>
      </c>
      <c r="G175" s="89" t="str">
        <f>IF(Master[[#This Row],[Taxon -Lookup Picker in GRIN]]="","",Master[[#This Row],[Taxon -Lookup Picker in GRIN]])</f>
        <v/>
      </c>
      <c r="H175" s="89" t="str">
        <f>IF(Master[[#This Row],[Inventory Maintenance Policy]]="","",Master[[#This Row],[Inventory Maintenance Policy]])</f>
        <v/>
      </c>
      <c r="I175" s="89" t="e">
        <f>IF(Master[[#This Row],[Geography (Collection) -Lookup Picker in GRIN]]="",#REF!,Master[[#This Row],[Geography (Collection) -Lookup Picker in GRIN]])</f>
        <v>#REF!</v>
      </c>
      <c r="J175" s="89" t="str">
        <f>IF(Master[[#This Row],[Collector Verbatim Locality]]="","",Master[[#This Row],[Collector Verbatim Locality]])</f>
        <v/>
      </c>
      <c r="K175" s="91" t="str">
        <f>IF(Master[[#This Row],[Latitude -decimal degrees]]="","",Master[[#This Row],[Latitude -decimal degrees]])</f>
        <v/>
      </c>
      <c r="L175" s="91" t="str">
        <f>IF(Master[[#This Row],[Longitude -decimal degrees]]="","",Master[[#This Row],[Longitude -decimal degrees]])</f>
        <v/>
      </c>
      <c r="M175" s="89" t="str">
        <f>IF(Master[[#This Row],[Cooperator (Donor) 1 -full record]]="","",Master[[#This Row],[Cooperator (Donor) 1 -full record]])</f>
        <v/>
      </c>
    </row>
    <row r="176" spans="1:13" x14ac:dyDescent="0.25">
      <c r="A176" s="89">
        <f t="shared" si="5"/>
        <v>174</v>
      </c>
      <c r="B176" s="89" t="str">
        <f>Master[[#This Row],[Accession Prefix (NPGS)]]&amp;" "&amp;Master[[#This Row],[Accession Number -Assigned]]</f>
        <v xml:space="preserve"> </v>
      </c>
      <c r="C176" s="89" t="str">
        <f>Master[[#This Row],[Inventory Prefix]]&amp;" "&amp;Master[[#This Row],[Inventory Number]]&amp;" "&amp;Master[[#This Row],[Inventory Suffix]]&amp;" "&amp;Master[[#This Row],[Inventory Type - Lookup Picker]]</f>
        <v xml:space="preserve">   </v>
      </c>
      <c r="D176" s="89" t="str">
        <f>IF(Master[[#This Row],[Accession Name (Identifier 1)]]="","",Master[[#This Row],[Accession Name (Identifier 1)]])</f>
        <v xml:space="preserve"> </v>
      </c>
      <c r="E176" s="87" t="str">
        <f>IF(Master[[#This Row],[Date Collected or Developed]]="","",Master[[#This Row],[Date Collected or Developed]])</f>
        <v/>
      </c>
      <c r="F176" s="87" t="str">
        <f>IF(Master[[#This Row],[Received Date -received by site]]="","",Master[[#This Row],[Received Date -received by site]])</f>
        <v/>
      </c>
      <c r="G176" s="89" t="str">
        <f>IF(Master[[#This Row],[Taxon -Lookup Picker in GRIN]]="","",Master[[#This Row],[Taxon -Lookup Picker in GRIN]])</f>
        <v/>
      </c>
      <c r="H176" s="89" t="str">
        <f>IF(Master[[#This Row],[Inventory Maintenance Policy]]="","",Master[[#This Row],[Inventory Maintenance Policy]])</f>
        <v/>
      </c>
      <c r="I176" s="89" t="e">
        <f>IF(Master[[#This Row],[Geography (Collection) -Lookup Picker in GRIN]]="",#REF!,Master[[#This Row],[Geography (Collection) -Lookup Picker in GRIN]])</f>
        <v>#REF!</v>
      </c>
      <c r="J176" s="89" t="str">
        <f>IF(Master[[#This Row],[Collector Verbatim Locality]]="","",Master[[#This Row],[Collector Verbatim Locality]])</f>
        <v/>
      </c>
      <c r="K176" s="91" t="str">
        <f>IF(Master[[#This Row],[Latitude -decimal degrees]]="","",Master[[#This Row],[Latitude -decimal degrees]])</f>
        <v/>
      </c>
      <c r="L176" s="91" t="str">
        <f>IF(Master[[#This Row],[Longitude -decimal degrees]]="","",Master[[#This Row],[Longitude -decimal degrees]])</f>
        <v/>
      </c>
      <c r="M176" s="89" t="str">
        <f>IF(Master[[#This Row],[Cooperator (Donor) 1 -full record]]="","",Master[[#This Row],[Cooperator (Donor) 1 -full record]])</f>
        <v/>
      </c>
    </row>
    <row r="177" spans="1:13" x14ac:dyDescent="0.25">
      <c r="A177" s="89">
        <f t="shared" si="5"/>
        <v>175</v>
      </c>
      <c r="B177" s="89" t="str">
        <f>Master[[#This Row],[Accession Prefix (NPGS)]]&amp;" "&amp;Master[[#This Row],[Accession Number -Assigned]]</f>
        <v xml:space="preserve"> </v>
      </c>
      <c r="C177" s="89" t="str">
        <f>Master[[#This Row],[Inventory Prefix]]&amp;" "&amp;Master[[#This Row],[Inventory Number]]&amp;" "&amp;Master[[#This Row],[Inventory Suffix]]&amp;" "&amp;Master[[#This Row],[Inventory Type - Lookup Picker]]</f>
        <v xml:space="preserve">   </v>
      </c>
      <c r="D177" s="89" t="str">
        <f>IF(Master[[#This Row],[Accession Name (Identifier 1)]]="","",Master[[#This Row],[Accession Name (Identifier 1)]])</f>
        <v xml:space="preserve"> </v>
      </c>
      <c r="E177" s="87" t="str">
        <f>IF(Master[[#This Row],[Date Collected or Developed]]="","",Master[[#This Row],[Date Collected or Developed]])</f>
        <v/>
      </c>
      <c r="F177" s="87" t="str">
        <f>IF(Master[[#This Row],[Received Date -received by site]]="","",Master[[#This Row],[Received Date -received by site]])</f>
        <v/>
      </c>
      <c r="G177" s="89" t="str">
        <f>IF(Master[[#This Row],[Taxon -Lookup Picker in GRIN]]="","",Master[[#This Row],[Taxon -Lookup Picker in GRIN]])</f>
        <v/>
      </c>
      <c r="H177" s="89" t="str">
        <f>IF(Master[[#This Row],[Inventory Maintenance Policy]]="","",Master[[#This Row],[Inventory Maintenance Policy]])</f>
        <v/>
      </c>
      <c r="I177" s="89" t="e">
        <f>IF(Master[[#This Row],[Geography (Collection) -Lookup Picker in GRIN]]="",#REF!,Master[[#This Row],[Geography (Collection) -Lookup Picker in GRIN]])</f>
        <v>#REF!</v>
      </c>
      <c r="J177" s="89" t="str">
        <f>IF(Master[[#This Row],[Collector Verbatim Locality]]="","",Master[[#This Row],[Collector Verbatim Locality]])</f>
        <v/>
      </c>
      <c r="K177" s="91" t="str">
        <f>IF(Master[[#This Row],[Latitude -decimal degrees]]="","",Master[[#This Row],[Latitude -decimal degrees]])</f>
        <v/>
      </c>
      <c r="L177" s="91" t="str">
        <f>IF(Master[[#This Row],[Longitude -decimal degrees]]="","",Master[[#This Row],[Longitude -decimal degrees]])</f>
        <v/>
      </c>
      <c r="M177" s="89" t="str">
        <f>IF(Master[[#This Row],[Cooperator (Donor) 1 -full record]]="","",Master[[#This Row],[Cooperator (Donor) 1 -full record]])</f>
        <v/>
      </c>
    </row>
    <row r="178" spans="1:13" x14ac:dyDescent="0.25">
      <c r="A178" s="89">
        <f t="shared" si="5"/>
        <v>176</v>
      </c>
      <c r="B178" s="89" t="str">
        <f>Master[[#This Row],[Accession Prefix (NPGS)]]&amp;" "&amp;Master[[#This Row],[Accession Number -Assigned]]</f>
        <v xml:space="preserve"> </v>
      </c>
      <c r="C178" s="89" t="str">
        <f>Master[[#This Row],[Inventory Prefix]]&amp;" "&amp;Master[[#This Row],[Inventory Number]]&amp;" "&amp;Master[[#This Row],[Inventory Suffix]]&amp;" "&amp;Master[[#This Row],[Inventory Type - Lookup Picker]]</f>
        <v xml:space="preserve">   </v>
      </c>
      <c r="D178" s="89" t="str">
        <f>IF(Master[[#This Row],[Accession Name (Identifier 1)]]="","",Master[[#This Row],[Accession Name (Identifier 1)]])</f>
        <v xml:space="preserve"> </v>
      </c>
      <c r="E178" s="87" t="str">
        <f>IF(Master[[#This Row],[Date Collected or Developed]]="","",Master[[#This Row],[Date Collected or Developed]])</f>
        <v/>
      </c>
      <c r="F178" s="87" t="str">
        <f>IF(Master[[#This Row],[Received Date -received by site]]="","",Master[[#This Row],[Received Date -received by site]])</f>
        <v/>
      </c>
      <c r="G178" s="89" t="str">
        <f>IF(Master[[#This Row],[Taxon -Lookup Picker in GRIN]]="","",Master[[#This Row],[Taxon -Lookup Picker in GRIN]])</f>
        <v/>
      </c>
      <c r="H178" s="89" t="str">
        <f>IF(Master[[#This Row],[Inventory Maintenance Policy]]="","",Master[[#This Row],[Inventory Maintenance Policy]])</f>
        <v/>
      </c>
      <c r="I178" s="89" t="e">
        <f>IF(Master[[#This Row],[Geography (Collection) -Lookup Picker in GRIN]]="",#REF!,Master[[#This Row],[Geography (Collection) -Lookup Picker in GRIN]])</f>
        <v>#REF!</v>
      </c>
      <c r="J178" s="89" t="str">
        <f>IF(Master[[#This Row],[Collector Verbatim Locality]]="","",Master[[#This Row],[Collector Verbatim Locality]])</f>
        <v/>
      </c>
      <c r="K178" s="91" t="str">
        <f>IF(Master[[#This Row],[Latitude -decimal degrees]]="","",Master[[#This Row],[Latitude -decimal degrees]])</f>
        <v/>
      </c>
      <c r="L178" s="91" t="str">
        <f>IF(Master[[#This Row],[Longitude -decimal degrees]]="","",Master[[#This Row],[Longitude -decimal degrees]])</f>
        <v/>
      </c>
      <c r="M178" s="89" t="str">
        <f>IF(Master[[#This Row],[Cooperator (Donor) 1 -full record]]="","",Master[[#This Row],[Cooperator (Donor) 1 -full record]])</f>
        <v/>
      </c>
    </row>
    <row r="179" spans="1:13" x14ac:dyDescent="0.25">
      <c r="A179" s="89">
        <f t="shared" si="5"/>
        <v>177</v>
      </c>
      <c r="B179" s="89" t="str">
        <f>Master[[#This Row],[Accession Prefix (NPGS)]]&amp;" "&amp;Master[[#This Row],[Accession Number -Assigned]]</f>
        <v xml:space="preserve"> </v>
      </c>
      <c r="C179" s="89" t="str">
        <f>Master[[#This Row],[Inventory Prefix]]&amp;" "&amp;Master[[#This Row],[Inventory Number]]&amp;" "&amp;Master[[#This Row],[Inventory Suffix]]&amp;" "&amp;Master[[#This Row],[Inventory Type - Lookup Picker]]</f>
        <v xml:space="preserve">   </v>
      </c>
      <c r="D179" s="89" t="str">
        <f>IF(Master[[#This Row],[Accession Name (Identifier 1)]]="","",Master[[#This Row],[Accession Name (Identifier 1)]])</f>
        <v xml:space="preserve"> </v>
      </c>
      <c r="E179" s="87" t="str">
        <f>IF(Master[[#This Row],[Date Collected or Developed]]="","",Master[[#This Row],[Date Collected or Developed]])</f>
        <v/>
      </c>
      <c r="F179" s="87" t="str">
        <f>IF(Master[[#This Row],[Received Date -received by site]]="","",Master[[#This Row],[Received Date -received by site]])</f>
        <v/>
      </c>
      <c r="G179" s="89" t="str">
        <f>IF(Master[[#This Row],[Taxon -Lookup Picker in GRIN]]="","",Master[[#This Row],[Taxon -Lookup Picker in GRIN]])</f>
        <v/>
      </c>
      <c r="H179" s="89" t="str">
        <f>IF(Master[[#This Row],[Inventory Maintenance Policy]]="","",Master[[#This Row],[Inventory Maintenance Policy]])</f>
        <v/>
      </c>
      <c r="I179" s="89" t="e">
        <f>IF(Master[[#This Row],[Geography (Collection) -Lookup Picker in GRIN]]="",#REF!,Master[[#This Row],[Geography (Collection) -Lookup Picker in GRIN]])</f>
        <v>#REF!</v>
      </c>
      <c r="J179" s="89" t="str">
        <f>IF(Master[[#This Row],[Collector Verbatim Locality]]="","",Master[[#This Row],[Collector Verbatim Locality]])</f>
        <v/>
      </c>
      <c r="K179" s="91" t="str">
        <f>IF(Master[[#This Row],[Latitude -decimal degrees]]="","",Master[[#This Row],[Latitude -decimal degrees]])</f>
        <v/>
      </c>
      <c r="L179" s="91" t="str">
        <f>IF(Master[[#This Row],[Longitude -decimal degrees]]="","",Master[[#This Row],[Longitude -decimal degrees]])</f>
        <v/>
      </c>
      <c r="M179" s="89" t="str">
        <f>IF(Master[[#This Row],[Cooperator (Donor) 1 -full record]]="","",Master[[#This Row],[Cooperator (Donor) 1 -full record]])</f>
        <v/>
      </c>
    </row>
    <row r="180" spans="1:13" x14ac:dyDescent="0.25">
      <c r="A180" s="89">
        <f t="shared" si="5"/>
        <v>178</v>
      </c>
      <c r="B180" s="89" t="str">
        <f>Master[[#This Row],[Accession Prefix (NPGS)]]&amp;" "&amp;Master[[#This Row],[Accession Number -Assigned]]</f>
        <v xml:space="preserve"> </v>
      </c>
      <c r="C180" s="89" t="str">
        <f>Master[[#This Row],[Inventory Prefix]]&amp;" "&amp;Master[[#This Row],[Inventory Number]]&amp;" "&amp;Master[[#This Row],[Inventory Suffix]]&amp;" "&amp;Master[[#This Row],[Inventory Type - Lookup Picker]]</f>
        <v xml:space="preserve">   </v>
      </c>
      <c r="D180" s="89" t="str">
        <f>IF(Master[[#This Row],[Accession Name (Identifier 1)]]="","",Master[[#This Row],[Accession Name (Identifier 1)]])</f>
        <v xml:space="preserve"> </v>
      </c>
      <c r="E180" s="87" t="str">
        <f>IF(Master[[#This Row],[Date Collected or Developed]]="","",Master[[#This Row],[Date Collected or Developed]])</f>
        <v/>
      </c>
      <c r="F180" s="87" t="str">
        <f>IF(Master[[#This Row],[Received Date -received by site]]="","",Master[[#This Row],[Received Date -received by site]])</f>
        <v/>
      </c>
      <c r="G180" s="89" t="str">
        <f>IF(Master[[#This Row],[Taxon -Lookup Picker in GRIN]]="","",Master[[#This Row],[Taxon -Lookup Picker in GRIN]])</f>
        <v/>
      </c>
      <c r="H180" s="89" t="str">
        <f>IF(Master[[#This Row],[Inventory Maintenance Policy]]="","",Master[[#This Row],[Inventory Maintenance Policy]])</f>
        <v/>
      </c>
      <c r="I180" s="89" t="e">
        <f>IF(Master[[#This Row],[Geography (Collection) -Lookup Picker in GRIN]]="",#REF!,Master[[#This Row],[Geography (Collection) -Lookup Picker in GRIN]])</f>
        <v>#REF!</v>
      </c>
      <c r="J180" s="89" t="str">
        <f>IF(Master[[#This Row],[Collector Verbatim Locality]]="","",Master[[#This Row],[Collector Verbatim Locality]])</f>
        <v/>
      </c>
      <c r="K180" s="91" t="str">
        <f>IF(Master[[#This Row],[Latitude -decimal degrees]]="","",Master[[#This Row],[Latitude -decimal degrees]])</f>
        <v/>
      </c>
      <c r="L180" s="91" t="str">
        <f>IF(Master[[#This Row],[Longitude -decimal degrees]]="","",Master[[#This Row],[Longitude -decimal degrees]])</f>
        <v/>
      </c>
      <c r="M180" s="89" t="str">
        <f>IF(Master[[#This Row],[Cooperator (Donor) 1 -full record]]="","",Master[[#This Row],[Cooperator (Donor) 1 -full record]])</f>
        <v/>
      </c>
    </row>
    <row r="181" spans="1:13" x14ac:dyDescent="0.25">
      <c r="A181" s="89">
        <f t="shared" si="5"/>
        <v>179</v>
      </c>
      <c r="B181" s="89" t="str">
        <f>Master[[#This Row],[Accession Prefix (NPGS)]]&amp;" "&amp;Master[[#This Row],[Accession Number -Assigned]]</f>
        <v xml:space="preserve"> </v>
      </c>
      <c r="C181" s="89" t="str">
        <f>Master[[#This Row],[Inventory Prefix]]&amp;" "&amp;Master[[#This Row],[Inventory Number]]&amp;" "&amp;Master[[#This Row],[Inventory Suffix]]&amp;" "&amp;Master[[#This Row],[Inventory Type - Lookup Picker]]</f>
        <v xml:space="preserve">   </v>
      </c>
      <c r="D181" s="89" t="str">
        <f>IF(Master[[#This Row],[Accession Name (Identifier 1)]]="","",Master[[#This Row],[Accession Name (Identifier 1)]])</f>
        <v xml:space="preserve"> </v>
      </c>
      <c r="E181" s="87" t="str">
        <f>IF(Master[[#This Row],[Date Collected or Developed]]="","",Master[[#This Row],[Date Collected or Developed]])</f>
        <v/>
      </c>
      <c r="F181" s="87" t="str">
        <f>IF(Master[[#This Row],[Received Date -received by site]]="","",Master[[#This Row],[Received Date -received by site]])</f>
        <v/>
      </c>
      <c r="G181" s="89" t="str">
        <f>IF(Master[[#This Row],[Taxon -Lookup Picker in GRIN]]="","",Master[[#This Row],[Taxon -Lookup Picker in GRIN]])</f>
        <v/>
      </c>
      <c r="H181" s="89" t="str">
        <f>IF(Master[[#This Row],[Inventory Maintenance Policy]]="","",Master[[#This Row],[Inventory Maintenance Policy]])</f>
        <v/>
      </c>
      <c r="I181" s="89" t="e">
        <f>IF(Master[[#This Row],[Geography (Collection) -Lookup Picker in GRIN]]="",#REF!,Master[[#This Row],[Geography (Collection) -Lookup Picker in GRIN]])</f>
        <v>#REF!</v>
      </c>
      <c r="J181" s="89" t="str">
        <f>IF(Master[[#This Row],[Collector Verbatim Locality]]="","",Master[[#This Row],[Collector Verbatim Locality]])</f>
        <v/>
      </c>
      <c r="K181" s="91" t="str">
        <f>IF(Master[[#This Row],[Latitude -decimal degrees]]="","",Master[[#This Row],[Latitude -decimal degrees]])</f>
        <v/>
      </c>
      <c r="L181" s="91" t="str">
        <f>IF(Master[[#This Row],[Longitude -decimal degrees]]="","",Master[[#This Row],[Longitude -decimal degrees]])</f>
        <v/>
      </c>
      <c r="M181" s="89" t="str">
        <f>IF(Master[[#This Row],[Cooperator (Donor) 1 -full record]]="","",Master[[#This Row],[Cooperator (Donor) 1 -full record]])</f>
        <v/>
      </c>
    </row>
    <row r="182" spans="1:13" x14ac:dyDescent="0.25">
      <c r="A182" s="89">
        <f t="shared" si="5"/>
        <v>180</v>
      </c>
      <c r="B182" s="89" t="str">
        <f>Master[[#This Row],[Accession Prefix (NPGS)]]&amp;" "&amp;Master[[#This Row],[Accession Number -Assigned]]</f>
        <v xml:space="preserve"> </v>
      </c>
      <c r="C182" s="89" t="str">
        <f>Master[[#This Row],[Inventory Prefix]]&amp;" "&amp;Master[[#This Row],[Inventory Number]]&amp;" "&amp;Master[[#This Row],[Inventory Suffix]]&amp;" "&amp;Master[[#This Row],[Inventory Type - Lookup Picker]]</f>
        <v xml:space="preserve">   </v>
      </c>
      <c r="D182" s="89" t="str">
        <f>IF(Master[[#This Row],[Accession Name (Identifier 1)]]="","",Master[[#This Row],[Accession Name (Identifier 1)]])</f>
        <v xml:space="preserve"> </v>
      </c>
      <c r="E182" s="87" t="str">
        <f>IF(Master[[#This Row],[Date Collected or Developed]]="","",Master[[#This Row],[Date Collected or Developed]])</f>
        <v/>
      </c>
      <c r="F182" s="87" t="str">
        <f>IF(Master[[#This Row],[Received Date -received by site]]="","",Master[[#This Row],[Received Date -received by site]])</f>
        <v/>
      </c>
      <c r="G182" s="89" t="str">
        <f>IF(Master[[#This Row],[Taxon -Lookup Picker in GRIN]]="","",Master[[#This Row],[Taxon -Lookup Picker in GRIN]])</f>
        <v/>
      </c>
      <c r="H182" s="89" t="str">
        <f>IF(Master[[#This Row],[Inventory Maintenance Policy]]="","",Master[[#This Row],[Inventory Maintenance Policy]])</f>
        <v/>
      </c>
      <c r="I182" s="89" t="e">
        <f>IF(Master[[#This Row],[Geography (Collection) -Lookup Picker in GRIN]]="",#REF!,Master[[#This Row],[Geography (Collection) -Lookup Picker in GRIN]])</f>
        <v>#REF!</v>
      </c>
      <c r="J182" s="89" t="str">
        <f>IF(Master[[#This Row],[Collector Verbatim Locality]]="","",Master[[#This Row],[Collector Verbatim Locality]])</f>
        <v/>
      </c>
      <c r="K182" s="91" t="str">
        <f>IF(Master[[#This Row],[Latitude -decimal degrees]]="","",Master[[#This Row],[Latitude -decimal degrees]])</f>
        <v/>
      </c>
      <c r="L182" s="91" t="str">
        <f>IF(Master[[#This Row],[Longitude -decimal degrees]]="","",Master[[#This Row],[Longitude -decimal degrees]])</f>
        <v/>
      </c>
      <c r="M182" s="89" t="str">
        <f>IF(Master[[#This Row],[Cooperator (Donor) 1 -full record]]="","",Master[[#This Row],[Cooperator (Donor) 1 -full record]])</f>
        <v/>
      </c>
    </row>
    <row r="183" spans="1:13" x14ac:dyDescent="0.25">
      <c r="A183" s="89">
        <f t="shared" si="5"/>
        <v>181</v>
      </c>
      <c r="B183" s="89" t="str">
        <f>Master[[#This Row],[Accession Prefix (NPGS)]]&amp;" "&amp;Master[[#This Row],[Accession Number -Assigned]]</f>
        <v xml:space="preserve"> </v>
      </c>
      <c r="C183" s="89" t="str">
        <f>Master[[#This Row],[Inventory Prefix]]&amp;" "&amp;Master[[#This Row],[Inventory Number]]&amp;" "&amp;Master[[#This Row],[Inventory Suffix]]&amp;" "&amp;Master[[#This Row],[Inventory Type - Lookup Picker]]</f>
        <v xml:space="preserve">   </v>
      </c>
      <c r="D183" s="89" t="str">
        <f>IF(Master[[#This Row],[Accession Name (Identifier 1)]]="","",Master[[#This Row],[Accession Name (Identifier 1)]])</f>
        <v xml:space="preserve"> </v>
      </c>
      <c r="E183" s="87" t="str">
        <f>IF(Master[[#This Row],[Date Collected or Developed]]="","",Master[[#This Row],[Date Collected or Developed]])</f>
        <v/>
      </c>
      <c r="F183" s="87" t="str">
        <f>IF(Master[[#This Row],[Received Date -received by site]]="","",Master[[#This Row],[Received Date -received by site]])</f>
        <v/>
      </c>
      <c r="G183" s="89" t="str">
        <f>IF(Master[[#This Row],[Taxon -Lookup Picker in GRIN]]="","",Master[[#This Row],[Taxon -Lookup Picker in GRIN]])</f>
        <v/>
      </c>
      <c r="H183" s="89" t="str">
        <f>IF(Master[[#This Row],[Inventory Maintenance Policy]]="","",Master[[#This Row],[Inventory Maintenance Policy]])</f>
        <v/>
      </c>
      <c r="I183" s="89" t="e">
        <f>IF(Master[[#This Row],[Geography (Collection) -Lookup Picker in GRIN]]="",#REF!,Master[[#This Row],[Geography (Collection) -Lookup Picker in GRIN]])</f>
        <v>#REF!</v>
      </c>
      <c r="J183" s="89" t="str">
        <f>IF(Master[[#This Row],[Collector Verbatim Locality]]="","",Master[[#This Row],[Collector Verbatim Locality]])</f>
        <v/>
      </c>
      <c r="K183" s="91" t="str">
        <f>IF(Master[[#This Row],[Latitude -decimal degrees]]="","",Master[[#This Row],[Latitude -decimal degrees]])</f>
        <v/>
      </c>
      <c r="L183" s="91" t="str">
        <f>IF(Master[[#This Row],[Longitude -decimal degrees]]="","",Master[[#This Row],[Longitude -decimal degrees]])</f>
        <v/>
      </c>
      <c r="M183" s="89" t="str">
        <f>IF(Master[[#This Row],[Cooperator (Donor) 1 -full record]]="","",Master[[#This Row],[Cooperator (Donor) 1 -full record]])</f>
        <v/>
      </c>
    </row>
    <row r="184" spans="1:13" x14ac:dyDescent="0.25">
      <c r="A184" s="89">
        <f t="shared" si="5"/>
        <v>182</v>
      </c>
      <c r="B184" s="89" t="str">
        <f>Master[[#This Row],[Accession Prefix (NPGS)]]&amp;" "&amp;Master[[#This Row],[Accession Number -Assigned]]</f>
        <v xml:space="preserve"> </v>
      </c>
      <c r="C184" s="89" t="str">
        <f>Master[[#This Row],[Inventory Prefix]]&amp;" "&amp;Master[[#This Row],[Inventory Number]]&amp;" "&amp;Master[[#This Row],[Inventory Suffix]]&amp;" "&amp;Master[[#This Row],[Inventory Type - Lookup Picker]]</f>
        <v xml:space="preserve">   </v>
      </c>
      <c r="D184" s="89" t="str">
        <f>IF(Master[[#This Row],[Accession Name (Identifier 1)]]="","",Master[[#This Row],[Accession Name (Identifier 1)]])</f>
        <v xml:space="preserve"> </v>
      </c>
      <c r="E184" s="87" t="str">
        <f>IF(Master[[#This Row],[Date Collected or Developed]]="","",Master[[#This Row],[Date Collected or Developed]])</f>
        <v/>
      </c>
      <c r="F184" s="87" t="str">
        <f>IF(Master[[#This Row],[Received Date -received by site]]="","",Master[[#This Row],[Received Date -received by site]])</f>
        <v/>
      </c>
      <c r="G184" s="89" t="str">
        <f>IF(Master[[#This Row],[Taxon -Lookup Picker in GRIN]]="","",Master[[#This Row],[Taxon -Lookup Picker in GRIN]])</f>
        <v/>
      </c>
      <c r="H184" s="89" t="str">
        <f>IF(Master[[#This Row],[Inventory Maintenance Policy]]="","",Master[[#This Row],[Inventory Maintenance Policy]])</f>
        <v/>
      </c>
      <c r="I184" s="89" t="e">
        <f>IF(Master[[#This Row],[Geography (Collection) -Lookup Picker in GRIN]]="",#REF!,Master[[#This Row],[Geography (Collection) -Lookup Picker in GRIN]])</f>
        <v>#REF!</v>
      </c>
      <c r="J184" s="89" t="str">
        <f>IF(Master[[#This Row],[Collector Verbatim Locality]]="","",Master[[#This Row],[Collector Verbatim Locality]])</f>
        <v/>
      </c>
      <c r="K184" s="91" t="str">
        <f>IF(Master[[#This Row],[Latitude -decimal degrees]]="","",Master[[#This Row],[Latitude -decimal degrees]])</f>
        <v/>
      </c>
      <c r="L184" s="91" t="str">
        <f>IF(Master[[#This Row],[Longitude -decimal degrees]]="","",Master[[#This Row],[Longitude -decimal degrees]])</f>
        <v/>
      </c>
      <c r="M184" s="89" t="str">
        <f>IF(Master[[#This Row],[Cooperator (Donor) 1 -full record]]="","",Master[[#This Row],[Cooperator (Donor) 1 -full record]])</f>
        <v/>
      </c>
    </row>
    <row r="185" spans="1:13" x14ac:dyDescent="0.25">
      <c r="A185" s="89">
        <f t="shared" si="5"/>
        <v>183</v>
      </c>
      <c r="B185" s="89" t="str">
        <f>Master[[#This Row],[Accession Prefix (NPGS)]]&amp;" "&amp;Master[[#This Row],[Accession Number -Assigned]]</f>
        <v xml:space="preserve"> </v>
      </c>
      <c r="C185" s="89" t="str">
        <f>Master[[#This Row],[Inventory Prefix]]&amp;" "&amp;Master[[#This Row],[Inventory Number]]&amp;" "&amp;Master[[#This Row],[Inventory Suffix]]&amp;" "&amp;Master[[#This Row],[Inventory Type - Lookup Picker]]</f>
        <v xml:space="preserve">   </v>
      </c>
      <c r="D185" s="89" t="str">
        <f>IF(Master[[#This Row],[Accession Name (Identifier 1)]]="","",Master[[#This Row],[Accession Name (Identifier 1)]])</f>
        <v xml:space="preserve"> </v>
      </c>
      <c r="E185" s="87" t="str">
        <f>IF(Master[[#This Row],[Date Collected or Developed]]="","",Master[[#This Row],[Date Collected or Developed]])</f>
        <v/>
      </c>
      <c r="F185" s="87" t="str">
        <f>IF(Master[[#This Row],[Received Date -received by site]]="","",Master[[#This Row],[Received Date -received by site]])</f>
        <v/>
      </c>
      <c r="G185" s="89" t="str">
        <f>IF(Master[[#This Row],[Taxon -Lookup Picker in GRIN]]="","",Master[[#This Row],[Taxon -Lookup Picker in GRIN]])</f>
        <v/>
      </c>
      <c r="H185" s="89" t="str">
        <f>IF(Master[[#This Row],[Inventory Maintenance Policy]]="","",Master[[#This Row],[Inventory Maintenance Policy]])</f>
        <v/>
      </c>
      <c r="I185" s="89" t="e">
        <f>IF(Master[[#This Row],[Geography (Collection) -Lookup Picker in GRIN]]="",#REF!,Master[[#This Row],[Geography (Collection) -Lookup Picker in GRIN]])</f>
        <v>#REF!</v>
      </c>
      <c r="J185" s="89" t="str">
        <f>IF(Master[[#This Row],[Collector Verbatim Locality]]="","",Master[[#This Row],[Collector Verbatim Locality]])</f>
        <v/>
      </c>
      <c r="K185" s="91" t="str">
        <f>IF(Master[[#This Row],[Latitude -decimal degrees]]="","",Master[[#This Row],[Latitude -decimal degrees]])</f>
        <v/>
      </c>
      <c r="L185" s="91" t="str">
        <f>IF(Master[[#This Row],[Longitude -decimal degrees]]="","",Master[[#This Row],[Longitude -decimal degrees]])</f>
        <v/>
      </c>
      <c r="M185" s="89" t="str">
        <f>IF(Master[[#This Row],[Cooperator (Donor) 1 -full record]]="","",Master[[#This Row],[Cooperator (Donor) 1 -full record]])</f>
        <v/>
      </c>
    </row>
    <row r="186" spans="1:13" x14ac:dyDescent="0.25">
      <c r="A186" s="89">
        <f t="shared" si="5"/>
        <v>184</v>
      </c>
      <c r="B186" s="89" t="str">
        <f>Master[[#This Row],[Accession Prefix (NPGS)]]&amp;" "&amp;Master[[#This Row],[Accession Number -Assigned]]</f>
        <v xml:space="preserve"> </v>
      </c>
      <c r="C186" s="89" t="str">
        <f>Master[[#This Row],[Inventory Prefix]]&amp;" "&amp;Master[[#This Row],[Inventory Number]]&amp;" "&amp;Master[[#This Row],[Inventory Suffix]]&amp;" "&amp;Master[[#This Row],[Inventory Type - Lookup Picker]]</f>
        <v xml:space="preserve">   </v>
      </c>
      <c r="D186" s="89" t="str">
        <f>IF(Master[[#This Row],[Accession Name (Identifier 1)]]="","",Master[[#This Row],[Accession Name (Identifier 1)]])</f>
        <v xml:space="preserve"> </v>
      </c>
      <c r="E186" s="87" t="str">
        <f>IF(Master[[#This Row],[Date Collected or Developed]]="","",Master[[#This Row],[Date Collected or Developed]])</f>
        <v/>
      </c>
      <c r="F186" s="87" t="str">
        <f>IF(Master[[#This Row],[Received Date -received by site]]="","",Master[[#This Row],[Received Date -received by site]])</f>
        <v/>
      </c>
      <c r="G186" s="89" t="str">
        <f>IF(Master[[#This Row],[Taxon -Lookup Picker in GRIN]]="","",Master[[#This Row],[Taxon -Lookup Picker in GRIN]])</f>
        <v/>
      </c>
      <c r="H186" s="89" t="str">
        <f>IF(Master[[#This Row],[Inventory Maintenance Policy]]="","",Master[[#This Row],[Inventory Maintenance Policy]])</f>
        <v/>
      </c>
      <c r="I186" s="89" t="e">
        <f>IF(Master[[#This Row],[Geography (Collection) -Lookup Picker in GRIN]]="",#REF!,Master[[#This Row],[Geography (Collection) -Lookup Picker in GRIN]])</f>
        <v>#REF!</v>
      </c>
      <c r="J186" s="89" t="str">
        <f>IF(Master[[#This Row],[Collector Verbatim Locality]]="","",Master[[#This Row],[Collector Verbatim Locality]])</f>
        <v/>
      </c>
      <c r="K186" s="91" t="str">
        <f>IF(Master[[#This Row],[Latitude -decimal degrees]]="","",Master[[#This Row],[Latitude -decimal degrees]])</f>
        <v/>
      </c>
      <c r="L186" s="91" t="str">
        <f>IF(Master[[#This Row],[Longitude -decimal degrees]]="","",Master[[#This Row],[Longitude -decimal degrees]])</f>
        <v/>
      </c>
      <c r="M186" s="89" t="str">
        <f>IF(Master[[#This Row],[Cooperator (Donor) 1 -full record]]="","",Master[[#This Row],[Cooperator (Donor) 1 -full record]])</f>
        <v/>
      </c>
    </row>
    <row r="187" spans="1:13" x14ac:dyDescent="0.25">
      <c r="A187" s="89">
        <f t="shared" si="5"/>
        <v>185</v>
      </c>
      <c r="B187" s="89" t="str">
        <f>Master[[#This Row],[Accession Prefix (NPGS)]]&amp;" "&amp;Master[[#This Row],[Accession Number -Assigned]]</f>
        <v xml:space="preserve"> </v>
      </c>
      <c r="C187" s="89" t="str">
        <f>Master[[#This Row],[Inventory Prefix]]&amp;" "&amp;Master[[#This Row],[Inventory Number]]&amp;" "&amp;Master[[#This Row],[Inventory Suffix]]&amp;" "&amp;Master[[#This Row],[Inventory Type - Lookup Picker]]</f>
        <v xml:space="preserve">   </v>
      </c>
      <c r="D187" s="89" t="str">
        <f>IF(Master[[#This Row],[Accession Name (Identifier 1)]]="","",Master[[#This Row],[Accession Name (Identifier 1)]])</f>
        <v xml:space="preserve"> </v>
      </c>
      <c r="E187" s="87" t="str">
        <f>IF(Master[[#This Row],[Date Collected or Developed]]="","",Master[[#This Row],[Date Collected or Developed]])</f>
        <v/>
      </c>
      <c r="F187" s="87" t="str">
        <f>IF(Master[[#This Row],[Received Date -received by site]]="","",Master[[#This Row],[Received Date -received by site]])</f>
        <v/>
      </c>
      <c r="G187" s="89" t="str">
        <f>IF(Master[[#This Row],[Taxon -Lookup Picker in GRIN]]="","",Master[[#This Row],[Taxon -Lookup Picker in GRIN]])</f>
        <v/>
      </c>
      <c r="H187" s="89" t="str">
        <f>IF(Master[[#This Row],[Inventory Maintenance Policy]]="","",Master[[#This Row],[Inventory Maintenance Policy]])</f>
        <v/>
      </c>
      <c r="I187" s="89" t="e">
        <f>IF(Master[[#This Row],[Geography (Collection) -Lookup Picker in GRIN]]="",#REF!,Master[[#This Row],[Geography (Collection) -Lookup Picker in GRIN]])</f>
        <v>#REF!</v>
      </c>
      <c r="J187" s="89" t="str">
        <f>IF(Master[[#This Row],[Collector Verbatim Locality]]="","",Master[[#This Row],[Collector Verbatim Locality]])</f>
        <v/>
      </c>
      <c r="K187" s="91" t="str">
        <f>IF(Master[[#This Row],[Latitude -decimal degrees]]="","",Master[[#This Row],[Latitude -decimal degrees]])</f>
        <v/>
      </c>
      <c r="L187" s="91" t="str">
        <f>IF(Master[[#This Row],[Longitude -decimal degrees]]="","",Master[[#This Row],[Longitude -decimal degrees]])</f>
        <v/>
      </c>
      <c r="M187" s="89" t="str">
        <f>IF(Master[[#This Row],[Cooperator (Donor) 1 -full record]]="","",Master[[#This Row],[Cooperator (Donor) 1 -full record]])</f>
        <v/>
      </c>
    </row>
    <row r="188" spans="1:13" x14ac:dyDescent="0.25">
      <c r="A188" s="89">
        <f t="shared" si="5"/>
        <v>186</v>
      </c>
      <c r="B188" s="89" t="str">
        <f>Master[[#This Row],[Accession Prefix (NPGS)]]&amp;" "&amp;Master[[#This Row],[Accession Number -Assigned]]</f>
        <v xml:space="preserve"> </v>
      </c>
      <c r="C188" s="89" t="str">
        <f>Master[[#This Row],[Inventory Prefix]]&amp;" "&amp;Master[[#This Row],[Inventory Number]]&amp;" "&amp;Master[[#This Row],[Inventory Suffix]]&amp;" "&amp;Master[[#This Row],[Inventory Type - Lookup Picker]]</f>
        <v xml:space="preserve">   </v>
      </c>
      <c r="D188" s="89" t="str">
        <f>IF(Master[[#This Row],[Accession Name (Identifier 1)]]="","",Master[[#This Row],[Accession Name (Identifier 1)]])</f>
        <v xml:space="preserve"> </v>
      </c>
      <c r="E188" s="87" t="str">
        <f>IF(Master[[#This Row],[Date Collected or Developed]]="","",Master[[#This Row],[Date Collected or Developed]])</f>
        <v/>
      </c>
      <c r="F188" s="87" t="str">
        <f>IF(Master[[#This Row],[Received Date -received by site]]="","",Master[[#This Row],[Received Date -received by site]])</f>
        <v/>
      </c>
      <c r="G188" s="89" t="str">
        <f>IF(Master[[#This Row],[Taxon -Lookup Picker in GRIN]]="","",Master[[#This Row],[Taxon -Lookup Picker in GRIN]])</f>
        <v/>
      </c>
      <c r="H188" s="89" t="str">
        <f>IF(Master[[#This Row],[Inventory Maintenance Policy]]="","",Master[[#This Row],[Inventory Maintenance Policy]])</f>
        <v/>
      </c>
      <c r="I188" s="89" t="e">
        <f>IF(Master[[#This Row],[Geography (Collection) -Lookup Picker in GRIN]]="",#REF!,Master[[#This Row],[Geography (Collection) -Lookup Picker in GRIN]])</f>
        <v>#REF!</v>
      </c>
      <c r="J188" s="89" t="str">
        <f>IF(Master[[#This Row],[Collector Verbatim Locality]]="","",Master[[#This Row],[Collector Verbatim Locality]])</f>
        <v/>
      </c>
      <c r="K188" s="91" t="str">
        <f>IF(Master[[#This Row],[Latitude -decimal degrees]]="","",Master[[#This Row],[Latitude -decimal degrees]])</f>
        <v/>
      </c>
      <c r="L188" s="91" t="str">
        <f>IF(Master[[#This Row],[Longitude -decimal degrees]]="","",Master[[#This Row],[Longitude -decimal degrees]])</f>
        <v/>
      </c>
      <c r="M188" s="89" t="str">
        <f>IF(Master[[#This Row],[Cooperator (Donor) 1 -full record]]="","",Master[[#This Row],[Cooperator (Donor) 1 -full record]])</f>
        <v/>
      </c>
    </row>
    <row r="189" spans="1:13" x14ac:dyDescent="0.25">
      <c r="A189" s="89">
        <f t="shared" si="5"/>
        <v>187</v>
      </c>
      <c r="B189" s="89" t="str">
        <f>Master[[#This Row],[Accession Prefix (NPGS)]]&amp;" "&amp;Master[[#This Row],[Accession Number -Assigned]]</f>
        <v xml:space="preserve"> </v>
      </c>
      <c r="C189" s="89" t="str">
        <f>Master[[#This Row],[Inventory Prefix]]&amp;" "&amp;Master[[#This Row],[Inventory Number]]&amp;" "&amp;Master[[#This Row],[Inventory Suffix]]&amp;" "&amp;Master[[#This Row],[Inventory Type - Lookup Picker]]</f>
        <v xml:space="preserve">   </v>
      </c>
      <c r="D189" s="89" t="str">
        <f>IF(Master[[#This Row],[Accession Name (Identifier 1)]]="","",Master[[#This Row],[Accession Name (Identifier 1)]])</f>
        <v xml:space="preserve"> </v>
      </c>
      <c r="E189" s="87" t="str">
        <f>IF(Master[[#This Row],[Date Collected or Developed]]="","",Master[[#This Row],[Date Collected or Developed]])</f>
        <v/>
      </c>
      <c r="F189" s="87" t="str">
        <f>IF(Master[[#This Row],[Received Date -received by site]]="","",Master[[#This Row],[Received Date -received by site]])</f>
        <v/>
      </c>
      <c r="G189" s="89" t="str">
        <f>IF(Master[[#This Row],[Taxon -Lookup Picker in GRIN]]="","",Master[[#This Row],[Taxon -Lookup Picker in GRIN]])</f>
        <v/>
      </c>
      <c r="H189" s="89" t="str">
        <f>IF(Master[[#This Row],[Inventory Maintenance Policy]]="","",Master[[#This Row],[Inventory Maintenance Policy]])</f>
        <v/>
      </c>
      <c r="I189" s="89" t="e">
        <f>IF(Master[[#This Row],[Geography (Collection) -Lookup Picker in GRIN]]="",#REF!,Master[[#This Row],[Geography (Collection) -Lookup Picker in GRIN]])</f>
        <v>#REF!</v>
      </c>
      <c r="J189" s="89" t="str">
        <f>IF(Master[[#This Row],[Collector Verbatim Locality]]="","",Master[[#This Row],[Collector Verbatim Locality]])</f>
        <v/>
      </c>
      <c r="K189" s="91" t="str">
        <f>IF(Master[[#This Row],[Latitude -decimal degrees]]="","",Master[[#This Row],[Latitude -decimal degrees]])</f>
        <v/>
      </c>
      <c r="L189" s="91" t="str">
        <f>IF(Master[[#This Row],[Longitude -decimal degrees]]="","",Master[[#This Row],[Longitude -decimal degrees]])</f>
        <v/>
      </c>
      <c r="M189" s="89" t="str">
        <f>IF(Master[[#This Row],[Cooperator (Donor) 1 -full record]]="","",Master[[#This Row],[Cooperator (Donor) 1 -full record]])</f>
        <v/>
      </c>
    </row>
    <row r="190" spans="1:13" x14ac:dyDescent="0.25">
      <c r="A190" s="89">
        <f t="shared" si="5"/>
        <v>188</v>
      </c>
      <c r="B190" s="89" t="str">
        <f>Master[[#This Row],[Accession Prefix (NPGS)]]&amp;" "&amp;Master[[#This Row],[Accession Number -Assigned]]</f>
        <v xml:space="preserve"> </v>
      </c>
      <c r="C190" s="89" t="str">
        <f>Master[[#This Row],[Inventory Prefix]]&amp;" "&amp;Master[[#This Row],[Inventory Number]]&amp;" "&amp;Master[[#This Row],[Inventory Suffix]]&amp;" "&amp;Master[[#This Row],[Inventory Type - Lookup Picker]]</f>
        <v xml:space="preserve">   </v>
      </c>
      <c r="D190" s="89" t="str">
        <f>IF(Master[[#This Row],[Accession Name (Identifier 1)]]="","",Master[[#This Row],[Accession Name (Identifier 1)]])</f>
        <v xml:space="preserve"> </v>
      </c>
      <c r="E190" s="87" t="str">
        <f>IF(Master[[#This Row],[Date Collected or Developed]]="","",Master[[#This Row],[Date Collected or Developed]])</f>
        <v/>
      </c>
      <c r="F190" s="87" t="str">
        <f>IF(Master[[#This Row],[Received Date -received by site]]="","",Master[[#This Row],[Received Date -received by site]])</f>
        <v/>
      </c>
      <c r="G190" s="89" t="str">
        <f>IF(Master[[#This Row],[Taxon -Lookup Picker in GRIN]]="","",Master[[#This Row],[Taxon -Lookup Picker in GRIN]])</f>
        <v/>
      </c>
      <c r="H190" s="89" t="str">
        <f>IF(Master[[#This Row],[Inventory Maintenance Policy]]="","",Master[[#This Row],[Inventory Maintenance Policy]])</f>
        <v/>
      </c>
      <c r="I190" s="89" t="e">
        <f>IF(Master[[#This Row],[Geography (Collection) -Lookup Picker in GRIN]]="",#REF!,Master[[#This Row],[Geography (Collection) -Lookup Picker in GRIN]])</f>
        <v>#REF!</v>
      </c>
      <c r="J190" s="89" t="str">
        <f>IF(Master[[#This Row],[Collector Verbatim Locality]]="","",Master[[#This Row],[Collector Verbatim Locality]])</f>
        <v/>
      </c>
      <c r="K190" s="91" t="str">
        <f>IF(Master[[#This Row],[Latitude -decimal degrees]]="","",Master[[#This Row],[Latitude -decimal degrees]])</f>
        <v/>
      </c>
      <c r="L190" s="91" t="str">
        <f>IF(Master[[#This Row],[Longitude -decimal degrees]]="","",Master[[#This Row],[Longitude -decimal degrees]])</f>
        <v/>
      </c>
      <c r="M190" s="89" t="str">
        <f>IF(Master[[#This Row],[Cooperator (Donor) 1 -full record]]="","",Master[[#This Row],[Cooperator (Donor) 1 -full record]])</f>
        <v/>
      </c>
    </row>
    <row r="191" spans="1:13" x14ac:dyDescent="0.25">
      <c r="A191" s="89">
        <f t="shared" si="5"/>
        <v>189</v>
      </c>
      <c r="B191" s="89" t="str">
        <f>Master[[#This Row],[Accession Prefix (NPGS)]]&amp;" "&amp;Master[[#This Row],[Accession Number -Assigned]]</f>
        <v xml:space="preserve"> </v>
      </c>
      <c r="C191" s="89" t="str">
        <f>Master[[#This Row],[Inventory Prefix]]&amp;" "&amp;Master[[#This Row],[Inventory Number]]&amp;" "&amp;Master[[#This Row],[Inventory Suffix]]&amp;" "&amp;Master[[#This Row],[Inventory Type - Lookup Picker]]</f>
        <v xml:space="preserve">   </v>
      </c>
      <c r="D191" s="89" t="str">
        <f>IF(Master[[#This Row],[Accession Name (Identifier 1)]]="","",Master[[#This Row],[Accession Name (Identifier 1)]])</f>
        <v xml:space="preserve"> </v>
      </c>
      <c r="E191" s="87" t="str">
        <f>IF(Master[[#This Row],[Date Collected or Developed]]="","",Master[[#This Row],[Date Collected or Developed]])</f>
        <v/>
      </c>
      <c r="F191" s="87" t="str">
        <f>IF(Master[[#This Row],[Received Date -received by site]]="","",Master[[#This Row],[Received Date -received by site]])</f>
        <v/>
      </c>
      <c r="G191" s="89" t="str">
        <f>IF(Master[[#This Row],[Taxon -Lookup Picker in GRIN]]="","",Master[[#This Row],[Taxon -Lookup Picker in GRIN]])</f>
        <v/>
      </c>
      <c r="H191" s="89" t="str">
        <f>IF(Master[[#This Row],[Inventory Maintenance Policy]]="","",Master[[#This Row],[Inventory Maintenance Policy]])</f>
        <v/>
      </c>
      <c r="I191" s="89" t="e">
        <f>IF(Master[[#This Row],[Geography (Collection) -Lookup Picker in GRIN]]="",#REF!,Master[[#This Row],[Geography (Collection) -Lookup Picker in GRIN]])</f>
        <v>#REF!</v>
      </c>
      <c r="J191" s="89" t="str">
        <f>IF(Master[[#This Row],[Collector Verbatim Locality]]="","",Master[[#This Row],[Collector Verbatim Locality]])</f>
        <v/>
      </c>
      <c r="K191" s="91" t="str">
        <f>IF(Master[[#This Row],[Latitude -decimal degrees]]="","",Master[[#This Row],[Latitude -decimal degrees]])</f>
        <v/>
      </c>
      <c r="L191" s="91" t="str">
        <f>IF(Master[[#This Row],[Longitude -decimal degrees]]="","",Master[[#This Row],[Longitude -decimal degrees]])</f>
        <v/>
      </c>
      <c r="M191" s="89" t="str">
        <f>IF(Master[[#This Row],[Cooperator (Donor) 1 -full record]]="","",Master[[#This Row],[Cooperator (Donor) 1 -full record]])</f>
        <v/>
      </c>
    </row>
    <row r="192" spans="1:13" x14ac:dyDescent="0.25">
      <c r="A192" s="89">
        <f t="shared" si="5"/>
        <v>190</v>
      </c>
      <c r="B192" s="89" t="str">
        <f>Master[[#This Row],[Accession Prefix (NPGS)]]&amp;" "&amp;Master[[#This Row],[Accession Number -Assigned]]</f>
        <v xml:space="preserve"> </v>
      </c>
      <c r="C192" s="89" t="str">
        <f>Master[[#This Row],[Inventory Prefix]]&amp;" "&amp;Master[[#This Row],[Inventory Number]]&amp;" "&amp;Master[[#This Row],[Inventory Suffix]]&amp;" "&amp;Master[[#This Row],[Inventory Type - Lookup Picker]]</f>
        <v xml:space="preserve">   </v>
      </c>
      <c r="D192" s="89" t="str">
        <f>IF(Master[[#This Row],[Accession Name (Identifier 1)]]="","",Master[[#This Row],[Accession Name (Identifier 1)]])</f>
        <v xml:space="preserve"> </v>
      </c>
      <c r="E192" s="87" t="str">
        <f>IF(Master[[#This Row],[Date Collected or Developed]]="","",Master[[#This Row],[Date Collected or Developed]])</f>
        <v/>
      </c>
      <c r="F192" s="87" t="str">
        <f>IF(Master[[#This Row],[Received Date -received by site]]="","",Master[[#This Row],[Received Date -received by site]])</f>
        <v/>
      </c>
      <c r="G192" s="89" t="str">
        <f>IF(Master[[#This Row],[Taxon -Lookup Picker in GRIN]]="","",Master[[#This Row],[Taxon -Lookup Picker in GRIN]])</f>
        <v/>
      </c>
      <c r="H192" s="89" t="str">
        <f>IF(Master[[#This Row],[Inventory Maintenance Policy]]="","",Master[[#This Row],[Inventory Maintenance Policy]])</f>
        <v/>
      </c>
      <c r="I192" s="89" t="e">
        <f>IF(Master[[#This Row],[Geography (Collection) -Lookup Picker in GRIN]]="",#REF!,Master[[#This Row],[Geography (Collection) -Lookup Picker in GRIN]])</f>
        <v>#REF!</v>
      </c>
      <c r="J192" s="89" t="str">
        <f>IF(Master[[#This Row],[Collector Verbatim Locality]]="","",Master[[#This Row],[Collector Verbatim Locality]])</f>
        <v/>
      </c>
      <c r="K192" s="91" t="str">
        <f>IF(Master[[#This Row],[Latitude -decimal degrees]]="","",Master[[#This Row],[Latitude -decimal degrees]])</f>
        <v/>
      </c>
      <c r="L192" s="91" t="str">
        <f>IF(Master[[#This Row],[Longitude -decimal degrees]]="","",Master[[#This Row],[Longitude -decimal degrees]])</f>
        <v/>
      </c>
      <c r="M192" s="89" t="str">
        <f>IF(Master[[#This Row],[Cooperator (Donor) 1 -full record]]="","",Master[[#This Row],[Cooperator (Donor) 1 -full record]])</f>
        <v/>
      </c>
    </row>
    <row r="193" spans="1:13" x14ac:dyDescent="0.25">
      <c r="A193" s="89">
        <f t="shared" si="5"/>
        <v>191</v>
      </c>
      <c r="B193" s="89" t="str">
        <f>Master[[#This Row],[Accession Prefix (NPGS)]]&amp;" "&amp;Master[[#This Row],[Accession Number -Assigned]]</f>
        <v xml:space="preserve"> </v>
      </c>
      <c r="C193" s="89" t="str">
        <f>Master[[#This Row],[Inventory Prefix]]&amp;" "&amp;Master[[#This Row],[Inventory Number]]&amp;" "&amp;Master[[#This Row],[Inventory Suffix]]&amp;" "&amp;Master[[#This Row],[Inventory Type - Lookup Picker]]</f>
        <v xml:space="preserve">   </v>
      </c>
      <c r="D193" s="89" t="str">
        <f>IF(Master[[#This Row],[Accession Name (Identifier 1)]]="","",Master[[#This Row],[Accession Name (Identifier 1)]])</f>
        <v xml:space="preserve"> </v>
      </c>
      <c r="E193" s="87" t="str">
        <f>IF(Master[[#This Row],[Date Collected or Developed]]="","",Master[[#This Row],[Date Collected or Developed]])</f>
        <v/>
      </c>
      <c r="F193" s="87" t="str">
        <f>IF(Master[[#This Row],[Received Date -received by site]]="","",Master[[#This Row],[Received Date -received by site]])</f>
        <v/>
      </c>
      <c r="G193" s="89" t="str">
        <f>IF(Master[[#This Row],[Taxon -Lookup Picker in GRIN]]="","",Master[[#This Row],[Taxon -Lookup Picker in GRIN]])</f>
        <v/>
      </c>
      <c r="H193" s="89" t="str">
        <f>IF(Master[[#This Row],[Inventory Maintenance Policy]]="","",Master[[#This Row],[Inventory Maintenance Policy]])</f>
        <v/>
      </c>
      <c r="I193" s="89" t="e">
        <f>IF(Master[[#This Row],[Geography (Collection) -Lookup Picker in GRIN]]="",#REF!,Master[[#This Row],[Geography (Collection) -Lookup Picker in GRIN]])</f>
        <v>#REF!</v>
      </c>
      <c r="J193" s="89" t="str">
        <f>IF(Master[[#This Row],[Collector Verbatim Locality]]="","",Master[[#This Row],[Collector Verbatim Locality]])</f>
        <v/>
      </c>
      <c r="K193" s="91" t="str">
        <f>IF(Master[[#This Row],[Latitude -decimal degrees]]="","",Master[[#This Row],[Latitude -decimal degrees]])</f>
        <v/>
      </c>
      <c r="L193" s="91" t="str">
        <f>IF(Master[[#This Row],[Longitude -decimal degrees]]="","",Master[[#This Row],[Longitude -decimal degrees]])</f>
        <v/>
      </c>
      <c r="M193" s="89" t="str">
        <f>IF(Master[[#This Row],[Cooperator (Donor) 1 -full record]]="","",Master[[#This Row],[Cooperator (Donor) 1 -full record]])</f>
        <v/>
      </c>
    </row>
    <row r="194" spans="1:13" x14ac:dyDescent="0.25">
      <c r="A194" s="89">
        <f t="shared" ref="A194:A201" si="6">ROW()-2</f>
        <v>192</v>
      </c>
      <c r="B194" s="89" t="str">
        <f>Master[[#This Row],[Accession Prefix (NPGS)]]&amp;" "&amp;Master[[#This Row],[Accession Number -Assigned]]</f>
        <v xml:space="preserve"> </v>
      </c>
      <c r="C194" s="89" t="str">
        <f>Master[[#This Row],[Inventory Prefix]]&amp;" "&amp;Master[[#This Row],[Inventory Number]]&amp;" "&amp;Master[[#This Row],[Inventory Suffix]]&amp;" "&amp;Master[[#This Row],[Inventory Type - Lookup Picker]]</f>
        <v xml:space="preserve">   </v>
      </c>
      <c r="D194" s="89" t="str">
        <f>IF(Master[[#This Row],[Accession Name (Identifier 1)]]="","",Master[[#This Row],[Accession Name (Identifier 1)]])</f>
        <v xml:space="preserve"> </v>
      </c>
      <c r="E194" s="87" t="str">
        <f>IF(Master[[#This Row],[Date Collected or Developed]]="","",Master[[#This Row],[Date Collected or Developed]])</f>
        <v/>
      </c>
      <c r="F194" s="87" t="str">
        <f>IF(Master[[#This Row],[Received Date -received by site]]="","",Master[[#This Row],[Received Date -received by site]])</f>
        <v/>
      </c>
      <c r="G194" s="89" t="str">
        <f>IF(Master[[#This Row],[Taxon -Lookup Picker in GRIN]]="","",Master[[#This Row],[Taxon -Lookup Picker in GRIN]])</f>
        <v/>
      </c>
      <c r="H194" s="89" t="str">
        <f>IF(Master[[#This Row],[Inventory Maintenance Policy]]="","",Master[[#This Row],[Inventory Maintenance Policy]])</f>
        <v/>
      </c>
      <c r="I194" s="89" t="e">
        <f>IF(Master[[#This Row],[Geography (Collection) -Lookup Picker in GRIN]]="",#REF!,Master[[#This Row],[Geography (Collection) -Lookup Picker in GRIN]])</f>
        <v>#REF!</v>
      </c>
      <c r="J194" s="89" t="str">
        <f>IF(Master[[#This Row],[Collector Verbatim Locality]]="","",Master[[#This Row],[Collector Verbatim Locality]])</f>
        <v/>
      </c>
      <c r="K194" s="91" t="str">
        <f>IF(Master[[#This Row],[Latitude -decimal degrees]]="","",Master[[#This Row],[Latitude -decimal degrees]])</f>
        <v/>
      </c>
      <c r="L194" s="91" t="str">
        <f>IF(Master[[#This Row],[Longitude -decimal degrees]]="","",Master[[#This Row],[Longitude -decimal degrees]])</f>
        <v/>
      </c>
      <c r="M194" s="89" t="str">
        <f>IF(Master[[#This Row],[Cooperator (Donor) 1 -full record]]="","",Master[[#This Row],[Cooperator (Donor) 1 -full record]])</f>
        <v/>
      </c>
    </row>
    <row r="195" spans="1:13" x14ac:dyDescent="0.25">
      <c r="A195" s="89">
        <f t="shared" si="6"/>
        <v>193</v>
      </c>
      <c r="B195" s="89" t="str">
        <f>Master[[#This Row],[Accession Prefix (NPGS)]]&amp;" "&amp;Master[[#This Row],[Accession Number -Assigned]]</f>
        <v xml:space="preserve"> </v>
      </c>
      <c r="C195" s="89" t="str">
        <f>Master[[#This Row],[Inventory Prefix]]&amp;" "&amp;Master[[#This Row],[Inventory Number]]&amp;" "&amp;Master[[#This Row],[Inventory Suffix]]&amp;" "&amp;Master[[#This Row],[Inventory Type - Lookup Picker]]</f>
        <v xml:space="preserve">   </v>
      </c>
      <c r="D195" s="89" t="str">
        <f>IF(Master[[#This Row],[Accession Name (Identifier 1)]]="","",Master[[#This Row],[Accession Name (Identifier 1)]])</f>
        <v xml:space="preserve"> </v>
      </c>
      <c r="E195" s="87" t="str">
        <f>IF(Master[[#This Row],[Date Collected or Developed]]="","",Master[[#This Row],[Date Collected or Developed]])</f>
        <v/>
      </c>
      <c r="F195" s="87" t="str">
        <f>IF(Master[[#This Row],[Received Date -received by site]]="","",Master[[#This Row],[Received Date -received by site]])</f>
        <v/>
      </c>
      <c r="G195" s="89" t="str">
        <f>IF(Master[[#This Row],[Taxon -Lookup Picker in GRIN]]="","",Master[[#This Row],[Taxon -Lookup Picker in GRIN]])</f>
        <v/>
      </c>
      <c r="H195" s="89" t="str">
        <f>IF(Master[[#This Row],[Inventory Maintenance Policy]]="","",Master[[#This Row],[Inventory Maintenance Policy]])</f>
        <v/>
      </c>
      <c r="I195" s="89" t="e">
        <f>IF(Master[[#This Row],[Geography (Collection) -Lookup Picker in GRIN]]="",#REF!,Master[[#This Row],[Geography (Collection) -Lookup Picker in GRIN]])</f>
        <v>#REF!</v>
      </c>
      <c r="J195" s="89" t="str">
        <f>IF(Master[[#This Row],[Collector Verbatim Locality]]="","",Master[[#This Row],[Collector Verbatim Locality]])</f>
        <v/>
      </c>
      <c r="K195" s="91" t="str">
        <f>IF(Master[[#This Row],[Latitude -decimal degrees]]="","",Master[[#This Row],[Latitude -decimal degrees]])</f>
        <v/>
      </c>
      <c r="L195" s="91" t="str">
        <f>IF(Master[[#This Row],[Longitude -decimal degrees]]="","",Master[[#This Row],[Longitude -decimal degrees]])</f>
        <v/>
      </c>
      <c r="M195" s="89" t="str">
        <f>IF(Master[[#This Row],[Cooperator (Donor) 1 -full record]]="","",Master[[#This Row],[Cooperator (Donor) 1 -full record]])</f>
        <v/>
      </c>
    </row>
    <row r="196" spans="1:13" x14ac:dyDescent="0.25">
      <c r="A196" s="89">
        <f t="shared" si="6"/>
        <v>194</v>
      </c>
      <c r="B196" s="89" t="str">
        <f>Master[[#This Row],[Accession Prefix (NPGS)]]&amp;" "&amp;Master[[#This Row],[Accession Number -Assigned]]</f>
        <v xml:space="preserve"> </v>
      </c>
      <c r="C196" s="89" t="str">
        <f>Master[[#This Row],[Inventory Prefix]]&amp;" "&amp;Master[[#This Row],[Inventory Number]]&amp;" "&amp;Master[[#This Row],[Inventory Suffix]]&amp;" "&amp;Master[[#This Row],[Inventory Type - Lookup Picker]]</f>
        <v xml:space="preserve">   </v>
      </c>
      <c r="D196" s="89" t="str">
        <f>IF(Master[[#This Row],[Accession Name (Identifier 1)]]="","",Master[[#This Row],[Accession Name (Identifier 1)]])</f>
        <v xml:space="preserve"> </v>
      </c>
      <c r="E196" s="87" t="str">
        <f>IF(Master[[#This Row],[Date Collected or Developed]]="","",Master[[#This Row],[Date Collected or Developed]])</f>
        <v/>
      </c>
      <c r="F196" s="87" t="str">
        <f>IF(Master[[#This Row],[Received Date -received by site]]="","",Master[[#This Row],[Received Date -received by site]])</f>
        <v/>
      </c>
      <c r="G196" s="89" t="str">
        <f>IF(Master[[#This Row],[Taxon -Lookup Picker in GRIN]]="","",Master[[#This Row],[Taxon -Lookup Picker in GRIN]])</f>
        <v/>
      </c>
      <c r="H196" s="89" t="str">
        <f>IF(Master[[#This Row],[Inventory Maintenance Policy]]="","",Master[[#This Row],[Inventory Maintenance Policy]])</f>
        <v/>
      </c>
      <c r="I196" s="89" t="e">
        <f>IF(Master[[#This Row],[Geography (Collection) -Lookup Picker in GRIN]]="",#REF!,Master[[#This Row],[Geography (Collection) -Lookup Picker in GRIN]])</f>
        <v>#REF!</v>
      </c>
      <c r="J196" s="89" t="str">
        <f>IF(Master[[#This Row],[Collector Verbatim Locality]]="","",Master[[#This Row],[Collector Verbatim Locality]])</f>
        <v/>
      </c>
      <c r="K196" s="91" t="str">
        <f>IF(Master[[#This Row],[Latitude -decimal degrees]]="","",Master[[#This Row],[Latitude -decimal degrees]])</f>
        <v/>
      </c>
      <c r="L196" s="91" t="str">
        <f>IF(Master[[#This Row],[Longitude -decimal degrees]]="","",Master[[#This Row],[Longitude -decimal degrees]])</f>
        <v/>
      </c>
      <c r="M196" s="89" t="str">
        <f>IF(Master[[#This Row],[Cooperator (Donor) 1 -full record]]="","",Master[[#This Row],[Cooperator (Donor) 1 -full record]])</f>
        <v/>
      </c>
    </row>
    <row r="197" spans="1:13" x14ac:dyDescent="0.25">
      <c r="A197" s="89">
        <f t="shared" si="6"/>
        <v>195</v>
      </c>
      <c r="B197" s="89" t="str">
        <f>Master[[#This Row],[Accession Prefix (NPGS)]]&amp;" "&amp;Master[[#This Row],[Accession Number -Assigned]]</f>
        <v xml:space="preserve"> </v>
      </c>
      <c r="C197" s="89" t="str">
        <f>Master[[#This Row],[Inventory Prefix]]&amp;" "&amp;Master[[#This Row],[Inventory Number]]&amp;" "&amp;Master[[#This Row],[Inventory Suffix]]&amp;" "&amp;Master[[#This Row],[Inventory Type - Lookup Picker]]</f>
        <v xml:space="preserve">   </v>
      </c>
      <c r="D197" s="89" t="str">
        <f>IF(Master[[#This Row],[Accession Name (Identifier 1)]]="","",Master[[#This Row],[Accession Name (Identifier 1)]])</f>
        <v xml:space="preserve"> </v>
      </c>
      <c r="E197" s="87" t="str">
        <f>IF(Master[[#This Row],[Date Collected or Developed]]="","",Master[[#This Row],[Date Collected or Developed]])</f>
        <v/>
      </c>
      <c r="F197" s="87" t="str">
        <f>IF(Master[[#This Row],[Received Date -received by site]]="","",Master[[#This Row],[Received Date -received by site]])</f>
        <v/>
      </c>
      <c r="G197" s="89" t="str">
        <f>IF(Master[[#This Row],[Taxon -Lookup Picker in GRIN]]="","",Master[[#This Row],[Taxon -Lookup Picker in GRIN]])</f>
        <v/>
      </c>
      <c r="H197" s="89" t="str">
        <f>IF(Master[[#This Row],[Inventory Maintenance Policy]]="","",Master[[#This Row],[Inventory Maintenance Policy]])</f>
        <v/>
      </c>
      <c r="I197" s="89" t="e">
        <f>IF(Master[[#This Row],[Geography (Collection) -Lookup Picker in GRIN]]="",#REF!,Master[[#This Row],[Geography (Collection) -Lookup Picker in GRIN]])</f>
        <v>#REF!</v>
      </c>
      <c r="J197" s="89" t="str">
        <f>IF(Master[[#This Row],[Collector Verbatim Locality]]="","",Master[[#This Row],[Collector Verbatim Locality]])</f>
        <v/>
      </c>
      <c r="K197" s="91" t="str">
        <f>IF(Master[[#This Row],[Latitude -decimal degrees]]="","",Master[[#This Row],[Latitude -decimal degrees]])</f>
        <v/>
      </c>
      <c r="L197" s="91" t="str">
        <f>IF(Master[[#This Row],[Longitude -decimal degrees]]="","",Master[[#This Row],[Longitude -decimal degrees]])</f>
        <v/>
      </c>
      <c r="M197" s="89" t="str">
        <f>IF(Master[[#This Row],[Cooperator (Donor) 1 -full record]]="","",Master[[#This Row],[Cooperator (Donor) 1 -full record]])</f>
        <v/>
      </c>
    </row>
    <row r="198" spans="1:13" x14ac:dyDescent="0.25">
      <c r="A198" s="89">
        <f t="shared" si="6"/>
        <v>196</v>
      </c>
      <c r="B198" s="89" t="str">
        <f>Master[[#This Row],[Accession Prefix (NPGS)]]&amp;" "&amp;Master[[#This Row],[Accession Number -Assigned]]</f>
        <v xml:space="preserve"> </v>
      </c>
      <c r="C198" s="89" t="str">
        <f>Master[[#This Row],[Inventory Prefix]]&amp;" "&amp;Master[[#This Row],[Inventory Number]]&amp;" "&amp;Master[[#This Row],[Inventory Suffix]]&amp;" "&amp;Master[[#This Row],[Inventory Type - Lookup Picker]]</f>
        <v xml:space="preserve">   </v>
      </c>
      <c r="D198" s="89" t="str">
        <f>IF(Master[[#This Row],[Accession Name (Identifier 1)]]="","",Master[[#This Row],[Accession Name (Identifier 1)]])</f>
        <v xml:space="preserve"> </v>
      </c>
      <c r="E198" s="87" t="str">
        <f>IF(Master[[#This Row],[Date Collected or Developed]]="","",Master[[#This Row],[Date Collected or Developed]])</f>
        <v/>
      </c>
      <c r="F198" s="87" t="str">
        <f>IF(Master[[#This Row],[Received Date -received by site]]="","",Master[[#This Row],[Received Date -received by site]])</f>
        <v/>
      </c>
      <c r="G198" s="89" t="str">
        <f>IF(Master[[#This Row],[Taxon -Lookup Picker in GRIN]]="","",Master[[#This Row],[Taxon -Lookup Picker in GRIN]])</f>
        <v/>
      </c>
      <c r="H198" s="89" t="str">
        <f>IF(Master[[#This Row],[Inventory Maintenance Policy]]="","",Master[[#This Row],[Inventory Maintenance Policy]])</f>
        <v/>
      </c>
      <c r="I198" s="89" t="e">
        <f>IF(Master[[#This Row],[Geography (Collection) -Lookup Picker in GRIN]]="",#REF!,Master[[#This Row],[Geography (Collection) -Lookup Picker in GRIN]])</f>
        <v>#REF!</v>
      </c>
      <c r="J198" s="89" t="str">
        <f>IF(Master[[#This Row],[Collector Verbatim Locality]]="","",Master[[#This Row],[Collector Verbatim Locality]])</f>
        <v/>
      </c>
      <c r="K198" s="91" t="str">
        <f>IF(Master[[#This Row],[Latitude -decimal degrees]]="","",Master[[#This Row],[Latitude -decimal degrees]])</f>
        <v/>
      </c>
      <c r="L198" s="91" t="str">
        <f>IF(Master[[#This Row],[Longitude -decimal degrees]]="","",Master[[#This Row],[Longitude -decimal degrees]])</f>
        <v/>
      </c>
      <c r="M198" s="89" t="str">
        <f>IF(Master[[#This Row],[Cooperator (Donor) 1 -full record]]="","",Master[[#This Row],[Cooperator (Donor) 1 -full record]])</f>
        <v/>
      </c>
    </row>
    <row r="199" spans="1:13" x14ac:dyDescent="0.25">
      <c r="A199" s="89">
        <f t="shared" si="6"/>
        <v>197</v>
      </c>
      <c r="B199" s="89" t="str">
        <f>Master[[#This Row],[Accession Prefix (NPGS)]]&amp;" "&amp;Master[[#This Row],[Accession Number -Assigned]]</f>
        <v xml:space="preserve"> </v>
      </c>
      <c r="C199" s="89" t="str">
        <f>Master[[#This Row],[Inventory Prefix]]&amp;" "&amp;Master[[#This Row],[Inventory Number]]&amp;" "&amp;Master[[#This Row],[Inventory Suffix]]&amp;" "&amp;Master[[#This Row],[Inventory Type - Lookup Picker]]</f>
        <v xml:space="preserve">   </v>
      </c>
      <c r="D199" s="89" t="str">
        <f>IF(Master[[#This Row],[Accession Name (Identifier 1)]]="","",Master[[#This Row],[Accession Name (Identifier 1)]])</f>
        <v xml:space="preserve"> </v>
      </c>
      <c r="E199" s="87" t="str">
        <f>IF(Master[[#This Row],[Date Collected or Developed]]="","",Master[[#This Row],[Date Collected or Developed]])</f>
        <v/>
      </c>
      <c r="F199" s="87" t="str">
        <f>IF(Master[[#This Row],[Received Date -received by site]]="","",Master[[#This Row],[Received Date -received by site]])</f>
        <v/>
      </c>
      <c r="G199" s="89" t="str">
        <f>IF(Master[[#This Row],[Taxon -Lookup Picker in GRIN]]="","",Master[[#This Row],[Taxon -Lookup Picker in GRIN]])</f>
        <v/>
      </c>
      <c r="H199" s="89" t="str">
        <f>IF(Master[[#This Row],[Inventory Maintenance Policy]]="","",Master[[#This Row],[Inventory Maintenance Policy]])</f>
        <v/>
      </c>
      <c r="I199" s="89" t="e">
        <f>IF(Master[[#This Row],[Geography (Collection) -Lookup Picker in GRIN]]="",#REF!,Master[[#This Row],[Geography (Collection) -Lookup Picker in GRIN]])</f>
        <v>#REF!</v>
      </c>
      <c r="J199" s="89" t="str">
        <f>IF(Master[[#This Row],[Collector Verbatim Locality]]="","",Master[[#This Row],[Collector Verbatim Locality]])</f>
        <v/>
      </c>
      <c r="K199" s="91" t="str">
        <f>IF(Master[[#This Row],[Latitude -decimal degrees]]="","",Master[[#This Row],[Latitude -decimal degrees]])</f>
        <v/>
      </c>
      <c r="L199" s="91" t="str">
        <f>IF(Master[[#This Row],[Longitude -decimal degrees]]="","",Master[[#This Row],[Longitude -decimal degrees]])</f>
        <v/>
      </c>
      <c r="M199" s="89" t="str">
        <f>IF(Master[[#This Row],[Cooperator (Donor) 1 -full record]]="","",Master[[#This Row],[Cooperator (Donor) 1 -full record]])</f>
        <v/>
      </c>
    </row>
    <row r="200" spans="1:13" x14ac:dyDescent="0.25">
      <c r="A200" s="89">
        <f t="shared" si="6"/>
        <v>198</v>
      </c>
      <c r="B200" s="89" t="str">
        <f>Master[[#This Row],[Accession Prefix (NPGS)]]&amp;" "&amp;Master[[#This Row],[Accession Number -Assigned]]</f>
        <v xml:space="preserve"> </v>
      </c>
      <c r="C200" s="89" t="str">
        <f>Master[[#This Row],[Inventory Prefix]]&amp;" "&amp;Master[[#This Row],[Inventory Number]]&amp;" "&amp;Master[[#This Row],[Inventory Suffix]]&amp;" "&amp;Master[[#This Row],[Inventory Type - Lookup Picker]]</f>
        <v xml:space="preserve">   </v>
      </c>
      <c r="D200" s="89" t="str">
        <f>IF(Master[[#This Row],[Accession Name (Identifier 1)]]="","",Master[[#This Row],[Accession Name (Identifier 1)]])</f>
        <v xml:space="preserve"> </v>
      </c>
      <c r="E200" s="87" t="str">
        <f>IF(Master[[#This Row],[Date Collected or Developed]]="","",Master[[#This Row],[Date Collected or Developed]])</f>
        <v/>
      </c>
      <c r="F200" s="87" t="str">
        <f>IF(Master[[#This Row],[Received Date -received by site]]="","",Master[[#This Row],[Received Date -received by site]])</f>
        <v/>
      </c>
      <c r="G200" s="89" t="str">
        <f>IF(Master[[#This Row],[Taxon -Lookup Picker in GRIN]]="","",Master[[#This Row],[Taxon -Lookup Picker in GRIN]])</f>
        <v/>
      </c>
      <c r="H200" s="89" t="str">
        <f>IF(Master[[#This Row],[Inventory Maintenance Policy]]="","",Master[[#This Row],[Inventory Maintenance Policy]])</f>
        <v/>
      </c>
      <c r="I200" s="89" t="e">
        <f>IF(Master[[#This Row],[Geography (Collection) -Lookup Picker in GRIN]]="",#REF!,Master[[#This Row],[Geography (Collection) -Lookup Picker in GRIN]])</f>
        <v>#REF!</v>
      </c>
      <c r="J200" s="89" t="str">
        <f>IF(Master[[#This Row],[Collector Verbatim Locality]]="","",Master[[#This Row],[Collector Verbatim Locality]])</f>
        <v/>
      </c>
      <c r="K200" s="91" t="str">
        <f>IF(Master[[#This Row],[Latitude -decimal degrees]]="","",Master[[#This Row],[Latitude -decimal degrees]])</f>
        <v/>
      </c>
      <c r="L200" s="91" t="str">
        <f>IF(Master[[#This Row],[Longitude -decimal degrees]]="","",Master[[#This Row],[Longitude -decimal degrees]])</f>
        <v/>
      </c>
      <c r="M200" s="89" t="str">
        <f>IF(Master[[#This Row],[Cooperator (Donor) 1 -full record]]="","",Master[[#This Row],[Cooperator (Donor) 1 -full record]])</f>
        <v/>
      </c>
    </row>
    <row r="201" spans="1:13" x14ac:dyDescent="0.25">
      <c r="A201" s="89">
        <f t="shared" si="6"/>
        <v>199</v>
      </c>
      <c r="B201" s="89" t="str">
        <f>Master[[#This Row],[Accession Prefix (NPGS)]]&amp;" "&amp;Master[[#This Row],[Accession Number -Assigned]]</f>
        <v xml:space="preserve"> </v>
      </c>
      <c r="C201" s="89" t="str">
        <f>Master[[#This Row],[Inventory Prefix]]&amp;" "&amp;Master[[#This Row],[Inventory Number]]&amp;" "&amp;Master[[#This Row],[Inventory Suffix]]&amp;" "&amp;Master[[#This Row],[Inventory Type - Lookup Picker]]</f>
        <v xml:space="preserve">   </v>
      </c>
      <c r="D201" s="89" t="str">
        <f>IF(Master[[#This Row],[Accession Name (Identifier 1)]]="","",Master[[#This Row],[Accession Name (Identifier 1)]])</f>
        <v xml:space="preserve"> </v>
      </c>
      <c r="E201" s="87" t="str">
        <f>IF(Master[[#This Row],[Date Collected or Developed]]="","",Master[[#This Row],[Date Collected or Developed]])</f>
        <v/>
      </c>
      <c r="F201" s="87" t="str">
        <f>IF(Master[[#This Row],[Received Date -received by site]]="","",Master[[#This Row],[Received Date -received by site]])</f>
        <v/>
      </c>
      <c r="G201" s="89" t="str">
        <f>IF(Master[[#This Row],[Taxon -Lookup Picker in GRIN]]="","",Master[[#This Row],[Taxon -Lookup Picker in GRIN]])</f>
        <v/>
      </c>
      <c r="H201" s="89" t="str">
        <f>IF(Master[[#This Row],[Inventory Maintenance Policy]]="","",Master[[#This Row],[Inventory Maintenance Policy]])</f>
        <v/>
      </c>
      <c r="I201" s="89" t="e">
        <f>IF(Master[[#This Row],[Geography (Collection) -Lookup Picker in GRIN]]="",#REF!,Master[[#This Row],[Geography (Collection) -Lookup Picker in GRIN]])</f>
        <v>#REF!</v>
      </c>
      <c r="J201" s="89" t="str">
        <f>IF(Master[[#This Row],[Collector Verbatim Locality]]="","",Master[[#This Row],[Collector Verbatim Locality]])</f>
        <v/>
      </c>
      <c r="K201" s="91" t="str">
        <f>IF(Master[[#This Row],[Latitude -decimal degrees]]="","",Master[[#This Row],[Latitude -decimal degrees]])</f>
        <v/>
      </c>
      <c r="L201" s="91" t="str">
        <f>IF(Master[[#This Row],[Longitude -decimal degrees]]="","",Master[[#This Row],[Longitude -decimal degrees]])</f>
        <v/>
      </c>
      <c r="M201" s="89" t="str">
        <f>IF(Master[[#This Row],[Cooperator (Donor) 1 -full record]]="","",Master[[#This Row],[Cooperator (Donor) 1 -full record]])</f>
        <v/>
      </c>
    </row>
  </sheetData>
  <pageMargins left="0.25" right="0.25" top="0.75" bottom="0.75" header="0.3" footer="0.3"/>
  <pageSetup scale="93" fitToHeight="0" orientation="landscape" r:id="rId1"/>
  <headerFooter>
    <oddHeader xml:space="preserve">&amp;L&amp;F&amp;RReceived: ______________________________ </oddHeader>
    <oddFooter>&amp;CAll accompanying paperwork, spreadsheets, and/or associated emails can be found on Sharepoint.
NCRPIS Intranet &gt; Support Teams &gt; Germplasm Management&amp;R&amp;P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pageSetUpPr fitToPage="1"/>
  </sheetPr>
  <dimension ref="A1:BQ281"/>
  <sheetViews>
    <sheetView zoomScale="87" zoomScaleNormal="87" workbookViewId="0">
      <pane xSplit="1" ySplit="1" topLeftCell="B118" activePane="bottomRight" state="frozen"/>
      <selection pane="topRight" activeCell="B1" sqref="B1"/>
      <selection pane="bottomLeft" activeCell="A2" sqref="A2"/>
      <selection pane="bottomRight" activeCell="O135" sqref="O135"/>
    </sheetView>
  </sheetViews>
  <sheetFormatPr defaultColWidth="13.140625" defaultRowHeight="15" x14ac:dyDescent="0.25"/>
  <cols>
    <col min="1" max="1" width="6" style="216" customWidth="1"/>
    <col min="2" max="2" width="7.7109375" style="216" customWidth="1"/>
    <col min="3" max="3" width="4.42578125" style="216" customWidth="1"/>
    <col min="4" max="4" width="4.5703125" style="216" customWidth="1"/>
    <col min="5" max="5" width="9.7109375" style="239" bestFit="1" customWidth="1"/>
    <col min="6" max="7" width="4.5703125" style="239" customWidth="1"/>
    <col min="8" max="9" width="4.5703125" style="216" customWidth="1"/>
    <col min="10" max="10" width="48.85546875" style="218" bestFit="1" customWidth="1"/>
    <col min="11" max="11" width="14" style="216" bestFit="1" customWidth="1"/>
    <col min="12" max="12" width="6.7109375" style="218" customWidth="1"/>
    <col min="13" max="13" width="6.7109375" style="240" customWidth="1"/>
    <col min="14" max="14" width="6.7109375" style="216" customWidth="1"/>
    <col min="15" max="15" width="13.7109375" style="216" customWidth="1"/>
    <col min="16" max="16" width="12" style="216" bestFit="1" customWidth="1"/>
    <col min="17" max="17" width="11.140625" style="216" customWidth="1"/>
    <col min="18" max="18" width="11.140625" style="240" customWidth="1"/>
    <col min="19" max="19" width="5.85546875" style="241" customWidth="1"/>
    <col min="20" max="20" width="6.42578125" style="242" customWidth="1"/>
    <col min="21" max="23" width="13.42578125" style="216" customWidth="1"/>
    <col min="24" max="24" width="6.140625" style="241" customWidth="1"/>
    <col min="25" max="25" width="10.42578125" style="216" customWidth="1"/>
    <col min="26" max="26" width="10.85546875" style="243" customWidth="1"/>
    <col min="27" max="27" width="8.42578125" style="243" customWidth="1"/>
    <col min="28" max="28" width="27.140625" style="244" customWidth="1"/>
    <col min="29" max="29" width="9" style="244" customWidth="1"/>
    <col min="30" max="34" width="9" style="216" customWidth="1"/>
    <col min="35" max="36" width="8.42578125" style="241" customWidth="1"/>
    <col min="37" max="37" width="10.140625" style="216" customWidth="1"/>
    <col min="38" max="38" width="8.42578125" style="216" customWidth="1"/>
    <col min="39" max="39" width="15.85546875" style="216" customWidth="1"/>
    <col min="40" max="40" width="15.42578125" style="216" customWidth="1"/>
    <col min="41" max="41" width="23.42578125" style="216" customWidth="1"/>
    <col min="42" max="42" width="33.7109375" style="216" customWidth="1"/>
    <col min="43" max="44" width="6.85546875" style="216" customWidth="1"/>
    <col min="45" max="45" width="6.42578125" style="216" customWidth="1"/>
    <col min="46" max="46" width="11.5703125" style="216" customWidth="1"/>
    <col min="47" max="47" width="7.85546875" style="216" customWidth="1"/>
    <col min="48" max="48" width="7.5703125" style="243" customWidth="1"/>
    <col min="49" max="49" width="7.5703125" style="216" customWidth="1"/>
    <col min="50" max="51" width="7.5703125" style="243" customWidth="1"/>
    <col min="52" max="53" width="7.5703125" style="239" customWidth="1"/>
    <col min="54" max="54" width="11.28515625" style="239" customWidth="1"/>
    <col min="55" max="62" width="11.28515625" style="216" customWidth="1"/>
    <col min="63" max="63" width="6.140625" style="216" customWidth="1"/>
    <col min="64" max="64" width="10.7109375" style="216" customWidth="1"/>
    <col min="65" max="69" width="6.140625" style="216" customWidth="1"/>
    <col min="70" max="16384" width="13.140625" style="216"/>
  </cols>
  <sheetData>
    <row r="1" spans="1:69" s="107" customFormat="1" ht="56.45" customHeight="1" x14ac:dyDescent="0.25">
      <c r="A1" s="92" t="s">
        <v>46</v>
      </c>
      <c r="B1" s="92" t="s">
        <v>562</v>
      </c>
      <c r="C1" s="92" t="s">
        <v>544</v>
      </c>
      <c r="D1" s="96" t="s">
        <v>523</v>
      </c>
      <c r="E1" s="94" t="s">
        <v>127</v>
      </c>
      <c r="F1" s="166" t="s">
        <v>17</v>
      </c>
      <c r="G1" s="166" t="s">
        <v>18</v>
      </c>
      <c r="H1" s="95" t="s">
        <v>15</v>
      </c>
      <c r="I1" s="95" t="s">
        <v>160</v>
      </c>
      <c r="J1" s="96" t="s">
        <v>796</v>
      </c>
      <c r="K1" s="97" t="s">
        <v>129</v>
      </c>
      <c r="L1" s="98" t="s">
        <v>130</v>
      </c>
      <c r="M1" s="96" t="s">
        <v>131</v>
      </c>
      <c r="N1" s="96" t="s">
        <v>132</v>
      </c>
      <c r="O1" s="96" t="s">
        <v>47</v>
      </c>
      <c r="P1" s="99" t="s">
        <v>545</v>
      </c>
      <c r="Q1" s="100" t="s">
        <v>794</v>
      </c>
      <c r="R1" s="100" t="s">
        <v>795</v>
      </c>
      <c r="S1" s="200" t="s">
        <v>33</v>
      </c>
      <c r="T1" s="100" t="s">
        <v>496</v>
      </c>
      <c r="U1" s="100" t="s">
        <v>34</v>
      </c>
      <c r="V1" s="100" t="s">
        <v>495</v>
      </c>
      <c r="W1" s="100" t="s">
        <v>35</v>
      </c>
      <c r="X1" s="202" t="s">
        <v>36</v>
      </c>
      <c r="Y1" s="101" t="s">
        <v>135</v>
      </c>
      <c r="Z1" s="101" t="s">
        <v>136</v>
      </c>
      <c r="AA1" s="100" t="s">
        <v>37</v>
      </c>
      <c r="AB1" s="100" t="s">
        <v>225</v>
      </c>
      <c r="AC1" s="100" t="s">
        <v>125</v>
      </c>
      <c r="AD1" s="100" t="s">
        <v>137</v>
      </c>
      <c r="AE1" s="100" t="s">
        <v>138</v>
      </c>
      <c r="AF1" s="100" t="s">
        <v>139</v>
      </c>
      <c r="AG1" s="100" t="s">
        <v>140</v>
      </c>
      <c r="AH1" s="100" t="s">
        <v>141</v>
      </c>
      <c r="AI1" s="204" t="s">
        <v>88</v>
      </c>
      <c r="AJ1" s="204" t="s">
        <v>864</v>
      </c>
      <c r="AK1" s="102" t="s">
        <v>464</v>
      </c>
      <c r="AL1" s="102" t="s">
        <v>865</v>
      </c>
      <c r="AM1" s="102" t="s">
        <v>520</v>
      </c>
      <c r="AN1" s="102" t="s">
        <v>866</v>
      </c>
      <c r="AO1" s="102" t="s">
        <v>784</v>
      </c>
      <c r="AP1" s="102" t="s">
        <v>787</v>
      </c>
      <c r="AQ1" s="95" t="s">
        <v>14</v>
      </c>
      <c r="AR1" s="93" t="s">
        <v>600</v>
      </c>
      <c r="AS1" s="103" t="s">
        <v>25</v>
      </c>
      <c r="AT1" s="95" t="s">
        <v>143</v>
      </c>
      <c r="AU1" s="103" t="s">
        <v>149</v>
      </c>
      <c r="AV1" s="103" t="s">
        <v>144</v>
      </c>
      <c r="AW1" s="104" t="s">
        <v>145</v>
      </c>
      <c r="AX1" s="95" t="s">
        <v>29</v>
      </c>
      <c r="AY1" s="95" t="s">
        <v>526</v>
      </c>
      <c r="AZ1" s="95" t="s">
        <v>527</v>
      </c>
      <c r="BA1" s="95" t="s">
        <v>93</v>
      </c>
      <c r="BB1" s="105" t="s">
        <v>92</v>
      </c>
      <c r="BC1" s="105" t="s">
        <v>146</v>
      </c>
      <c r="BD1" s="105" t="s">
        <v>147</v>
      </c>
      <c r="BE1" s="108" t="s">
        <v>150</v>
      </c>
      <c r="BF1" s="108" t="s">
        <v>518</v>
      </c>
      <c r="BG1" s="108" t="s">
        <v>151</v>
      </c>
      <c r="BH1" s="108" t="s">
        <v>790</v>
      </c>
      <c r="BI1" s="108" t="s">
        <v>791</v>
      </c>
      <c r="BJ1" s="108" t="s">
        <v>792</v>
      </c>
      <c r="BK1" s="106" t="s">
        <v>76</v>
      </c>
      <c r="BL1" s="106" t="s">
        <v>525</v>
      </c>
      <c r="BM1" s="106" t="s">
        <v>41</v>
      </c>
      <c r="BN1" s="106" t="s">
        <v>42</v>
      </c>
      <c r="BO1" s="106" t="s">
        <v>43</v>
      </c>
      <c r="BP1" s="106" t="s">
        <v>148</v>
      </c>
      <c r="BQ1" s="106" t="s">
        <v>45</v>
      </c>
    </row>
    <row r="2" spans="1:69" s="140" customFormat="1" ht="67.5" hidden="1" customHeight="1" x14ac:dyDescent="0.25">
      <c r="A2" s="142" t="s">
        <v>479</v>
      </c>
      <c r="B2" s="142">
        <v>0</v>
      </c>
      <c r="C2" s="139" t="str">
        <f>IFERROR(LEFT(Master[[#This Row],[Taxon -Lookup Picker in GRIN]],FIND(" ",Master[[#This Row],[Taxon -Lookup Picker in GRIN]],1)-1),"")</f>
        <v>Linum</v>
      </c>
      <c r="D2" s="111" t="s">
        <v>305</v>
      </c>
      <c r="E2" s="138">
        <v>57036</v>
      </c>
      <c r="F2" s="210" t="s">
        <v>305</v>
      </c>
      <c r="G2" s="138">
        <v>57036</v>
      </c>
      <c r="H2" s="111" t="s">
        <v>596</v>
      </c>
      <c r="I2" s="111" t="s">
        <v>12</v>
      </c>
      <c r="J2" s="110" t="s">
        <v>867</v>
      </c>
      <c r="K2" s="143">
        <v>43734</v>
      </c>
      <c r="L2" s="142"/>
      <c r="M2" s="245" t="s">
        <v>159</v>
      </c>
      <c r="N2" s="142"/>
      <c r="O2" s="211" t="s">
        <v>868</v>
      </c>
      <c r="P2" s="157">
        <v>43290</v>
      </c>
      <c r="Q2" s="212" t="s">
        <v>869</v>
      </c>
      <c r="R2" s="111" t="s">
        <v>870</v>
      </c>
      <c r="S2" s="201">
        <v>1016</v>
      </c>
      <c r="T2" s="247" t="s">
        <v>386</v>
      </c>
      <c r="U2" s="110" t="s">
        <v>871</v>
      </c>
      <c r="V2" s="110" t="s">
        <v>872</v>
      </c>
      <c r="W2" s="110" t="s">
        <v>872</v>
      </c>
      <c r="X2" s="203">
        <v>2157</v>
      </c>
      <c r="Y2" s="146">
        <v>42.686169999999997</v>
      </c>
      <c r="Z2" s="146">
        <v>-108.12833999999999</v>
      </c>
      <c r="AA2" s="111" t="s">
        <v>599</v>
      </c>
      <c r="AB2" s="196" t="s">
        <v>218</v>
      </c>
      <c r="AC2" s="111" t="s">
        <v>873</v>
      </c>
      <c r="AD2" s="111" t="s">
        <v>874</v>
      </c>
      <c r="AE2" s="142"/>
      <c r="AF2" s="212" t="s">
        <v>875</v>
      </c>
      <c r="AG2" s="144"/>
      <c r="AH2" s="144"/>
      <c r="AI2" s="205"/>
      <c r="AJ2" s="205"/>
      <c r="AK2" s="144"/>
      <c r="AL2" s="144"/>
      <c r="AM2" s="144"/>
      <c r="AN2" s="144"/>
      <c r="AO2" s="144"/>
      <c r="AP2" s="144"/>
      <c r="AQ2" s="213" t="s">
        <v>586</v>
      </c>
      <c r="AR2" s="111" t="s">
        <v>305</v>
      </c>
      <c r="AS2" s="214">
        <v>3742</v>
      </c>
      <c r="AT2" s="111" t="s">
        <v>210</v>
      </c>
      <c r="AU2" s="145">
        <v>4.87</v>
      </c>
      <c r="AV2" s="145">
        <v>6.3500000000000001E-2</v>
      </c>
      <c r="AW2" s="147">
        <v>7669</v>
      </c>
      <c r="AX2" s="142"/>
      <c r="AY2" s="153"/>
      <c r="AZ2" s="157"/>
      <c r="BA2" s="139"/>
      <c r="BB2" s="139" t="str">
        <f t="shared" ref="BB2" si="0">CONCATENATE(D2," ",E2)</f>
        <v>W6 57036</v>
      </c>
      <c r="BC2" s="110" t="s">
        <v>205</v>
      </c>
      <c r="BD2" s="111" t="s">
        <v>876</v>
      </c>
      <c r="BE2" s="110" t="s">
        <v>877</v>
      </c>
      <c r="BF2" s="196" t="s">
        <v>195</v>
      </c>
      <c r="BG2" s="111" t="s">
        <v>878</v>
      </c>
      <c r="BH2" s="111" t="s">
        <v>879</v>
      </c>
      <c r="BI2" s="111" t="s">
        <v>198</v>
      </c>
      <c r="BJ2" s="111" t="s">
        <v>880</v>
      </c>
      <c r="BK2" s="142"/>
      <c r="BL2" s="157"/>
      <c r="BM2" s="142"/>
      <c r="BN2" s="142"/>
      <c r="BO2" s="142"/>
      <c r="BP2" s="142"/>
      <c r="BQ2" s="142"/>
    </row>
    <row r="3" spans="1:69" s="222" customFormat="1" hidden="1" x14ac:dyDescent="0.25">
      <c r="A3" s="196"/>
      <c r="B3" s="196"/>
      <c r="C3" s="196"/>
      <c r="D3" s="111" t="s">
        <v>305</v>
      </c>
      <c r="E3" s="217"/>
      <c r="F3" s="210" t="s">
        <v>305</v>
      </c>
      <c r="G3" s="196"/>
      <c r="H3" s="196"/>
      <c r="I3" s="111" t="s">
        <v>12</v>
      </c>
      <c r="J3" s="218" t="s">
        <v>884</v>
      </c>
      <c r="K3" s="219"/>
      <c r="L3" s="196"/>
      <c r="M3" s="245" t="s">
        <v>159</v>
      </c>
      <c r="N3" s="196"/>
      <c r="O3" s="218" t="s">
        <v>936</v>
      </c>
      <c r="P3" s="220" t="s">
        <v>900</v>
      </c>
      <c r="Q3" s="218" t="s">
        <v>1166</v>
      </c>
      <c r="R3" s="196"/>
      <c r="S3" s="14" t="s">
        <v>921</v>
      </c>
      <c r="T3" s="247"/>
      <c r="U3" s="196" t="s">
        <v>1643</v>
      </c>
      <c r="V3" s="218" t="s">
        <v>1498</v>
      </c>
      <c r="W3" s="218" t="s">
        <v>904</v>
      </c>
      <c r="X3" s="141" t="s">
        <v>1457</v>
      </c>
      <c r="Y3" s="218" t="s">
        <v>1440</v>
      </c>
      <c r="Z3" s="218" t="s">
        <v>1441</v>
      </c>
      <c r="AA3" s="218" t="s">
        <v>1442</v>
      </c>
      <c r="AB3" s="196" t="s">
        <v>218</v>
      </c>
      <c r="AC3" s="218" t="s">
        <v>935</v>
      </c>
      <c r="AD3" s="197"/>
      <c r="AE3" s="196" t="s">
        <v>1449</v>
      </c>
      <c r="AF3" s="218"/>
      <c r="AG3" s="196"/>
      <c r="AH3" s="196"/>
      <c r="AI3" s="246" t="s">
        <v>88</v>
      </c>
      <c r="AJ3" s="246" t="s">
        <v>88</v>
      </c>
      <c r="AK3" s="218"/>
      <c r="AL3" s="218" t="s">
        <v>87</v>
      </c>
      <c r="AM3" s="196"/>
      <c r="AN3" s="196" t="s">
        <v>905</v>
      </c>
      <c r="AO3" s="221"/>
      <c r="AP3" s="221" t="s">
        <v>903</v>
      </c>
      <c r="AQ3" s="213" t="s">
        <v>586</v>
      </c>
      <c r="AR3" s="111" t="s">
        <v>305</v>
      </c>
      <c r="AS3" s="196"/>
      <c r="AT3" s="196"/>
      <c r="AU3" s="196"/>
      <c r="AV3" s="218" t="s">
        <v>902</v>
      </c>
      <c r="AW3" s="196"/>
      <c r="AX3" s="196"/>
      <c r="AY3" s="196"/>
      <c r="AZ3" s="196"/>
      <c r="BA3" s="196"/>
      <c r="BB3" s="196"/>
      <c r="BC3" s="196"/>
      <c r="BD3" s="213"/>
      <c r="BE3" s="218" t="s">
        <v>901</v>
      </c>
      <c r="BF3" s="196"/>
      <c r="BG3" s="196"/>
      <c r="BH3" s="196" t="s">
        <v>1458</v>
      </c>
      <c r="BI3" s="197"/>
      <c r="BJ3" s="196"/>
      <c r="BK3" s="218" t="s">
        <v>901</v>
      </c>
      <c r="BL3" s="220" t="s">
        <v>1494</v>
      </c>
      <c r="BM3" s="218" t="s">
        <v>1495</v>
      </c>
      <c r="BN3" s="218" t="s">
        <v>1496</v>
      </c>
      <c r="BO3" s="218" t="s">
        <v>1497</v>
      </c>
      <c r="BP3" s="218" t="s">
        <v>1655</v>
      </c>
      <c r="BQ3" s="196"/>
    </row>
    <row r="4" spans="1:69" s="222" customFormat="1" x14ac:dyDescent="0.25">
      <c r="A4" s="196"/>
      <c r="B4" s="196"/>
      <c r="C4" s="196"/>
      <c r="D4" s="111" t="s">
        <v>305</v>
      </c>
      <c r="E4" s="217">
        <v>59590</v>
      </c>
      <c r="F4" s="210" t="s">
        <v>305</v>
      </c>
      <c r="G4" s="196"/>
      <c r="H4" s="196"/>
      <c r="I4" s="111" t="s">
        <v>12</v>
      </c>
      <c r="J4" s="218" t="s">
        <v>937</v>
      </c>
      <c r="K4" s="219">
        <v>44466</v>
      </c>
      <c r="L4" s="196"/>
      <c r="M4" s="245" t="s">
        <v>159</v>
      </c>
      <c r="N4" s="196"/>
      <c r="O4" s="218" t="s">
        <v>1370</v>
      </c>
      <c r="P4" s="220">
        <v>44013</v>
      </c>
      <c r="Q4" s="218" t="s">
        <v>1167</v>
      </c>
      <c r="R4" s="196"/>
      <c r="S4" s="10">
        <v>300</v>
      </c>
      <c r="T4" s="247"/>
      <c r="U4" s="196"/>
      <c r="V4" s="218" t="s">
        <v>1499</v>
      </c>
      <c r="W4" s="218" t="s">
        <v>1186</v>
      </c>
      <c r="X4" s="141">
        <v>2378</v>
      </c>
      <c r="Y4" s="218">
        <v>40.097479999999997</v>
      </c>
      <c r="Z4" s="218">
        <v>-106.33926</v>
      </c>
      <c r="AA4" s="218" t="s">
        <v>1443</v>
      </c>
      <c r="AB4" s="196" t="s">
        <v>218</v>
      </c>
      <c r="AC4" s="218" t="s">
        <v>1130</v>
      </c>
      <c r="AD4" s="197" t="s">
        <v>875</v>
      </c>
      <c r="AE4" s="196" t="s">
        <v>1450</v>
      </c>
      <c r="AF4" s="218"/>
      <c r="AG4" s="196"/>
      <c r="AH4" s="196"/>
      <c r="AI4" s="246">
        <v>5</v>
      </c>
      <c r="AJ4" s="246">
        <v>5</v>
      </c>
      <c r="AK4" s="218" t="s">
        <v>467</v>
      </c>
      <c r="AL4" s="218" t="s">
        <v>11</v>
      </c>
      <c r="AM4" s="196"/>
      <c r="AN4" s="196" t="s">
        <v>441</v>
      </c>
      <c r="AO4" s="196" t="s">
        <v>760</v>
      </c>
      <c r="AP4" s="196" t="s">
        <v>1158</v>
      </c>
      <c r="AQ4" s="213" t="s">
        <v>586</v>
      </c>
      <c r="AR4" s="111" t="s">
        <v>305</v>
      </c>
      <c r="AS4" s="196"/>
      <c r="AT4" s="196"/>
      <c r="AU4" s="196"/>
      <c r="AV4" s="218">
        <v>4.53E-2</v>
      </c>
      <c r="AW4" s="196"/>
      <c r="AX4" s="196"/>
      <c r="AY4" s="196"/>
      <c r="AZ4" s="196"/>
      <c r="BA4" s="196"/>
      <c r="BB4" s="196"/>
      <c r="BC4" s="196"/>
      <c r="BD4" s="196"/>
      <c r="BE4" s="218" t="s">
        <v>982</v>
      </c>
      <c r="BF4" s="196" t="s">
        <v>195</v>
      </c>
      <c r="BG4" s="196"/>
      <c r="BH4" s="196" t="s">
        <v>1459</v>
      </c>
      <c r="BI4" s="197" t="s">
        <v>202</v>
      </c>
      <c r="BJ4" s="196"/>
      <c r="BK4" s="218" t="s">
        <v>982</v>
      </c>
      <c r="BL4" s="218">
        <v>43992</v>
      </c>
      <c r="BM4" s="218" t="s">
        <v>1486</v>
      </c>
      <c r="BN4" s="218" t="s">
        <v>1487</v>
      </c>
      <c r="BO4" s="218"/>
      <c r="BP4" s="218" t="s">
        <v>1656</v>
      </c>
      <c r="BQ4" s="196"/>
    </row>
    <row r="5" spans="1:69" s="226" customFormat="1" x14ac:dyDescent="0.25">
      <c r="A5" s="213"/>
      <c r="B5" s="197"/>
      <c r="C5" s="196"/>
      <c r="D5" s="111" t="s">
        <v>305</v>
      </c>
      <c r="E5" s="217">
        <v>59591</v>
      </c>
      <c r="F5" s="210" t="s">
        <v>305</v>
      </c>
      <c r="G5" s="196"/>
      <c r="H5" s="196"/>
      <c r="I5" s="111" t="s">
        <v>12</v>
      </c>
      <c r="J5" s="218" t="s">
        <v>938</v>
      </c>
      <c r="K5" s="219">
        <v>44466</v>
      </c>
      <c r="L5" s="196"/>
      <c r="M5" s="245" t="s">
        <v>159</v>
      </c>
      <c r="N5" s="196"/>
      <c r="O5" s="218" t="s">
        <v>1371</v>
      </c>
      <c r="P5" s="220">
        <v>44026</v>
      </c>
      <c r="Q5" s="218" t="s">
        <v>1168</v>
      </c>
      <c r="R5" s="196"/>
      <c r="S5" s="10">
        <v>150</v>
      </c>
      <c r="T5" s="247"/>
      <c r="U5" s="196" t="s">
        <v>1644</v>
      </c>
      <c r="V5" s="218" t="s">
        <v>1500</v>
      </c>
      <c r="W5" s="218" t="s">
        <v>1187</v>
      </c>
      <c r="X5" s="141">
        <v>2184</v>
      </c>
      <c r="Y5" s="218">
        <v>39.95758</v>
      </c>
      <c r="Z5" s="218">
        <v>-106.55204999999999</v>
      </c>
      <c r="AA5" s="218" t="s">
        <v>1443</v>
      </c>
      <c r="AB5" s="196" t="s">
        <v>218</v>
      </c>
      <c r="AC5" s="218" t="s">
        <v>1130</v>
      </c>
      <c r="AD5" s="197" t="s">
        <v>875</v>
      </c>
      <c r="AE5" s="196" t="s">
        <v>1450</v>
      </c>
      <c r="AF5" s="218"/>
      <c r="AG5" s="196"/>
      <c r="AH5" s="196"/>
      <c r="AI5" s="246">
        <v>45</v>
      </c>
      <c r="AJ5" s="246">
        <v>45</v>
      </c>
      <c r="AK5" s="218" t="s">
        <v>471</v>
      </c>
      <c r="AL5" s="218" t="s">
        <v>922</v>
      </c>
      <c r="AM5" s="196"/>
      <c r="AN5" s="196" t="s">
        <v>441</v>
      </c>
      <c r="AO5" s="196" t="s">
        <v>760</v>
      </c>
      <c r="AP5" s="196" t="s">
        <v>1158</v>
      </c>
      <c r="AQ5" s="213" t="s">
        <v>586</v>
      </c>
      <c r="AR5" s="111" t="s">
        <v>305</v>
      </c>
      <c r="AS5" s="223"/>
      <c r="AT5" s="196"/>
      <c r="AU5" s="223"/>
      <c r="AV5" s="218">
        <v>0.16700000000000001</v>
      </c>
      <c r="AW5" s="224"/>
      <c r="AX5" s="196"/>
      <c r="AY5" s="196"/>
      <c r="AZ5" s="196"/>
      <c r="BA5" s="225"/>
      <c r="BB5" s="196"/>
      <c r="BC5" s="196"/>
      <c r="BD5" s="225"/>
      <c r="BE5" s="218" t="s">
        <v>983</v>
      </c>
      <c r="BF5" s="196" t="s">
        <v>195</v>
      </c>
      <c r="BG5" s="196"/>
      <c r="BH5" s="196" t="s">
        <v>1460</v>
      </c>
      <c r="BI5" s="197" t="s">
        <v>202</v>
      </c>
      <c r="BJ5" s="196"/>
      <c r="BK5" s="218" t="s">
        <v>983</v>
      </c>
      <c r="BL5" s="220">
        <v>43992</v>
      </c>
      <c r="BM5" s="218" t="s">
        <v>1486</v>
      </c>
      <c r="BN5" s="218" t="s">
        <v>1487</v>
      </c>
      <c r="BO5" s="218"/>
      <c r="BP5" s="218" t="s">
        <v>1656</v>
      </c>
      <c r="BQ5" s="196"/>
    </row>
    <row r="6" spans="1:69" s="226" customFormat="1" x14ac:dyDescent="0.25">
      <c r="A6" s="213"/>
      <c r="B6" s="196"/>
      <c r="C6" s="196"/>
      <c r="D6" s="111" t="s">
        <v>305</v>
      </c>
      <c r="E6" s="217">
        <v>59592</v>
      </c>
      <c r="F6" s="210" t="s">
        <v>305</v>
      </c>
      <c r="G6" s="196"/>
      <c r="H6" s="196"/>
      <c r="I6" s="111" t="s">
        <v>12</v>
      </c>
      <c r="J6" s="218" t="s">
        <v>939</v>
      </c>
      <c r="K6" s="219">
        <v>44466</v>
      </c>
      <c r="L6" s="196"/>
      <c r="M6" s="245" t="s">
        <v>159</v>
      </c>
      <c r="N6" s="196"/>
      <c r="O6" s="218" t="s">
        <v>1372</v>
      </c>
      <c r="P6" s="220">
        <v>44041</v>
      </c>
      <c r="Q6" s="218" t="s">
        <v>1169</v>
      </c>
      <c r="R6" s="196"/>
      <c r="S6" s="10">
        <v>2000</v>
      </c>
      <c r="T6" s="247"/>
      <c r="U6" s="196" t="s">
        <v>1644</v>
      </c>
      <c r="V6" s="218" t="s">
        <v>1501</v>
      </c>
      <c r="W6" s="218" t="s">
        <v>1188</v>
      </c>
      <c r="X6" s="141">
        <v>2564</v>
      </c>
      <c r="Y6" s="218">
        <v>40.586970000000001</v>
      </c>
      <c r="Z6" s="218">
        <v>-106.54463</v>
      </c>
      <c r="AA6" s="218" t="s">
        <v>1443</v>
      </c>
      <c r="AB6" s="196" t="s">
        <v>218</v>
      </c>
      <c r="AC6" s="218" t="s">
        <v>1130</v>
      </c>
      <c r="AD6" s="197" t="s">
        <v>875</v>
      </c>
      <c r="AE6" s="196" t="s">
        <v>1450</v>
      </c>
      <c r="AF6" s="218"/>
      <c r="AG6" s="196"/>
      <c r="AH6" s="196"/>
      <c r="AI6" s="246">
        <v>12</v>
      </c>
      <c r="AJ6" s="246">
        <v>12</v>
      </c>
      <c r="AK6" s="218" t="s">
        <v>468</v>
      </c>
      <c r="AL6" s="218" t="s">
        <v>926</v>
      </c>
      <c r="AM6" s="196"/>
      <c r="AN6" s="196" t="s">
        <v>1325</v>
      </c>
      <c r="AO6" s="196" t="s">
        <v>760</v>
      </c>
      <c r="AP6" s="196" t="s">
        <v>1158</v>
      </c>
      <c r="AQ6" s="213" t="s">
        <v>586</v>
      </c>
      <c r="AR6" s="111" t="s">
        <v>305</v>
      </c>
      <c r="AS6" s="223"/>
      <c r="AT6" s="196"/>
      <c r="AU6" s="223"/>
      <c r="AV6" s="218">
        <v>7.4999999999999997E-3</v>
      </c>
      <c r="AW6" s="224"/>
      <c r="AX6" s="196"/>
      <c r="AY6" s="196"/>
      <c r="AZ6" s="196"/>
      <c r="BA6" s="225"/>
      <c r="BB6" s="196"/>
      <c r="BC6" s="196"/>
      <c r="BD6" s="225"/>
      <c r="BE6" s="218" t="s">
        <v>984</v>
      </c>
      <c r="BF6" s="196" t="s">
        <v>195</v>
      </c>
      <c r="BG6" s="196"/>
      <c r="BH6" s="196" t="s">
        <v>1461</v>
      </c>
      <c r="BI6" s="197" t="s">
        <v>202</v>
      </c>
      <c r="BJ6" s="196"/>
      <c r="BK6" s="218" t="s">
        <v>984</v>
      </c>
      <c r="BL6" s="218">
        <v>44021</v>
      </c>
      <c r="BM6" s="218" t="s">
        <v>1486</v>
      </c>
      <c r="BN6" s="218" t="s">
        <v>1487</v>
      </c>
      <c r="BO6" s="218"/>
      <c r="BP6" s="218" t="s">
        <v>1657</v>
      </c>
      <c r="BQ6" s="196"/>
    </row>
    <row r="7" spans="1:69" x14ac:dyDescent="0.25">
      <c r="A7" s="213"/>
      <c r="B7" s="197"/>
      <c r="C7" s="196"/>
      <c r="D7" s="111" t="s">
        <v>305</v>
      </c>
      <c r="E7" s="217">
        <v>59593</v>
      </c>
      <c r="F7" s="210" t="s">
        <v>305</v>
      </c>
      <c r="G7" s="196"/>
      <c r="H7" s="196"/>
      <c r="I7" s="111" t="s">
        <v>12</v>
      </c>
      <c r="J7" s="218" t="s">
        <v>940</v>
      </c>
      <c r="K7" s="219">
        <v>44466</v>
      </c>
      <c r="L7" s="196"/>
      <c r="M7" s="245" t="s">
        <v>159</v>
      </c>
      <c r="N7" s="196"/>
      <c r="O7" s="218" t="s">
        <v>1373</v>
      </c>
      <c r="P7" s="220">
        <v>44047</v>
      </c>
      <c r="Q7" s="218" t="s">
        <v>1167</v>
      </c>
      <c r="R7" s="196"/>
      <c r="S7" s="10">
        <v>200</v>
      </c>
      <c r="T7" s="247"/>
      <c r="U7" s="196"/>
      <c r="V7" s="218" t="s">
        <v>1502</v>
      </c>
      <c r="W7" s="218" t="s">
        <v>1189</v>
      </c>
      <c r="X7" s="141">
        <v>2435</v>
      </c>
      <c r="Y7" s="218">
        <v>39.995480000000001</v>
      </c>
      <c r="Z7" s="218">
        <v>-106.47521999999999</v>
      </c>
      <c r="AA7" s="218" t="s">
        <v>1443</v>
      </c>
      <c r="AB7" s="196" t="s">
        <v>218</v>
      </c>
      <c r="AC7" s="218" t="s">
        <v>1130</v>
      </c>
      <c r="AD7" s="197" t="s">
        <v>875</v>
      </c>
      <c r="AE7" s="196" t="s">
        <v>1450</v>
      </c>
      <c r="AF7" s="218"/>
      <c r="AG7" s="196"/>
      <c r="AH7" s="196"/>
      <c r="AI7" s="246">
        <v>12</v>
      </c>
      <c r="AJ7" s="246">
        <v>12</v>
      </c>
      <c r="AK7" s="218" t="s">
        <v>469</v>
      </c>
      <c r="AL7" s="218" t="s">
        <v>923</v>
      </c>
      <c r="AM7" s="196"/>
      <c r="AN7" s="196" t="s">
        <v>1326</v>
      </c>
      <c r="AO7" s="196" t="s">
        <v>760</v>
      </c>
      <c r="AP7" s="196" t="s">
        <v>1158</v>
      </c>
      <c r="AQ7" s="213" t="s">
        <v>586</v>
      </c>
      <c r="AR7" s="111" t="s">
        <v>305</v>
      </c>
      <c r="AS7" s="223"/>
      <c r="AT7" s="223"/>
      <c r="AU7" s="223"/>
      <c r="AV7" s="218">
        <v>2.6555</v>
      </c>
      <c r="AW7" s="228"/>
      <c r="AX7" s="217"/>
      <c r="AY7" s="217"/>
      <c r="AZ7" s="217"/>
      <c r="BA7" s="196"/>
      <c r="BB7" s="196"/>
      <c r="BC7" s="196"/>
      <c r="BD7" s="229"/>
      <c r="BE7" s="218" t="s">
        <v>985</v>
      </c>
      <c r="BF7" s="196" t="s">
        <v>195</v>
      </c>
      <c r="BG7" s="196"/>
      <c r="BH7" s="196" t="s">
        <v>1462</v>
      </c>
      <c r="BI7" s="197" t="s">
        <v>202</v>
      </c>
      <c r="BJ7" s="196"/>
      <c r="BK7" s="218" t="s">
        <v>985</v>
      </c>
      <c r="BL7" s="220">
        <v>43992</v>
      </c>
      <c r="BM7" s="218" t="s">
        <v>1486</v>
      </c>
      <c r="BN7" s="218" t="s">
        <v>1487</v>
      </c>
      <c r="BO7" s="218"/>
      <c r="BP7" s="218" t="s">
        <v>1658</v>
      </c>
      <c r="BQ7" s="196"/>
    </row>
    <row r="8" spans="1:69" x14ac:dyDescent="0.25">
      <c r="A8" s="213"/>
      <c r="B8" s="196"/>
      <c r="C8" s="196"/>
      <c r="D8" s="111" t="s">
        <v>305</v>
      </c>
      <c r="E8" s="217">
        <v>59594</v>
      </c>
      <c r="F8" s="210" t="s">
        <v>305</v>
      </c>
      <c r="G8" s="196"/>
      <c r="H8" s="196"/>
      <c r="I8" s="111" t="s">
        <v>12</v>
      </c>
      <c r="J8" s="218" t="s">
        <v>941</v>
      </c>
      <c r="K8" s="219">
        <v>44466</v>
      </c>
      <c r="L8" s="196"/>
      <c r="M8" s="245" t="s">
        <v>159</v>
      </c>
      <c r="N8" s="196"/>
      <c r="O8" s="218" t="s">
        <v>1374</v>
      </c>
      <c r="P8" s="220">
        <v>44053</v>
      </c>
      <c r="Q8" s="218" t="s">
        <v>1170</v>
      </c>
      <c r="R8" s="196"/>
      <c r="S8" s="10">
        <v>3000</v>
      </c>
      <c r="T8" s="247"/>
      <c r="U8" s="196"/>
      <c r="V8" s="218" t="s">
        <v>1503</v>
      </c>
      <c r="W8" s="218" t="s">
        <v>1190</v>
      </c>
      <c r="X8" s="141">
        <v>2082</v>
      </c>
      <c r="Y8" s="218">
        <v>40.454599999999999</v>
      </c>
      <c r="Z8" s="218">
        <v>-106.91726</v>
      </c>
      <c r="AA8" s="218" t="s">
        <v>1443</v>
      </c>
      <c r="AB8" s="196" t="s">
        <v>218</v>
      </c>
      <c r="AC8" s="218" t="s">
        <v>1130</v>
      </c>
      <c r="AD8" s="197" t="s">
        <v>875</v>
      </c>
      <c r="AE8" s="196" t="s">
        <v>1450</v>
      </c>
      <c r="AF8" s="218"/>
      <c r="AG8" s="196"/>
      <c r="AH8" s="196"/>
      <c r="AI8" s="246">
        <v>0</v>
      </c>
      <c r="AJ8" s="246">
        <v>0</v>
      </c>
      <c r="AK8" s="218" t="s">
        <v>435</v>
      </c>
      <c r="AL8" s="218" t="s">
        <v>927</v>
      </c>
      <c r="AM8" s="196"/>
      <c r="AN8" s="196" t="s">
        <v>457</v>
      </c>
      <c r="AO8" s="196" t="s">
        <v>760</v>
      </c>
      <c r="AP8" s="196" t="s">
        <v>1158</v>
      </c>
      <c r="AQ8" s="213" t="s">
        <v>586</v>
      </c>
      <c r="AR8" s="111" t="s">
        <v>305</v>
      </c>
      <c r="AS8" s="223"/>
      <c r="AT8" s="223"/>
      <c r="AU8" s="223"/>
      <c r="AV8" s="218">
        <v>0.4133</v>
      </c>
      <c r="AW8" s="228"/>
      <c r="AX8" s="217"/>
      <c r="AY8" s="217"/>
      <c r="AZ8" s="217"/>
      <c r="BA8" s="196"/>
      <c r="BB8" s="196"/>
      <c r="BC8" s="196"/>
      <c r="BD8" s="229"/>
      <c r="BE8" s="218" t="s">
        <v>986</v>
      </c>
      <c r="BF8" s="196" t="s">
        <v>195</v>
      </c>
      <c r="BG8" s="196"/>
      <c r="BH8" s="196" t="s">
        <v>1463</v>
      </c>
      <c r="BI8" s="197" t="s">
        <v>202</v>
      </c>
      <c r="BJ8" s="196"/>
      <c r="BK8" s="218" t="s">
        <v>986</v>
      </c>
      <c r="BL8" s="220">
        <v>44034</v>
      </c>
      <c r="BM8" s="218" t="s">
        <v>1486</v>
      </c>
      <c r="BN8" s="218" t="s">
        <v>1487</v>
      </c>
      <c r="BO8" s="218"/>
      <c r="BP8" s="218" t="s">
        <v>1659</v>
      </c>
      <c r="BQ8" s="196"/>
    </row>
    <row r="9" spans="1:69" x14ac:dyDescent="0.25">
      <c r="A9" s="213"/>
      <c r="B9" s="196"/>
      <c r="C9" s="196"/>
      <c r="D9" s="111" t="s">
        <v>305</v>
      </c>
      <c r="E9" s="217">
        <v>59595</v>
      </c>
      <c r="F9" s="210" t="s">
        <v>305</v>
      </c>
      <c r="G9" s="196"/>
      <c r="H9" s="196"/>
      <c r="I9" s="111" t="s">
        <v>12</v>
      </c>
      <c r="J9" s="218" t="s">
        <v>942</v>
      </c>
      <c r="K9" s="219">
        <v>44466</v>
      </c>
      <c r="L9" s="196"/>
      <c r="M9" s="245" t="s">
        <v>159</v>
      </c>
      <c r="N9" s="196"/>
      <c r="O9" s="218" t="s">
        <v>1375</v>
      </c>
      <c r="P9" s="220">
        <v>44055</v>
      </c>
      <c r="Q9" s="218" t="s">
        <v>1167</v>
      </c>
      <c r="R9" s="196"/>
      <c r="S9" s="10">
        <v>400</v>
      </c>
      <c r="T9" s="247"/>
      <c r="U9" s="196"/>
      <c r="V9" s="218" t="s">
        <v>1504</v>
      </c>
      <c r="W9" s="218" t="s">
        <v>1191</v>
      </c>
      <c r="X9" s="141">
        <v>2807</v>
      </c>
      <c r="Y9" s="218">
        <v>40.195659999999997</v>
      </c>
      <c r="Z9" s="218">
        <v>-106.57347</v>
      </c>
      <c r="AA9" s="218" t="s">
        <v>1443</v>
      </c>
      <c r="AB9" s="196" t="s">
        <v>218</v>
      </c>
      <c r="AC9" s="218" t="s">
        <v>1130</v>
      </c>
      <c r="AD9" s="197" t="s">
        <v>875</v>
      </c>
      <c r="AE9" s="196" t="s">
        <v>1450</v>
      </c>
      <c r="AF9" s="218"/>
      <c r="AG9" s="196"/>
      <c r="AH9" s="196"/>
      <c r="AI9" s="246">
        <v>40</v>
      </c>
      <c r="AJ9" s="246">
        <v>40</v>
      </c>
      <c r="AK9" s="218" t="s">
        <v>435</v>
      </c>
      <c r="AL9" s="218" t="s">
        <v>927</v>
      </c>
      <c r="AM9" s="196"/>
      <c r="AN9" s="196" t="s">
        <v>441</v>
      </c>
      <c r="AO9" s="196" t="s">
        <v>760</v>
      </c>
      <c r="AP9" s="196" t="s">
        <v>1158</v>
      </c>
      <c r="AQ9" s="213" t="s">
        <v>586</v>
      </c>
      <c r="AR9" s="111" t="s">
        <v>305</v>
      </c>
      <c r="AS9" s="223"/>
      <c r="AT9" s="223"/>
      <c r="AU9" s="223"/>
      <c r="AV9" s="218">
        <v>2.2499999999999999E-2</v>
      </c>
      <c r="AW9" s="228"/>
      <c r="AX9" s="217"/>
      <c r="AY9" s="217"/>
      <c r="AZ9" s="217"/>
      <c r="BA9" s="196"/>
      <c r="BB9" s="196"/>
      <c r="BC9" s="196"/>
      <c r="BD9" s="229"/>
      <c r="BE9" s="218" t="s">
        <v>987</v>
      </c>
      <c r="BF9" s="196" t="s">
        <v>195</v>
      </c>
      <c r="BG9" s="196"/>
      <c r="BH9" s="196" t="s">
        <v>1464</v>
      </c>
      <c r="BI9" s="197" t="s">
        <v>202</v>
      </c>
      <c r="BJ9" s="196"/>
      <c r="BK9" s="218" t="s">
        <v>987</v>
      </c>
      <c r="BL9" s="220">
        <v>44028</v>
      </c>
      <c r="BM9" s="218" t="s">
        <v>1486</v>
      </c>
      <c r="BN9" s="218" t="s">
        <v>1487</v>
      </c>
      <c r="BO9" s="218"/>
      <c r="BP9" s="218" t="s">
        <v>1660</v>
      </c>
      <c r="BQ9" s="196"/>
    </row>
    <row r="10" spans="1:69" x14ac:dyDescent="0.25">
      <c r="A10" s="213"/>
      <c r="B10" s="196"/>
      <c r="C10" s="196"/>
      <c r="D10" s="111" t="s">
        <v>305</v>
      </c>
      <c r="E10" s="217">
        <v>59596</v>
      </c>
      <c r="F10" s="210" t="s">
        <v>305</v>
      </c>
      <c r="G10" s="196"/>
      <c r="H10" s="196"/>
      <c r="I10" s="111" t="s">
        <v>12</v>
      </c>
      <c r="J10" s="218" t="s">
        <v>898</v>
      </c>
      <c r="K10" s="219">
        <v>44466</v>
      </c>
      <c r="L10" s="196"/>
      <c r="M10" s="245" t="s">
        <v>159</v>
      </c>
      <c r="N10" s="196"/>
      <c r="O10" s="218" t="s">
        <v>1376</v>
      </c>
      <c r="P10" s="220">
        <v>44056</v>
      </c>
      <c r="Q10" s="218" t="s">
        <v>1169</v>
      </c>
      <c r="R10" s="196"/>
      <c r="S10" s="10">
        <v>2500</v>
      </c>
      <c r="T10" s="247"/>
      <c r="U10" s="196"/>
      <c r="V10" s="218" t="s">
        <v>1505</v>
      </c>
      <c r="W10" s="218" t="s">
        <v>1192</v>
      </c>
      <c r="X10" s="141">
        <v>2594</v>
      </c>
      <c r="Y10" s="218">
        <v>40.870980000000003</v>
      </c>
      <c r="Z10" s="218">
        <v>-106.2063</v>
      </c>
      <c r="AA10" s="218" t="s">
        <v>1443</v>
      </c>
      <c r="AB10" s="196" t="s">
        <v>218</v>
      </c>
      <c r="AC10" s="218" t="s">
        <v>1130</v>
      </c>
      <c r="AD10" s="197" t="s">
        <v>875</v>
      </c>
      <c r="AE10" s="196" t="s">
        <v>1450</v>
      </c>
      <c r="AF10" s="218"/>
      <c r="AG10" s="196"/>
      <c r="AH10" s="196"/>
      <c r="AI10" s="246">
        <v>12</v>
      </c>
      <c r="AJ10" s="246">
        <v>12</v>
      </c>
      <c r="AK10" s="218" t="s">
        <v>471</v>
      </c>
      <c r="AL10" s="218" t="s">
        <v>922</v>
      </c>
      <c r="AM10" s="196"/>
      <c r="AN10" s="196" t="s">
        <v>452</v>
      </c>
      <c r="AO10" s="196" t="s">
        <v>760</v>
      </c>
      <c r="AP10" s="196" t="s">
        <v>1158</v>
      </c>
      <c r="AQ10" s="213" t="s">
        <v>586</v>
      </c>
      <c r="AR10" s="111" t="s">
        <v>305</v>
      </c>
      <c r="AS10" s="223"/>
      <c r="AT10" s="223"/>
      <c r="AU10" s="223"/>
      <c r="AV10" s="218">
        <v>0.17549999999999999</v>
      </c>
      <c r="AW10" s="228"/>
      <c r="AX10" s="217"/>
      <c r="AY10" s="217"/>
      <c r="AZ10" s="217"/>
      <c r="BA10" s="196"/>
      <c r="BB10" s="196"/>
      <c r="BC10" s="196"/>
      <c r="BD10" s="229"/>
      <c r="BE10" s="218" t="s">
        <v>988</v>
      </c>
      <c r="BF10" s="196" t="s">
        <v>195</v>
      </c>
      <c r="BG10" s="196"/>
      <c r="BH10" s="196" t="s">
        <v>1465</v>
      </c>
      <c r="BI10" s="197" t="s">
        <v>202</v>
      </c>
      <c r="BJ10" s="196"/>
      <c r="BK10" s="218" t="s">
        <v>988</v>
      </c>
      <c r="BL10" s="218">
        <v>44021</v>
      </c>
      <c r="BM10" s="218" t="s">
        <v>1486</v>
      </c>
      <c r="BN10" s="218" t="s">
        <v>1487</v>
      </c>
      <c r="BO10" s="218"/>
      <c r="BP10" s="218" t="s">
        <v>1661</v>
      </c>
      <c r="BQ10" s="196"/>
    </row>
    <row r="11" spans="1:69" x14ac:dyDescent="0.25">
      <c r="A11" s="213"/>
      <c r="B11" s="197"/>
      <c r="C11" s="196"/>
      <c r="D11" s="111" t="s">
        <v>305</v>
      </c>
      <c r="E11" s="217">
        <v>59597</v>
      </c>
      <c r="F11" s="210" t="s">
        <v>305</v>
      </c>
      <c r="G11" s="196"/>
      <c r="H11" s="196"/>
      <c r="I11" s="111" t="s">
        <v>12</v>
      </c>
      <c r="J11" s="218" t="s">
        <v>942</v>
      </c>
      <c r="K11" s="219">
        <v>44466</v>
      </c>
      <c r="L11" s="196"/>
      <c r="M11" s="245" t="s">
        <v>159</v>
      </c>
      <c r="N11" s="196"/>
      <c r="O11" s="218" t="s">
        <v>1375</v>
      </c>
      <c r="P11" s="220">
        <v>44061</v>
      </c>
      <c r="Q11" s="218" t="s">
        <v>1169</v>
      </c>
      <c r="R11" s="196"/>
      <c r="S11" s="10">
        <v>500</v>
      </c>
      <c r="T11" s="247"/>
      <c r="U11" s="196"/>
      <c r="V11" s="218" t="s">
        <v>1506</v>
      </c>
      <c r="W11" s="218" t="s">
        <v>1193</v>
      </c>
      <c r="X11" s="141">
        <v>2607</v>
      </c>
      <c r="Y11" s="218">
        <v>40.950040000000001</v>
      </c>
      <c r="Z11" s="218">
        <v>-106.51927999999999</v>
      </c>
      <c r="AA11" s="218" t="s">
        <v>1443</v>
      </c>
      <c r="AB11" s="196" t="s">
        <v>218</v>
      </c>
      <c r="AC11" s="218" t="s">
        <v>1130</v>
      </c>
      <c r="AD11" s="197" t="s">
        <v>875</v>
      </c>
      <c r="AE11" s="196" t="s">
        <v>1450</v>
      </c>
      <c r="AF11" s="218"/>
      <c r="AG11" s="196"/>
      <c r="AH11" s="196"/>
      <c r="AI11" s="246">
        <v>15</v>
      </c>
      <c r="AJ11" s="246">
        <v>15</v>
      </c>
      <c r="AK11" s="218" t="s">
        <v>471</v>
      </c>
      <c r="AL11" s="218" t="s">
        <v>922</v>
      </c>
      <c r="AM11" s="196"/>
      <c r="AN11" s="196" t="s">
        <v>441</v>
      </c>
      <c r="AO11" s="196" t="s">
        <v>760</v>
      </c>
      <c r="AP11" s="196" t="s">
        <v>1158</v>
      </c>
      <c r="AQ11" s="213" t="s">
        <v>586</v>
      </c>
      <c r="AR11" s="111" t="s">
        <v>305</v>
      </c>
      <c r="AS11" s="223"/>
      <c r="AT11" s="223"/>
      <c r="AU11" s="223"/>
      <c r="AV11" s="218">
        <v>1.5299999999999999E-2</v>
      </c>
      <c r="AW11" s="228"/>
      <c r="AX11" s="217"/>
      <c r="AY11" s="217"/>
      <c r="AZ11" s="217"/>
      <c r="BA11" s="196"/>
      <c r="BB11" s="196"/>
      <c r="BC11" s="196"/>
      <c r="BD11" s="229"/>
      <c r="BE11" s="218" t="s">
        <v>989</v>
      </c>
      <c r="BF11" s="196" t="s">
        <v>195</v>
      </c>
      <c r="BG11" s="196"/>
      <c r="BH11" s="196" t="s">
        <v>1466</v>
      </c>
      <c r="BI11" s="197" t="s">
        <v>202</v>
      </c>
      <c r="BJ11" s="196"/>
      <c r="BK11" s="218" t="s">
        <v>989</v>
      </c>
      <c r="BL11" s="220">
        <v>44020</v>
      </c>
      <c r="BM11" s="218" t="s">
        <v>1486</v>
      </c>
      <c r="BN11" s="218" t="s">
        <v>1487</v>
      </c>
      <c r="BO11" s="218"/>
      <c r="BP11" s="218" t="s">
        <v>1662</v>
      </c>
      <c r="BQ11" s="196"/>
    </row>
    <row r="12" spans="1:69" x14ac:dyDescent="0.25">
      <c r="A12" s="213"/>
      <c r="B12" s="196"/>
      <c r="C12" s="196"/>
      <c r="D12" s="111" t="s">
        <v>305</v>
      </c>
      <c r="E12" s="217">
        <v>59598</v>
      </c>
      <c r="F12" s="210" t="s">
        <v>305</v>
      </c>
      <c r="G12" s="196"/>
      <c r="H12" s="196"/>
      <c r="I12" s="111" t="s">
        <v>12</v>
      </c>
      <c r="J12" s="218" t="s">
        <v>889</v>
      </c>
      <c r="K12" s="219">
        <v>44466</v>
      </c>
      <c r="L12" s="196"/>
      <c r="M12" s="245" t="s">
        <v>159</v>
      </c>
      <c r="N12" s="196"/>
      <c r="O12" s="218" t="s">
        <v>1377</v>
      </c>
      <c r="P12" s="220">
        <v>44061</v>
      </c>
      <c r="Q12" s="218" t="s">
        <v>1169</v>
      </c>
      <c r="R12" s="196"/>
      <c r="S12" s="10">
        <v>2500</v>
      </c>
      <c r="T12" s="247"/>
      <c r="U12" s="196"/>
      <c r="V12" s="218" t="s">
        <v>1507</v>
      </c>
      <c r="W12" s="218" t="s">
        <v>1194</v>
      </c>
      <c r="X12" s="141">
        <v>2459</v>
      </c>
      <c r="Y12" s="218">
        <v>40.735590000000002</v>
      </c>
      <c r="Z12" s="218">
        <v>-106.31082000000001</v>
      </c>
      <c r="AA12" s="218" t="s">
        <v>1443</v>
      </c>
      <c r="AB12" s="196" t="s">
        <v>218</v>
      </c>
      <c r="AC12" s="218" t="s">
        <v>1130</v>
      </c>
      <c r="AD12" s="197" t="s">
        <v>875</v>
      </c>
      <c r="AE12" s="196" t="s">
        <v>1450</v>
      </c>
      <c r="AF12" s="218"/>
      <c r="AG12" s="196"/>
      <c r="AH12" s="196"/>
      <c r="AI12" s="246">
        <v>0</v>
      </c>
      <c r="AJ12" s="246">
        <v>0</v>
      </c>
      <c r="AK12" s="218"/>
      <c r="AL12" s="218"/>
      <c r="AM12" s="196"/>
      <c r="AN12" s="196" t="s">
        <v>1327</v>
      </c>
      <c r="AO12" s="196" t="s">
        <v>760</v>
      </c>
      <c r="AP12" s="196" t="s">
        <v>1158</v>
      </c>
      <c r="AQ12" s="213" t="s">
        <v>586</v>
      </c>
      <c r="AR12" s="111" t="s">
        <v>305</v>
      </c>
      <c r="AS12" s="223"/>
      <c r="AT12" s="223"/>
      <c r="AU12" s="223"/>
      <c r="AV12" s="218">
        <v>0.12540000000000001</v>
      </c>
      <c r="AW12" s="228"/>
      <c r="AX12" s="217"/>
      <c r="AY12" s="217"/>
      <c r="AZ12" s="217"/>
      <c r="BA12" s="196"/>
      <c r="BB12" s="196"/>
      <c r="BC12" s="196"/>
      <c r="BD12" s="229"/>
      <c r="BE12" s="218" t="s">
        <v>990</v>
      </c>
      <c r="BF12" s="196" t="s">
        <v>195</v>
      </c>
      <c r="BG12" s="196"/>
      <c r="BH12" s="196" t="s">
        <v>1467</v>
      </c>
      <c r="BI12" s="197" t="s">
        <v>202</v>
      </c>
      <c r="BJ12" s="196"/>
      <c r="BK12" s="218" t="s">
        <v>990</v>
      </c>
      <c r="BL12" s="220">
        <v>44041</v>
      </c>
      <c r="BM12" s="218" t="s">
        <v>1486</v>
      </c>
      <c r="BN12" s="218" t="s">
        <v>1487</v>
      </c>
      <c r="BO12" s="218"/>
      <c r="BP12" s="218" t="s">
        <v>1663</v>
      </c>
      <c r="BQ12" s="196"/>
    </row>
    <row r="13" spans="1:69" x14ac:dyDescent="0.25">
      <c r="A13" s="213"/>
      <c r="B13" s="197"/>
      <c r="C13" s="196"/>
      <c r="D13" s="111" t="s">
        <v>305</v>
      </c>
      <c r="E13" s="217">
        <v>59599</v>
      </c>
      <c r="F13" s="210" t="s">
        <v>305</v>
      </c>
      <c r="G13" s="196"/>
      <c r="H13" s="196"/>
      <c r="I13" s="111" t="s">
        <v>12</v>
      </c>
      <c r="J13" s="218" t="s">
        <v>942</v>
      </c>
      <c r="K13" s="219">
        <v>44466</v>
      </c>
      <c r="L13" s="196"/>
      <c r="M13" s="245" t="s">
        <v>159</v>
      </c>
      <c r="N13" s="196"/>
      <c r="O13" s="218" t="s">
        <v>1378</v>
      </c>
      <c r="P13" s="220">
        <v>44062</v>
      </c>
      <c r="Q13" s="218" t="s">
        <v>1167</v>
      </c>
      <c r="R13" s="196"/>
      <c r="S13" s="10">
        <v>500</v>
      </c>
      <c r="T13" s="247"/>
      <c r="U13" s="196" t="s">
        <v>1645</v>
      </c>
      <c r="V13" s="218" t="s">
        <v>1508</v>
      </c>
      <c r="W13" s="218" t="s">
        <v>1195</v>
      </c>
      <c r="X13" s="141">
        <v>2671</v>
      </c>
      <c r="Y13" s="218">
        <v>40.324449999999999</v>
      </c>
      <c r="Z13" s="218">
        <v>-106.44546</v>
      </c>
      <c r="AA13" s="218" t="s">
        <v>1443</v>
      </c>
      <c r="AB13" s="196" t="s">
        <v>218</v>
      </c>
      <c r="AC13" s="218" t="s">
        <v>1130</v>
      </c>
      <c r="AD13" s="197" t="s">
        <v>875</v>
      </c>
      <c r="AE13" s="196" t="s">
        <v>1450</v>
      </c>
      <c r="AF13" s="218"/>
      <c r="AG13" s="196"/>
      <c r="AH13" s="196"/>
      <c r="AI13" s="246">
        <v>40</v>
      </c>
      <c r="AJ13" s="246">
        <v>40</v>
      </c>
      <c r="AK13" s="218" t="s">
        <v>435</v>
      </c>
      <c r="AL13" s="218" t="s">
        <v>927</v>
      </c>
      <c r="AM13" s="196"/>
      <c r="AN13" s="196" t="s">
        <v>1326</v>
      </c>
      <c r="AO13" s="196" t="s">
        <v>760</v>
      </c>
      <c r="AP13" s="196" t="s">
        <v>1158</v>
      </c>
      <c r="AQ13" s="213" t="s">
        <v>586</v>
      </c>
      <c r="AR13" s="111" t="s">
        <v>305</v>
      </c>
      <c r="AS13" s="223"/>
      <c r="AT13" s="223"/>
      <c r="AU13" s="223"/>
      <c r="AV13" s="218">
        <v>1.72E-2</v>
      </c>
      <c r="AW13" s="228"/>
      <c r="AX13" s="217"/>
      <c r="AY13" s="217"/>
      <c r="AZ13" s="217"/>
      <c r="BA13" s="196"/>
      <c r="BB13" s="196"/>
      <c r="BC13" s="196"/>
      <c r="BD13" s="229"/>
      <c r="BE13" s="218" t="s">
        <v>991</v>
      </c>
      <c r="BF13" s="196" t="s">
        <v>195</v>
      </c>
      <c r="BG13" s="196"/>
      <c r="BH13" s="196" t="s">
        <v>1468</v>
      </c>
      <c r="BI13" s="197" t="s">
        <v>202</v>
      </c>
      <c r="BJ13" s="196"/>
      <c r="BK13" s="218" t="s">
        <v>991</v>
      </c>
      <c r="BL13" s="220">
        <v>44040</v>
      </c>
      <c r="BM13" s="218" t="s">
        <v>1486</v>
      </c>
      <c r="BN13" s="218" t="s">
        <v>1487</v>
      </c>
      <c r="BO13" s="218"/>
      <c r="BP13" s="218" t="s">
        <v>1664</v>
      </c>
      <c r="BQ13" s="196"/>
    </row>
    <row r="14" spans="1:69" x14ac:dyDescent="0.25">
      <c r="A14" s="213"/>
      <c r="B14" s="196"/>
      <c r="C14" s="196"/>
      <c r="D14" s="111" t="s">
        <v>305</v>
      </c>
      <c r="E14" s="217">
        <v>59600</v>
      </c>
      <c r="F14" s="210" t="s">
        <v>305</v>
      </c>
      <c r="G14" s="196"/>
      <c r="H14" s="196"/>
      <c r="I14" s="111" t="s">
        <v>12</v>
      </c>
      <c r="J14" s="218" t="s">
        <v>943</v>
      </c>
      <c r="K14" s="219">
        <v>44466</v>
      </c>
      <c r="L14" s="196"/>
      <c r="M14" s="245" t="s">
        <v>159</v>
      </c>
      <c r="N14" s="196"/>
      <c r="O14" s="218" t="s">
        <v>1379</v>
      </c>
      <c r="P14" s="220">
        <v>44063</v>
      </c>
      <c r="Q14" s="218" t="s">
        <v>1167</v>
      </c>
      <c r="R14" s="196"/>
      <c r="S14" s="10">
        <v>100</v>
      </c>
      <c r="T14" s="247"/>
      <c r="U14" s="196" t="s">
        <v>1646</v>
      </c>
      <c r="V14" s="218" t="s">
        <v>1509</v>
      </c>
      <c r="W14" s="218" t="s">
        <v>1196</v>
      </c>
      <c r="X14" s="141">
        <v>2807</v>
      </c>
      <c r="Y14" s="218">
        <v>40.195639999999997</v>
      </c>
      <c r="Z14" s="218">
        <v>-106.57347</v>
      </c>
      <c r="AA14" s="218" t="s">
        <v>1443</v>
      </c>
      <c r="AB14" s="196" t="s">
        <v>218</v>
      </c>
      <c r="AC14" s="218" t="s">
        <v>1130</v>
      </c>
      <c r="AD14" s="197" t="s">
        <v>875</v>
      </c>
      <c r="AE14" s="196" t="s">
        <v>1450</v>
      </c>
      <c r="AF14" s="218"/>
      <c r="AG14" s="196"/>
      <c r="AH14" s="196"/>
      <c r="AI14" s="246">
        <v>40</v>
      </c>
      <c r="AJ14" s="246">
        <v>40</v>
      </c>
      <c r="AK14" s="218" t="s">
        <v>435</v>
      </c>
      <c r="AL14" s="218" t="s">
        <v>927</v>
      </c>
      <c r="AM14" s="196"/>
      <c r="AN14" s="196" t="s">
        <v>441</v>
      </c>
      <c r="AO14" s="196" t="s">
        <v>760</v>
      </c>
      <c r="AP14" s="196" t="s">
        <v>1158</v>
      </c>
      <c r="AQ14" s="213" t="s">
        <v>586</v>
      </c>
      <c r="AR14" s="111" t="s">
        <v>305</v>
      </c>
      <c r="AS14" s="223"/>
      <c r="AT14" s="223"/>
      <c r="AU14" s="223"/>
      <c r="AV14" s="218">
        <v>0.1201</v>
      </c>
      <c r="AW14" s="228"/>
      <c r="AX14" s="217"/>
      <c r="AY14" s="217"/>
      <c r="AZ14" s="217"/>
      <c r="BA14" s="196"/>
      <c r="BB14" s="196"/>
      <c r="BC14" s="196"/>
      <c r="BD14" s="229"/>
      <c r="BE14" s="218" t="s">
        <v>992</v>
      </c>
      <c r="BF14" s="196" t="s">
        <v>195</v>
      </c>
      <c r="BG14" s="196"/>
      <c r="BH14" s="196" t="s">
        <v>1469</v>
      </c>
      <c r="BI14" s="197" t="s">
        <v>202</v>
      </c>
      <c r="BJ14" s="196"/>
      <c r="BK14" s="218" t="s">
        <v>992</v>
      </c>
      <c r="BL14" s="218">
        <v>44028</v>
      </c>
      <c r="BM14" s="218" t="s">
        <v>1486</v>
      </c>
      <c r="BN14" s="218" t="s">
        <v>1487</v>
      </c>
      <c r="BO14" s="218"/>
      <c r="BP14" s="218" t="s">
        <v>1665</v>
      </c>
      <c r="BQ14" s="196"/>
    </row>
    <row r="15" spans="1:69" x14ac:dyDescent="0.25">
      <c r="A15" s="213"/>
      <c r="B15" s="196"/>
      <c r="C15" s="196"/>
      <c r="D15" s="111" t="s">
        <v>305</v>
      </c>
      <c r="E15" s="217">
        <v>59601</v>
      </c>
      <c r="F15" s="210" t="s">
        <v>305</v>
      </c>
      <c r="G15" s="196"/>
      <c r="H15" s="196"/>
      <c r="I15" s="111" t="s">
        <v>12</v>
      </c>
      <c r="J15" s="218" t="s">
        <v>944</v>
      </c>
      <c r="K15" s="219">
        <v>44466</v>
      </c>
      <c r="L15" s="196"/>
      <c r="M15" s="245" t="s">
        <v>159</v>
      </c>
      <c r="N15" s="196"/>
      <c r="O15" s="218" t="s">
        <v>1380</v>
      </c>
      <c r="P15" s="220">
        <v>44069</v>
      </c>
      <c r="Q15" s="218" t="s">
        <v>1169</v>
      </c>
      <c r="R15" s="196"/>
      <c r="S15" s="10">
        <v>1000</v>
      </c>
      <c r="T15" s="247"/>
      <c r="U15" s="196"/>
      <c r="V15" s="218" t="s">
        <v>1510</v>
      </c>
      <c r="W15" s="218" t="s">
        <v>1197</v>
      </c>
      <c r="X15" s="141">
        <v>2647</v>
      </c>
      <c r="Y15" s="218">
        <v>40.384689999999999</v>
      </c>
      <c r="Z15" s="218">
        <v>-106.57035999999999</v>
      </c>
      <c r="AA15" s="218" t="s">
        <v>1443</v>
      </c>
      <c r="AB15" s="196" t="s">
        <v>218</v>
      </c>
      <c r="AC15" s="218" t="s">
        <v>1130</v>
      </c>
      <c r="AD15" s="197" t="s">
        <v>875</v>
      </c>
      <c r="AE15" s="196" t="s">
        <v>1450</v>
      </c>
      <c r="AF15" s="218"/>
      <c r="AG15" s="196"/>
      <c r="AH15" s="196"/>
      <c r="AI15" s="246">
        <v>20</v>
      </c>
      <c r="AJ15" s="246">
        <v>20</v>
      </c>
      <c r="AK15" s="218" t="s">
        <v>469</v>
      </c>
      <c r="AL15" s="218" t="s">
        <v>923</v>
      </c>
      <c r="AM15" s="196"/>
      <c r="AN15" s="196" t="s">
        <v>457</v>
      </c>
      <c r="AO15" s="196" t="s">
        <v>760</v>
      </c>
      <c r="AP15" s="196" t="s">
        <v>1158</v>
      </c>
      <c r="AQ15" s="213" t="s">
        <v>586</v>
      </c>
      <c r="AR15" s="111" t="s">
        <v>305</v>
      </c>
      <c r="AS15" s="223"/>
      <c r="AT15" s="223"/>
      <c r="AU15" s="223"/>
      <c r="AV15" s="218">
        <v>3.3300000000000003E-2</v>
      </c>
      <c r="AW15" s="228"/>
      <c r="AX15" s="217"/>
      <c r="AY15" s="217"/>
      <c r="AZ15" s="217"/>
      <c r="BA15" s="196"/>
      <c r="BB15" s="196"/>
      <c r="BC15" s="196"/>
      <c r="BD15" s="229"/>
      <c r="BE15" s="218" t="s">
        <v>993</v>
      </c>
      <c r="BF15" s="196" t="s">
        <v>195</v>
      </c>
      <c r="BG15" s="196"/>
      <c r="BH15" s="196" t="s">
        <v>1470</v>
      </c>
      <c r="BI15" s="197" t="s">
        <v>202</v>
      </c>
      <c r="BJ15" s="196"/>
      <c r="BK15" s="218" t="s">
        <v>993</v>
      </c>
      <c r="BL15" s="220">
        <v>44046</v>
      </c>
      <c r="BM15" s="218" t="s">
        <v>1486</v>
      </c>
      <c r="BN15" s="218" t="s">
        <v>1487</v>
      </c>
      <c r="BO15" s="218"/>
      <c r="BP15" s="218" t="s">
        <v>1666</v>
      </c>
      <c r="BQ15" s="196"/>
    </row>
    <row r="16" spans="1:69" x14ac:dyDescent="0.25">
      <c r="A16" s="213"/>
      <c r="B16" s="196"/>
      <c r="C16" s="196"/>
      <c r="D16" s="111" t="s">
        <v>305</v>
      </c>
      <c r="E16" s="217">
        <v>59602</v>
      </c>
      <c r="F16" s="210" t="s">
        <v>305</v>
      </c>
      <c r="G16" s="196"/>
      <c r="H16" s="196"/>
      <c r="I16" s="111" t="s">
        <v>12</v>
      </c>
      <c r="J16" s="218" t="s">
        <v>942</v>
      </c>
      <c r="K16" s="219">
        <v>44466</v>
      </c>
      <c r="L16" s="196"/>
      <c r="M16" s="245" t="s">
        <v>159</v>
      </c>
      <c r="N16" s="196"/>
      <c r="O16" s="218" t="s">
        <v>1375</v>
      </c>
      <c r="P16" s="220">
        <v>44070</v>
      </c>
      <c r="Q16" s="218" t="s">
        <v>1167</v>
      </c>
      <c r="R16" s="196"/>
      <c r="S16" s="10">
        <v>400</v>
      </c>
      <c r="T16" s="247"/>
      <c r="U16" s="196"/>
      <c r="V16" s="218" t="s">
        <v>1511</v>
      </c>
      <c r="W16" s="218" t="s">
        <v>1198</v>
      </c>
      <c r="X16" s="141">
        <v>2793</v>
      </c>
      <c r="Y16" s="218">
        <v>40.023269999999997</v>
      </c>
      <c r="Z16" s="218">
        <v>-106.84023000000001</v>
      </c>
      <c r="AA16" s="218" t="s">
        <v>1443</v>
      </c>
      <c r="AB16" s="196" t="s">
        <v>218</v>
      </c>
      <c r="AC16" s="218" t="s">
        <v>1130</v>
      </c>
      <c r="AD16" s="197" t="s">
        <v>875</v>
      </c>
      <c r="AE16" s="196" t="s">
        <v>1450</v>
      </c>
      <c r="AF16" s="218"/>
      <c r="AG16" s="196"/>
      <c r="AH16" s="196"/>
      <c r="AI16" s="246">
        <v>4</v>
      </c>
      <c r="AJ16" s="246">
        <v>4</v>
      </c>
      <c r="AK16" s="218" t="s">
        <v>471</v>
      </c>
      <c r="AL16" s="218" t="s">
        <v>922</v>
      </c>
      <c r="AM16" s="196"/>
      <c r="AN16" s="196" t="s">
        <v>1328</v>
      </c>
      <c r="AO16" s="196" t="s">
        <v>760</v>
      </c>
      <c r="AP16" s="196" t="s">
        <v>1158</v>
      </c>
      <c r="AQ16" s="213" t="s">
        <v>586</v>
      </c>
      <c r="AR16" s="111" t="s">
        <v>305</v>
      </c>
      <c r="AS16" s="223"/>
      <c r="AT16" s="223"/>
      <c r="AU16" s="223"/>
      <c r="AV16" s="218">
        <v>1.5299999999999999E-2</v>
      </c>
      <c r="AW16" s="228"/>
      <c r="AX16" s="217"/>
      <c r="AY16" s="217"/>
      <c r="AZ16" s="217"/>
      <c r="BA16" s="196"/>
      <c r="BB16" s="196"/>
      <c r="BC16" s="196"/>
      <c r="BD16" s="229"/>
      <c r="BE16" s="218" t="s">
        <v>994</v>
      </c>
      <c r="BF16" s="196" t="s">
        <v>195</v>
      </c>
      <c r="BG16" s="196"/>
      <c r="BH16" s="196" t="s">
        <v>1471</v>
      </c>
      <c r="BI16" s="197" t="s">
        <v>202</v>
      </c>
      <c r="BJ16" s="196"/>
      <c r="BK16" s="218" t="s">
        <v>994</v>
      </c>
      <c r="BL16" s="220">
        <v>44077</v>
      </c>
      <c r="BM16" s="218" t="s">
        <v>1486</v>
      </c>
      <c r="BN16" s="218" t="s">
        <v>1487</v>
      </c>
      <c r="BO16" s="218"/>
      <c r="BP16" s="218" t="s">
        <v>1667</v>
      </c>
      <c r="BQ16" s="196"/>
    </row>
    <row r="17" spans="1:69" x14ac:dyDescent="0.25">
      <c r="A17" s="213"/>
      <c r="B17" s="197"/>
      <c r="C17" s="196"/>
      <c r="D17" s="111" t="s">
        <v>305</v>
      </c>
      <c r="E17" s="217">
        <v>59603</v>
      </c>
      <c r="F17" s="210" t="s">
        <v>305</v>
      </c>
      <c r="G17" s="196"/>
      <c r="H17" s="196"/>
      <c r="I17" s="111" t="s">
        <v>12</v>
      </c>
      <c r="J17" s="218" t="s">
        <v>942</v>
      </c>
      <c r="K17" s="219">
        <v>44466</v>
      </c>
      <c r="L17" s="196"/>
      <c r="M17" s="245" t="s">
        <v>159</v>
      </c>
      <c r="N17" s="196"/>
      <c r="O17" s="218" t="s">
        <v>1381</v>
      </c>
      <c r="P17" s="220">
        <v>44076</v>
      </c>
      <c r="Q17" s="218" t="s">
        <v>1170</v>
      </c>
      <c r="R17" s="196"/>
      <c r="S17" s="10">
        <v>500</v>
      </c>
      <c r="T17" s="247"/>
      <c r="U17" s="196"/>
      <c r="V17" s="218" t="s">
        <v>1512</v>
      </c>
      <c r="W17" s="218" t="s">
        <v>1199</v>
      </c>
      <c r="X17" s="141">
        <v>2551</v>
      </c>
      <c r="Y17" s="218">
        <v>40.027670000000001</v>
      </c>
      <c r="Z17" s="218">
        <v>-106.79264999999999</v>
      </c>
      <c r="AA17" s="218" t="s">
        <v>1443</v>
      </c>
      <c r="AB17" s="196" t="s">
        <v>218</v>
      </c>
      <c r="AC17" s="218" t="s">
        <v>1130</v>
      </c>
      <c r="AD17" s="197" t="s">
        <v>875</v>
      </c>
      <c r="AE17" s="196" t="s">
        <v>1450</v>
      </c>
      <c r="AF17" s="218"/>
      <c r="AG17" s="196"/>
      <c r="AH17" s="196"/>
      <c r="AI17" s="246">
        <v>24</v>
      </c>
      <c r="AJ17" s="246">
        <v>24</v>
      </c>
      <c r="AK17" s="218" t="s">
        <v>468</v>
      </c>
      <c r="AL17" s="218" t="s">
        <v>926</v>
      </c>
      <c r="AM17" s="196"/>
      <c r="AN17" s="196" t="s">
        <v>441</v>
      </c>
      <c r="AO17" s="196" t="s">
        <v>760</v>
      </c>
      <c r="AP17" s="196" t="s">
        <v>1158</v>
      </c>
      <c r="AQ17" s="213" t="s">
        <v>586</v>
      </c>
      <c r="AR17" s="111" t="s">
        <v>305</v>
      </c>
      <c r="AS17" s="223"/>
      <c r="AT17" s="223"/>
      <c r="AU17" s="223"/>
      <c r="AV17" s="218">
        <v>1.2500000000000001E-2</v>
      </c>
      <c r="AW17" s="228"/>
      <c r="AX17" s="217"/>
      <c r="AY17" s="217"/>
      <c r="AZ17" s="217"/>
      <c r="BA17" s="196"/>
      <c r="BB17" s="196"/>
      <c r="BC17" s="196"/>
      <c r="BD17" s="229"/>
      <c r="BE17" s="218" t="s">
        <v>995</v>
      </c>
      <c r="BF17" s="196" t="s">
        <v>195</v>
      </c>
      <c r="BG17" s="196"/>
      <c r="BH17" s="196" t="s">
        <v>1472</v>
      </c>
      <c r="BI17" s="197" t="s">
        <v>202</v>
      </c>
      <c r="BJ17" s="196"/>
      <c r="BK17" s="218" t="s">
        <v>995</v>
      </c>
      <c r="BL17" s="220">
        <v>44076</v>
      </c>
      <c r="BM17" s="218" t="s">
        <v>1486</v>
      </c>
      <c r="BN17" s="218" t="s">
        <v>1487</v>
      </c>
      <c r="BO17" s="218"/>
      <c r="BP17" s="218" t="s">
        <v>1668</v>
      </c>
      <c r="BQ17" s="196"/>
    </row>
    <row r="18" spans="1:69" x14ac:dyDescent="0.25">
      <c r="A18" s="213"/>
      <c r="B18" s="196"/>
      <c r="C18" s="196"/>
      <c r="D18" s="111" t="s">
        <v>305</v>
      </c>
      <c r="E18" s="217">
        <v>59604</v>
      </c>
      <c r="F18" s="210" t="s">
        <v>305</v>
      </c>
      <c r="G18" s="196"/>
      <c r="H18" s="196"/>
      <c r="I18" s="111" t="s">
        <v>12</v>
      </c>
      <c r="J18" s="218" t="s">
        <v>939</v>
      </c>
      <c r="K18" s="219">
        <v>44466</v>
      </c>
      <c r="L18" s="196"/>
      <c r="M18" s="245" t="s">
        <v>159</v>
      </c>
      <c r="N18" s="196"/>
      <c r="O18" s="218" t="s">
        <v>1382</v>
      </c>
      <c r="P18" s="220">
        <v>44077</v>
      </c>
      <c r="Q18" s="218" t="s">
        <v>1167</v>
      </c>
      <c r="R18" s="196"/>
      <c r="S18" s="10">
        <v>500</v>
      </c>
      <c r="T18" s="247"/>
      <c r="U18" s="196"/>
      <c r="V18" s="218" t="s">
        <v>1513</v>
      </c>
      <c r="W18" s="218" t="s">
        <v>1200</v>
      </c>
      <c r="X18" s="141">
        <v>2783</v>
      </c>
      <c r="Y18" s="218">
        <v>40.019669999999998</v>
      </c>
      <c r="Z18" s="218">
        <v>-106.84244</v>
      </c>
      <c r="AA18" s="218" t="s">
        <v>1443</v>
      </c>
      <c r="AB18" s="196" t="s">
        <v>218</v>
      </c>
      <c r="AC18" s="218" t="s">
        <v>1130</v>
      </c>
      <c r="AD18" s="197" t="s">
        <v>875</v>
      </c>
      <c r="AE18" s="196" t="s">
        <v>1450</v>
      </c>
      <c r="AF18" s="218"/>
      <c r="AG18" s="196"/>
      <c r="AH18" s="196"/>
      <c r="AI18" s="246">
        <v>2</v>
      </c>
      <c r="AJ18" s="246">
        <v>2</v>
      </c>
      <c r="AK18" s="218" t="s">
        <v>471</v>
      </c>
      <c r="AL18" s="218" t="s">
        <v>922</v>
      </c>
      <c r="AM18" s="196"/>
      <c r="AN18" s="196" t="s">
        <v>1326</v>
      </c>
      <c r="AO18" s="196" t="s">
        <v>760</v>
      </c>
      <c r="AP18" s="196" t="s">
        <v>1158</v>
      </c>
      <c r="AQ18" s="213" t="s">
        <v>586</v>
      </c>
      <c r="AR18" s="111" t="s">
        <v>305</v>
      </c>
      <c r="AS18" s="223"/>
      <c r="AT18" s="223"/>
      <c r="AU18" s="223"/>
      <c r="AV18" s="218">
        <v>1.15E-2</v>
      </c>
      <c r="AW18" s="228"/>
      <c r="AX18" s="217"/>
      <c r="AY18" s="217"/>
      <c r="AZ18" s="217"/>
      <c r="BA18" s="196"/>
      <c r="BB18" s="196"/>
      <c r="BC18" s="196"/>
      <c r="BD18" s="229"/>
      <c r="BE18" s="218" t="s">
        <v>996</v>
      </c>
      <c r="BF18" s="196" t="s">
        <v>195</v>
      </c>
      <c r="BG18" s="196"/>
      <c r="BH18" s="196" t="s">
        <v>1473</v>
      </c>
      <c r="BI18" s="197" t="s">
        <v>202</v>
      </c>
      <c r="BJ18" s="196"/>
      <c r="BK18" s="218" t="s">
        <v>996</v>
      </c>
      <c r="BL18" s="218">
        <v>44077</v>
      </c>
      <c r="BM18" s="218" t="s">
        <v>1486</v>
      </c>
      <c r="BN18" s="218" t="s">
        <v>1487</v>
      </c>
      <c r="BO18" s="218"/>
      <c r="BP18" s="218" t="s">
        <v>1669</v>
      </c>
      <c r="BQ18" s="196"/>
    </row>
    <row r="19" spans="1:69" x14ac:dyDescent="0.25">
      <c r="A19" s="213"/>
      <c r="B19" s="197"/>
      <c r="C19" s="196"/>
      <c r="D19" s="111" t="s">
        <v>305</v>
      </c>
      <c r="E19" s="217">
        <v>59605</v>
      </c>
      <c r="F19" s="210" t="s">
        <v>305</v>
      </c>
      <c r="G19" s="196"/>
      <c r="H19" s="196"/>
      <c r="I19" s="111" t="s">
        <v>12</v>
      </c>
      <c r="J19" s="218" t="s">
        <v>945</v>
      </c>
      <c r="K19" s="219">
        <v>44466</v>
      </c>
      <c r="L19" s="196"/>
      <c r="M19" s="245" t="s">
        <v>159</v>
      </c>
      <c r="N19" s="196"/>
      <c r="O19" s="218" t="s">
        <v>1383</v>
      </c>
      <c r="P19" s="220">
        <v>44084</v>
      </c>
      <c r="Q19" s="218" t="s">
        <v>1168</v>
      </c>
      <c r="R19" s="196"/>
      <c r="S19" s="10">
        <v>50</v>
      </c>
      <c r="T19" s="247"/>
      <c r="U19" s="196"/>
      <c r="V19" s="218" t="s">
        <v>1514</v>
      </c>
      <c r="W19" s="218" t="s">
        <v>1201</v>
      </c>
      <c r="X19" s="141">
        <v>2050</v>
      </c>
      <c r="Y19" s="218">
        <v>39.911209999999997</v>
      </c>
      <c r="Z19" s="218">
        <v>-106.74414</v>
      </c>
      <c r="AA19" s="218" t="s">
        <v>1443</v>
      </c>
      <c r="AB19" s="196" t="s">
        <v>218</v>
      </c>
      <c r="AC19" s="218" t="s">
        <v>1130</v>
      </c>
      <c r="AD19" s="197" t="s">
        <v>875</v>
      </c>
      <c r="AE19" s="196" t="s">
        <v>1450</v>
      </c>
      <c r="AF19" s="218"/>
      <c r="AG19" s="196"/>
      <c r="AH19" s="196"/>
      <c r="AI19" s="246">
        <v>0</v>
      </c>
      <c r="AJ19" s="246">
        <v>0</v>
      </c>
      <c r="AK19" s="218" t="s">
        <v>471</v>
      </c>
      <c r="AL19" s="218" t="s">
        <v>922</v>
      </c>
      <c r="AM19" s="196"/>
      <c r="AN19" s="196" t="s">
        <v>1326</v>
      </c>
      <c r="AO19" s="196" t="s">
        <v>760</v>
      </c>
      <c r="AP19" s="196" t="s">
        <v>1158</v>
      </c>
      <c r="AQ19" s="213" t="s">
        <v>586</v>
      </c>
      <c r="AR19" s="111" t="s">
        <v>305</v>
      </c>
      <c r="AS19" s="223"/>
      <c r="AT19" s="223"/>
      <c r="AU19" s="223"/>
      <c r="AV19" s="218">
        <v>6.3299999999999995E-2</v>
      </c>
      <c r="AW19" s="228"/>
      <c r="AX19" s="217"/>
      <c r="AY19" s="217"/>
      <c r="AZ19" s="217"/>
      <c r="BA19" s="196"/>
      <c r="BB19" s="196"/>
      <c r="BC19" s="196"/>
      <c r="BD19" s="229"/>
      <c r="BE19" s="218" t="s">
        <v>997</v>
      </c>
      <c r="BF19" s="196" t="s">
        <v>195</v>
      </c>
      <c r="BG19" s="196"/>
      <c r="BH19" s="196" t="s">
        <v>1474</v>
      </c>
      <c r="BI19" s="197" t="s">
        <v>202</v>
      </c>
      <c r="BJ19" s="196"/>
      <c r="BK19" s="218" t="s">
        <v>997</v>
      </c>
      <c r="BL19" s="220">
        <v>44084</v>
      </c>
      <c r="BM19" s="218" t="s">
        <v>1486</v>
      </c>
      <c r="BN19" s="218" t="s">
        <v>1487</v>
      </c>
      <c r="BO19" s="218"/>
      <c r="BP19" s="218" t="s">
        <v>1668</v>
      </c>
      <c r="BQ19" s="196"/>
    </row>
    <row r="20" spans="1:69" x14ac:dyDescent="0.25">
      <c r="A20" s="213"/>
      <c r="B20" s="196"/>
      <c r="C20" s="196"/>
      <c r="D20" s="111" t="s">
        <v>305</v>
      </c>
      <c r="E20" s="217">
        <v>59606</v>
      </c>
      <c r="F20" s="210" t="s">
        <v>305</v>
      </c>
      <c r="G20" s="196"/>
      <c r="H20" s="196"/>
      <c r="I20" s="111" t="s">
        <v>12</v>
      </c>
      <c r="J20" s="218" t="s">
        <v>946</v>
      </c>
      <c r="K20" s="219">
        <v>44466</v>
      </c>
      <c r="L20" s="196"/>
      <c r="M20" s="245" t="s">
        <v>159</v>
      </c>
      <c r="N20" s="196"/>
      <c r="O20" s="218" t="s">
        <v>1384</v>
      </c>
      <c r="P20" s="220">
        <v>44089</v>
      </c>
      <c r="Q20" s="218" t="s">
        <v>1169</v>
      </c>
      <c r="R20" s="196"/>
      <c r="S20" s="10">
        <v>1000</v>
      </c>
      <c r="T20" s="247"/>
      <c r="U20" s="196"/>
      <c r="V20" s="218" t="s">
        <v>1515</v>
      </c>
      <c r="W20" s="218" t="s">
        <v>1202</v>
      </c>
      <c r="X20" s="141">
        <v>2590</v>
      </c>
      <c r="Y20" s="218">
        <v>40.870539999999998</v>
      </c>
      <c r="Z20" s="218">
        <v>-106.2068</v>
      </c>
      <c r="AA20" s="218" t="s">
        <v>1443</v>
      </c>
      <c r="AB20" s="196" t="s">
        <v>218</v>
      </c>
      <c r="AC20" s="218" t="s">
        <v>1130</v>
      </c>
      <c r="AD20" s="197" t="s">
        <v>875</v>
      </c>
      <c r="AE20" s="196" t="s">
        <v>1450</v>
      </c>
      <c r="AF20" s="218"/>
      <c r="AG20" s="196"/>
      <c r="AH20" s="196"/>
      <c r="AI20" s="246">
        <v>12</v>
      </c>
      <c r="AJ20" s="246">
        <v>12</v>
      </c>
      <c r="AK20" s="218" t="s">
        <v>435</v>
      </c>
      <c r="AL20" s="218" t="s">
        <v>927</v>
      </c>
      <c r="AM20" s="196"/>
      <c r="AN20" s="196" t="s">
        <v>452</v>
      </c>
      <c r="AO20" s="196" t="s">
        <v>760</v>
      </c>
      <c r="AP20" s="196" t="s">
        <v>1158</v>
      </c>
      <c r="AQ20" s="213" t="s">
        <v>586</v>
      </c>
      <c r="AR20" s="111" t="s">
        <v>305</v>
      </c>
      <c r="AS20" s="223"/>
      <c r="AT20" s="223"/>
      <c r="AU20" s="223"/>
      <c r="AV20" s="218">
        <v>7.4300000000000005E-2</v>
      </c>
      <c r="AW20" s="228"/>
      <c r="AX20" s="217"/>
      <c r="AY20" s="217"/>
      <c r="AZ20" s="217"/>
      <c r="BA20" s="196"/>
      <c r="BB20" s="196"/>
      <c r="BC20" s="196"/>
      <c r="BD20" s="229"/>
      <c r="BE20" s="218" t="s">
        <v>998</v>
      </c>
      <c r="BF20" s="196" t="s">
        <v>195</v>
      </c>
      <c r="BG20" s="196"/>
      <c r="BH20" s="196" t="s">
        <v>1475</v>
      </c>
      <c r="BI20" s="197" t="s">
        <v>202</v>
      </c>
      <c r="BJ20" s="196"/>
      <c r="BK20" s="218" t="s">
        <v>998</v>
      </c>
      <c r="BL20" s="220">
        <v>44056</v>
      </c>
      <c r="BM20" s="218" t="s">
        <v>1486</v>
      </c>
      <c r="BN20" s="218" t="s">
        <v>1487</v>
      </c>
      <c r="BO20" s="218"/>
      <c r="BP20" s="218" t="s">
        <v>1663</v>
      </c>
      <c r="BQ20" s="196"/>
    </row>
    <row r="21" spans="1:69" x14ac:dyDescent="0.25">
      <c r="A21" s="213"/>
      <c r="B21" s="196"/>
      <c r="C21" s="196"/>
      <c r="D21" s="111" t="s">
        <v>305</v>
      </c>
      <c r="E21" s="217">
        <v>59607</v>
      </c>
      <c r="F21" s="210" t="s">
        <v>305</v>
      </c>
      <c r="G21" s="196"/>
      <c r="H21" s="196"/>
      <c r="I21" s="111" t="s">
        <v>12</v>
      </c>
      <c r="J21" s="218" t="s">
        <v>889</v>
      </c>
      <c r="K21" s="219">
        <v>44466</v>
      </c>
      <c r="L21" s="196"/>
      <c r="M21" s="245" t="s">
        <v>159</v>
      </c>
      <c r="N21" s="196"/>
      <c r="O21" s="218" t="s">
        <v>1385</v>
      </c>
      <c r="P21" s="220">
        <v>44089</v>
      </c>
      <c r="Q21" s="218" t="s">
        <v>1169</v>
      </c>
      <c r="R21" s="196"/>
      <c r="S21" s="10">
        <v>1015</v>
      </c>
      <c r="T21" s="247"/>
      <c r="U21" s="196"/>
      <c r="V21" s="218" t="s">
        <v>1516</v>
      </c>
      <c r="W21" s="218" t="s">
        <v>1203</v>
      </c>
      <c r="X21" s="141">
        <v>2493</v>
      </c>
      <c r="Y21" s="218">
        <v>40.564219999999999</v>
      </c>
      <c r="Z21" s="218">
        <v>-106.34797</v>
      </c>
      <c r="AA21" s="218" t="s">
        <v>1443</v>
      </c>
      <c r="AB21" s="196" t="s">
        <v>218</v>
      </c>
      <c r="AC21" s="218" t="s">
        <v>1130</v>
      </c>
      <c r="AD21" s="197" t="s">
        <v>875</v>
      </c>
      <c r="AE21" s="196" t="s">
        <v>1450</v>
      </c>
      <c r="AF21" s="218"/>
      <c r="AG21" s="196"/>
      <c r="AH21" s="196"/>
      <c r="AI21" s="246">
        <v>0</v>
      </c>
      <c r="AJ21" s="246">
        <v>0</v>
      </c>
      <c r="AK21" s="218"/>
      <c r="AL21" s="218"/>
      <c r="AM21" s="196"/>
      <c r="AN21" s="196" t="s">
        <v>452</v>
      </c>
      <c r="AO21" s="196" t="s">
        <v>760</v>
      </c>
      <c r="AP21" s="196" t="s">
        <v>1158</v>
      </c>
      <c r="AQ21" s="213" t="s">
        <v>586</v>
      </c>
      <c r="AR21" s="111" t="s">
        <v>305</v>
      </c>
      <c r="AS21" s="223"/>
      <c r="AT21" s="223"/>
      <c r="AU21" s="223"/>
      <c r="AV21" s="218">
        <v>0.1236</v>
      </c>
      <c r="AW21" s="228"/>
      <c r="AX21" s="217"/>
      <c r="AY21" s="217"/>
      <c r="AZ21" s="217"/>
      <c r="BA21" s="196"/>
      <c r="BB21" s="196"/>
      <c r="BC21" s="196"/>
      <c r="BD21" s="229"/>
      <c r="BE21" s="218" t="s">
        <v>999</v>
      </c>
      <c r="BF21" s="196" t="s">
        <v>195</v>
      </c>
      <c r="BG21" s="196"/>
      <c r="BH21" s="196" t="s">
        <v>1476</v>
      </c>
      <c r="BI21" s="197" t="s">
        <v>202</v>
      </c>
      <c r="BJ21" s="196"/>
      <c r="BK21" s="218" t="s">
        <v>999</v>
      </c>
      <c r="BL21" s="220">
        <v>44069</v>
      </c>
      <c r="BM21" s="218" t="s">
        <v>1486</v>
      </c>
      <c r="BN21" s="218" t="s">
        <v>1487</v>
      </c>
      <c r="BO21" s="218"/>
      <c r="BP21" s="218" t="s">
        <v>1670</v>
      </c>
      <c r="BQ21" s="196"/>
    </row>
    <row r="22" spans="1:69" x14ac:dyDescent="0.25">
      <c r="A22" s="213"/>
      <c r="B22" s="196"/>
      <c r="C22" s="196"/>
      <c r="D22" s="111" t="s">
        <v>305</v>
      </c>
      <c r="E22" s="217">
        <v>59608</v>
      </c>
      <c r="F22" s="210" t="s">
        <v>305</v>
      </c>
      <c r="G22" s="196"/>
      <c r="H22" s="196"/>
      <c r="I22" s="111" t="s">
        <v>12</v>
      </c>
      <c r="J22" s="218" t="s">
        <v>947</v>
      </c>
      <c r="K22" s="219">
        <v>44466</v>
      </c>
      <c r="L22" s="196"/>
      <c r="M22" s="245" t="s">
        <v>159</v>
      </c>
      <c r="N22" s="196"/>
      <c r="O22" s="218" t="s">
        <v>1386</v>
      </c>
      <c r="P22" s="220">
        <v>44090</v>
      </c>
      <c r="Q22" s="218" t="s">
        <v>1168</v>
      </c>
      <c r="R22" s="196"/>
      <c r="S22" s="10">
        <v>100</v>
      </c>
      <c r="T22" s="247"/>
      <c r="U22" s="196"/>
      <c r="V22" s="218" t="s">
        <v>1517</v>
      </c>
      <c r="W22" s="218" t="s">
        <v>1204</v>
      </c>
      <c r="X22" s="141">
        <v>2163</v>
      </c>
      <c r="Y22" s="218">
        <v>39.704500000000003</v>
      </c>
      <c r="Z22" s="218">
        <v>-106.68017</v>
      </c>
      <c r="AA22" s="218" t="s">
        <v>1443</v>
      </c>
      <c r="AB22" s="196" t="s">
        <v>218</v>
      </c>
      <c r="AC22" s="218" t="s">
        <v>1130</v>
      </c>
      <c r="AD22" s="197" t="s">
        <v>875</v>
      </c>
      <c r="AE22" s="196" t="s">
        <v>1450</v>
      </c>
      <c r="AF22" s="218"/>
      <c r="AG22" s="196"/>
      <c r="AH22" s="196"/>
      <c r="AI22" s="246">
        <v>0</v>
      </c>
      <c r="AJ22" s="246">
        <v>0</v>
      </c>
      <c r="AK22" s="218"/>
      <c r="AL22" s="218"/>
      <c r="AM22" s="196"/>
      <c r="AN22" s="196" t="s">
        <v>441</v>
      </c>
      <c r="AO22" s="196" t="s">
        <v>760</v>
      </c>
      <c r="AP22" s="196" t="s">
        <v>1158</v>
      </c>
      <c r="AQ22" s="213" t="s">
        <v>586</v>
      </c>
      <c r="AR22" s="111" t="s">
        <v>305</v>
      </c>
      <c r="AS22" s="223"/>
      <c r="AT22" s="223"/>
      <c r="AU22" s="223"/>
      <c r="AV22" s="218">
        <v>0.58150000000000002</v>
      </c>
      <c r="AW22" s="228"/>
      <c r="AX22" s="217"/>
      <c r="AY22" s="217"/>
      <c r="AZ22" s="217"/>
      <c r="BA22" s="196"/>
      <c r="BB22" s="196"/>
      <c r="BC22" s="196"/>
      <c r="BD22" s="229"/>
      <c r="BE22" s="218" t="s">
        <v>1000</v>
      </c>
      <c r="BF22" s="196" t="s">
        <v>195</v>
      </c>
      <c r="BG22" s="196"/>
      <c r="BH22" s="196" t="s">
        <v>1477</v>
      </c>
      <c r="BI22" s="197" t="s">
        <v>202</v>
      </c>
      <c r="BJ22" s="196"/>
      <c r="BK22" s="218" t="s">
        <v>1000</v>
      </c>
      <c r="BL22" s="220">
        <v>44033</v>
      </c>
      <c r="BM22" s="218" t="s">
        <v>1486</v>
      </c>
      <c r="BN22" s="218" t="s">
        <v>1487</v>
      </c>
      <c r="BO22" s="218"/>
      <c r="BP22" s="218" t="s">
        <v>1671</v>
      </c>
      <c r="BQ22" s="196"/>
    </row>
    <row r="23" spans="1:69" x14ac:dyDescent="0.25">
      <c r="A23" s="213"/>
      <c r="B23" s="197"/>
      <c r="C23" s="196"/>
      <c r="D23" s="111" t="s">
        <v>305</v>
      </c>
      <c r="E23" s="217">
        <v>59609</v>
      </c>
      <c r="F23" s="210" t="s">
        <v>305</v>
      </c>
      <c r="G23" s="196"/>
      <c r="H23" s="196"/>
      <c r="I23" s="111" t="s">
        <v>12</v>
      </c>
      <c r="J23" s="218" t="s">
        <v>948</v>
      </c>
      <c r="K23" s="219">
        <v>44466</v>
      </c>
      <c r="L23" s="196"/>
      <c r="M23" s="245" t="s">
        <v>159</v>
      </c>
      <c r="N23" s="196"/>
      <c r="O23" s="218" t="s">
        <v>1387</v>
      </c>
      <c r="P23" s="220">
        <v>44090</v>
      </c>
      <c r="Q23" s="218" t="s">
        <v>1167</v>
      </c>
      <c r="R23" s="196"/>
      <c r="S23" s="10">
        <v>1000</v>
      </c>
      <c r="T23" s="247"/>
      <c r="U23" s="196"/>
      <c r="V23" s="218" t="s">
        <v>1518</v>
      </c>
      <c r="W23" s="218" t="s">
        <v>1205</v>
      </c>
      <c r="X23" s="141">
        <v>2553</v>
      </c>
      <c r="Y23" s="218">
        <v>40.065899999999999</v>
      </c>
      <c r="Z23" s="218">
        <v>-106.13357999999999</v>
      </c>
      <c r="AA23" s="218" t="s">
        <v>1443</v>
      </c>
      <c r="AB23" s="196" t="s">
        <v>218</v>
      </c>
      <c r="AC23" s="218" t="s">
        <v>1130</v>
      </c>
      <c r="AD23" s="197" t="s">
        <v>875</v>
      </c>
      <c r="AE23" s="196" t="s">
        <v>1450</v>
      </c>
      <c r="AF23" s="218"/>
      <c r="AG23" s="196"/>
      <c r="AH23" s="196"/>
      <c r="AI23" s="246">
        <v>5</v>
      </c>
      <c r="AJ23" s="246">
        <v>5</v>
      </c>
      <c r="AK23" s="218" t="s">
        <v>469</v>
      </c>
      <c r="AL23" s="218" t="s">
        <v>923</v>
      </c>
      <c r="AM23" s="196"/>
      <c r="AN23" s="196" t="s">
        <v>457</v>
      </c>
      <c r="AO23" s="196" t="s">
        <v>760</v>
      </c>
      <c r="AP23" s="196" t="s">
        <v>1158</v>
      </c>
      <c r="AQ23" s="213" t="s">
        <v>586</v>
      </c>
      <c r="AR23" s="111" t="s">
        <v>305</v>
      </c>
      <c r="AS23" s="223"/>
      <c r="AT23" s="223"/>
      <c r="AU23" s="223"/>
      <c r="AV23" s="218">
        <v>3.9699999999999999E-2</v>
      </c>
      <c r="AW23" s="228"/>
      <c r="AX23" s="217"/>
      <c r="AY23" s="217"/>
      <c r="AZ23" s="217"/>
      <c r="BA23" s="196"/>
      <c r="BB23" s="196"/>
      <c r="BC23" s="196"/>
      <c r="BD23" s="229"/>
      <c r="BE23" s="218" t="s">
        <v>1001</v>
      </c>
      <c r="BF23" s="196" t="s">
        <v>195</v>
      </c>
      <c r="BG23" s="196"/>
      <c r="BH23" s="196" t="s">
        <v>1478</v>
      </c>
      <c r="BI23" s="197" t="s">
        <v>202</v>
      </c>
      <c r="BJ23" s="196"/>
      <c r="BK23" s="218" t="s">
        <v>1001</v>
      </c>
      <c r="BL23" s="220">
        <v>44055</v>
      </c>
      <c r="BM23" s="218" t="s">
        <v>1486</v>
      </c>
      <c r="BN23" s="218" t="s">
        <v>1487</v>
      </c>
      <c r="BO23" s="218"/>
      <c r="BP23" s="218" t="s">
        <v>1672</v>
      </c>
      <c r="BQ23" s="196"/>
    </row>
    <row r="24" spans="1:69" x14ac:dyDescent="0.25">
      <c r="A24" s="213"/>
      <c r="B24" s="196"/>
      <c r="C24" s="196"/>
      <c r="D24" s="111" t="s">
        <v>305</v>
      </c>
      <c r="E24" s="217">
        <v>59610</v>
      </c>
      <c r="F24" s="210" t="s">
        <v>305</v>
      </c>
      <c r="G24" s="196"/>
      <c r="H24" s="196"/>
      <c r="I24" s="111" t="s">
        <v>12</v>
      </c>
      <c r="J24" s="218" t="s">
        <v>946</v>
      </c>
      <c r="K24" s="219">
        <v>44466</v>
      </c>
      <c r="L24" s="196"/>
      <c r="M24" s="245" t="s">
        <v>159</v>
      </c>
      <c r="N24" s="196"/>
      <c r="O24" s="218" t="s">
        <v>1384</v>
      </c>
      <c r="P24" s="220">
        <v>44091</v>
      </c>
      <c r="Q24" s="218" t="s">
        <v>1169</v>
      </c>
      <c r="R24" s="196"/>
      <c r="S24" s="10">
        <v>1500</v>
      </c>
      <c r="T24" s="247"/>
      <c r="U24" s="196"/>
      <c r="V24" s="218" t="s">
        <v>1519</v>
      </c>
      <c r="W24" s="218" t="s">
        <v>1206</v>
      </c>
      <c r="X24" s="141">
        <v>2566</v>
      </c>
      <c r="Y24" s="218">
        <v>40.444310000000002</v>
      </c>
      <c r="Z24" s="218">
        <v>-106.45126</v>
      </c>
      <c r="AA24" s="218" t="s">
        <v>1443</v>
      </c>
      <c r="AB24" s="196" t="s">
        <v>218</v>
      </c>
      <c r="AC24" s="218" t="s">
        <v>1130</v>
      </c>
      <c r="AD24" s="197" t="s">
        <v>875</v>
      </c>
      <c r="AE24" s="196" t="s">
        <v>1450</v>
      </c>
      <c r="AF24" s="218"/>
      <c r="AG24" s="196"/>
      <c r="AH24" s="196"/>
      <c r="AI24" s="246">
        <v>11</v>
      </c>
      <c r="AJ24" s="246">
        <v>11</v>
      </c>
      <c r="AK24" s="218" t="s">
        <v>469</v>
      </c>
      <c r="AL24" s="218" t="s">
        <v>923</v>
      </c>
      <c r="AM24" s="196"/>
      <c r="AN24" s="196" t="s">
        <v>441</v>
      </c>
      <c r="AO24" s="196" t="s">
        <v>760</v>
      </c>
      <c r="AP24" s="196" t="s">
        <v>1158</v>
      </c>
      <c r="AQ24" s="213" t="s">
        <v>586</v>
      </c>
      <c r="AR24" s="111" t="s">
        <v>305</v>
      </c>
      <c r="AS24" s="223"/>
      <c r="AT24" s="223"/>
      <c r="AU24" s="223"/>
      <c r="AV24" s="218">
        <v>8.6099999999999996E-2</v>
      </c>
      <c r="AW24" s="228"/>
      <c r="AX24" s="217"/>
      <c r="AY24" s="217"/>
      <c r="AZ24" s="217"/>
      <c r="BA24" s="196"/>
      <c r="BB24" s="196"/>
      <c r="BC24" s="196"/>
      <c r="BD24" s="229"/>
      <c r="BE24" s="218" t="s">
        <v>1002</v>
      </c>
      <c r="BF24" s="196" t="s">
        <v>195</v>
      </c>
      <c r="BG24" s="196"/>
      <c r="BH24" s="196" t="s">
        <v>1479</v>
      </c>
      <c r="BI24" s="197" t="s">
        <v>202</v>
      </c>
      <c r="BJ24" s="196"/>
      <c r="BK24" s="218" t="s">
        <v>1002</v>
      </c>
      <c r="BL24" s="220">
        <v>44091</v>
      </c>
      <c r="BM24" s="218" t="s">
        <v>1486</v>
      </c>
      <c r="BN24" s="218" t="s">
        <v>1487</v>
      </c>
      <c r="BO24" s="218"/>
      <c r="BP24" s="218" t="s">
        <v>1673</v>
      </c>
      <c r="BQ24" s="196"/>
    </row>
    <row r="25" spans="1:69" x14ac:dyDescent="0.25">
      <c r="A25" s="213"/>
      <c r="B25" s="197"/>
      <c r="C25" s="196"/>
      <c r="D25" s="111" t="s">
        <v>305</v>
      </c>
      <c r="E25" s="217">
        <v>59611</v>
      </c>
      <c r="F25" s="210" t="s">
        <v>305</v>
      </c>
      <c r="G25" s="196"/>
      <c r="H25" s="196"/>
      <c r="I25" s="111" t="s">
        <v>12</v>
      </c>
      <c r="J25" s="218" t="s">
        <v>948</v>
      </c>
      <c r="K25" s="219">
        <v>44466</v>
      </c>
      <c r="L25" s="196"/>
      <c r="M25" s="245" t="s">
        <v>159</v>
      </c>
      <c r="N25" s="196"/>
      <c r="O25" s="218" t="s">
        <v>1387</v>
      </c>
      <c r="P25" s="220">
        <v>44098</v>
      </c>
      <c r="Q25" s="218" t="s">
        <v>1167</v>
      </c>
      <c r="R25" s="196"/>
      <c r="S25" s="10">
        <v>1000</v>
      </c>
      <c r="T25" s="247"/>
      <c r="U25" s="196"/>
      <c r="V25" s="218" t="s">
        <v>1520</v>
      </c>
      <c r="W25" s="218" t="s">
        <v>1207</v>
      </c>
      <c r="X25" s="141">
        <v>2526</v>
      </c>
      <c r="Y25" s="218">
        <v>34.914870000000001</v>
      </c>
      <c r="Z25" s="218">
        <v>-106.30195999999999</v>
      </c>
      <c r="AA25" s="218" t="s">
        <v>1443</v>
      </c>
      <c r="AB25" s="196" t="s">
        <v>218</v>
      </c>
      <c r="AC25" s="218" t="s">
        <v>1130</v>
      </c>
      <c r="AD25" s="197" t="s">
        <v>875</v>
      </c>
      <c r="AE25" s="196" t="s">
        <v>1450</v>
      </c>
      <c r="AF25" s="218"/>
      <c r="AG25" s="196"/>
      <c r="AH25" s="196"/>
      <c r="AI25" s="246">
        <v>2</v>
      </c>
      <c r="AJ25" s="246">
        <v>2</v>
      </c>
      <c r="AK25" s="218" t="s">
        <v>469</v>
      </c>
      <c r="AL25" s="218" t="s">
        <v>923</v>
      </c>
      <c r="AM25" s="196"/>
      <c r="AN25" s="196" t="s">
        <v>457</v>
      </c>
      <c r="AO25" s="196" t="s">
        <v>760</v>
      </c>
      <c r="AP25" s="196" t="s">
        <v>1158</v>
      </c>
      <c r="AQ25" s="213" t="s">
        <v>586</v>
      </c>
      <c r="AR25" s="111" t="s">
        <v>305</v>
      </c>
      <c r="AS25" s="223"/>
      <c r="AT25" s="223"/>
      <c r="AU25" s="223"/>
      <c r="AV25" s="218">
        <v>3.6499999999999998E-2</v>
      </c>
      <c r="AW25" s="228"/>
      <c r="AX25" s="217"/>
      <c r="AY25" s="217"/>
      <c r="AZ25" s="217"/>
      <c r="BA25" s="196"/>
      <c r="BB25" s="196"/>
      <c r="BC25" s="196"/>
      <c r="BD25" s="229"/>
      <c r="BE25" s="218" t="s">
        <v>1003</v>
      </c>
      <c r="BF25" s="196" t="s">
        <v>195</v>
      </c>
      <c r="BG25" s="196"/>
      <c r="BH25" s="196" t="s">
        <v>1480</v>
      </c>
      <c r="BI25" s="197" t="s">
        <v>202</v>
      </c>
      <c r="BJ25" s="196"/>
      <c r="BK25" s="218" t="s">
        <v>1003</v>
      </c>
      <c r="BL25" s="220">
        <v>44055</v>
      </c>
      <c r="BM25" s="218" t="s">
        <v>1486</v>
      </c>
      <c r="BN25" s="218" t="s">
        <v>1487</v>
      </c>
      <c r="BO25" s="218"/>
      <c r="BP25" s="218" t="s">
        <v>1672</v>
      </c>
      <c r="BQ25" s="196"/>
    </row>
    <row r="26" spans="1:69" x14ac:dyDescent="0.25">
      <c r="A26" s="213"/>
      <c r="B26" s="196"/>
      <c r="C26" s="196"/>
      <c r="D26" s="111" t="s">
        <v>305</v>
      </c>
      <c r="E26" s="217">
        <v>59612</v>
      </c>
      <c r="F26" s="210" t="s">
        <v>305</v>
      </c>
      <c r="G26" s="196"/>
      <c r="H26" s="196"/>
      <c r="I26" s="111" t="s">
        <v>12</v>
      </c>
      <c r="J26" s="218" t="s">
        <v>946</v>
      </c>
      <c r="K26" s="219">
        <v>44466</v>
      </c>
      <c r="L26" s="196"/>
      <c r="M26" s="245" t="s">
        <v>159</v>
      </c>
      <c r="N26" s="196"/>
      <c r="O26" s="218" t="s">
        <v>1388</v>
      </c>
      <c r="P26" s="220">
        <v>44098</v>
      </c>
      <c r="Q26" s="218" t="s">
        <v>1167</v>
      </c>
      <c r="R26" s="196"/>
      <c r="S26" s="10">
        <v>1000</v>
      </c>
      <c r="T26" s="247"/>
      <c r="U26" s="196"/>
      <c r="V26" s="218" t="s">
        <v>1521</v>
      </c>
      <c r="W26" s="218" t="s">
        <v>1208</v>
      </c>
      <c r="X26" s="141">
        <v>2528</v>
      </c>
      <c r="Y26" s="218">
        <v>40.201250000000002</v>
      </c>
      <c r="Z26" s="218">
        <v>-106.33041</v>
      </c>
      <c r="AA26" s="218" t="s">
        <v>1443</v>
      </c>
      <c r="AB26" s="196" t="s">
        <v>218</v>
      </c>
      <c r="AC26" s="218" t="s">
        <v>1130</v>
      </c>
      <c r="AD26" s="197" t="s">
        <v>875</v>
      </c>
      <c r="AE26" s="196" t="s">
        <v>1450</v>
      </c>
      <c r="AF26" s="218"/>
      <c r="AG26" s="196"/>
      <c r="AH26" s="196"/>
      <c r="AI26" s="246">
        <v>25</v>
      </c>
      <c r="AJ26" s="246">
        <v>25</v>
      </c>
      <c r="AK26" s="218" t="s">
        <v>468</v>
      </c>
      <c r="AL26" s="218" t="s">
        <v>926</v>
      </c>
      <c r="AM26" s="196"/>
      <c r="AN26" s="196" t="s">
        <v>441</v>
      </c>
      <c r="AO26" s="196" t="s">
        <v>760</v>
      </c>
      <c r="AP26" s="196" t="s">
        <v>1158</v>
      </c>
      <c r="AQ26" s="213" t="s">
        <v>586</v>
      </c>
      <c r="AR26" s="111" t="s">
        <v>305</v>
      </c>
      <c r="AS26" s="223"/>
      <c r="AT26" s="223"/>
      <c r="AU26" s="223"/>
      <c r="AV26" s="218">
        <v>3.6799999999999999E-2</v>
      </c>
      <c r="AW26" s="228"/>
      <c r="AX26" s="217"/>
      <c r="AY26" s="217"/>
      <c r="AZ26" s="217"/>
      <c r="BA26" s="196"/>
      <c r="BB26" s="196"/>
      <c r="BC26" s="196"/>
      <c r="BD26" s="229"/>
      <c r="BE26" s="218" t="s">
        <v>1004</v>
      </c>
      <c r="BF26" s="196" t="s">
        <v>195</v>
      </c>
      <c r="BG26" s="196"/>
      <c r="BH26" s="196" t="s">
        <v>1481</v>
      </c>
      <c r="BI26" s="197" t="s">
        <v>202</v>
      </c>
      <c r="BJ26" s="196"/>
      <c r="BK26" s="218" t="s">
        <v>1004</v>
      </c>
      <c r="BL26" s="220">
        <v>44060</v>
      </c>
      <c r="BM26" s="218" t="s">
        <v>1486</v>
      </c>
      <c r="BN26" s="218" t="s">
        <v>1487</v>
      </c>
      <c r="BO26" s="218"/>
      <c r="BP26" s="218" t="s">
        <v>1674</v>
      </c>
      <c r="BQ26" s="196"/>
    </row>
    <row r="27" spans="1:69" x14ac:dyDescent="0.25">
      <c r="A27" s="213"/>
      <c r="B27" s="196"/>
      <c r="C27" s="196"/>
      <c r="D27" s="111" t="s">
        <v>305</v>
      </c>
      <c r="E27" s="217">
        <v>59613</v>
      </c>
      <c r="F27" s="210" t="s">
        <v>305</v>
      </c>
      <c r="G27" s="196"/>
      <c r="H27" s="196"/>
      <c r="I27" s="111" t="s">
        <v>12</v>
      </c>
      <c r="J27" s="218" t="s">
        <v>948</v>
      </c>
      <c r="K27" s="219">
        <v>44466</v>
      </c>
      <c r="L27" s="196"/>
      <c r="M27" s="245" t="s">
        <v>159</v>
      </c>
      <c r="N27" s="196"/>
      <c r="O27" s="218" t="s">
        <v>1389</v>
      </c>
      <c r="P27" s="220">
        <v>44104</v>
      </c>
      <c r="Q27" s="218" t="s">
        <v>1168</v>
      </c>
      <c r="R27" s="196"/>
      <c r="S27" s="10">
        <v>1000</v>
      </c>
      <c r="T27" s="247"/>
      <c r="U27" s="196"/>
      <c r="V27" s="218" t="s">
        <v>1522</v>
      </c>
      <c r="W27" s="218" t="s">
        <v>1209</v>
      </c>
      <c r="X27" s="141">
        <v>2045</v>
      </c>
      <c r="Y27" s="218">
        <v>39.910409999999999</v>
      </c>
      <c r="Z27" s="218">
        <v>-106.75167</v>
      </c>
      <c r="AA27" s="218" t="s">
        <v>1443</v>
      </c>
      <c r="AB27" s="196" t="s">
        <v>218</v>
      </c>
      <c r="AC27" s="218" t="s">
        <v>1130</v>
      </c>
      <c r="AD27" s="197" t="s">
        <v>875</v>
      </c>
      <c r="AE27" s="196" t="s">
        <v>1450</v>
      </c>
      <c r="AF27" s="218"/>
      <c r="AG27" s="196"/>
      <c r="AH27" s="196"/>
      <c r="AI27" s="246">
        <v>0</v>
      </c>
      <c r="AJ27" s="246">
        <v>0</v>
      </c>
      <c r="AK27" s="218" t="s">
        <v>435</v>
      </c>
      <c r="AL27" s="218" t="s">
        <v>927</v>
      </c>
      <c r="AM27" s="196"/>
      <c r="AN27" s="196" t="s">
        <v>441</v>
      </c>
      <c r="AO27" s="196" t="s">
        <v>760</v>
      </c>
      <c r="AP27" s="196" t="s">
        <v>1158</v>
      </c>
      <c r="AQ27" s="213" t="s">
        <v>586</v>
      </c>
      <c r="AR27" s="111" t="s">
        <v>305</v>
      </c>
      <c r="AS27" s="223"/>
      <c r="AT27" s="223"/>
      <c r="AU27" s="223"/>
      <c r="AV27" s="218">
        <v>3.6700000000000003E-2</v>
      </c>
      <c r="AW27" s="228"/>
      <c r="AX27" s="217"/>
      <c r="AY27" s="217"/>
      <c r="AZ27" s="217"/>
      <c r="BA27" s="196"/>
      <c r="BB27" s="196"/>
      <c r="BC27" s="196"/>
      <c r="BD27" s="229"/>
      <c r="BE27" s="218" t="s">
        <v>1005</v>
      </c>
      <c r="BF27" s="196" t="s">
        <v>195</v>
      </c>
      <c r="BG27" s="196"/>
      <c r="BH27" s="196" t="s">
        <v>1482</v>
      </c>
      <c r="BI27" s="197" t="s">
        <v>202</v>
      </c>
      <c r="BJ27" s="196"/>
      <c r="BK27" s="218" t="s">
        <v>1005</v>
      </c>
      <c r="BL27" s="220">
        <v>44068</v>
      </c>
      <c r="BM27" s="218" t="s">
        <v>1486</v>
      </c>
      <c r="BN27" s="218" t="s">
        <v>1487</v>
      </c>
      <c r="BO27" s="218"/>
      <c r="BP27" s="218" t="s">
        <v>1675</v>
      </c>
      <c r="BQ27" s="196"/>
    </row>
    <row r="28" spans="1:69" x14ac:dyDescent="0.25">
      <c r="A28" s="213"/>
      <c r="B28" s="196"/>
      <c r="C28" s="196"/>
      <c r="D28" s="111" t="s">
        <v>305</v>
      </c>
      <c r="E28" s="217">
        <v>59614</v>
      </c>
      <c r="F28" s="210" t="s">
        <v>305</v>
      </c>
      <c r="G28" s="196"/>
      <c r="H28" s="196"/>
      <c r="I28" s="111" t="s">
        <v>12</v>
      </c>
      <c r="J28" s="218" t="s">
        <v>946</v>
      </c>
      <c r="K28" s="219">
        <v>44466</v>
      </c>
      <c r="L28" s="196"/>
      <c r="M28" s="245" t="s">
        <v>159</v>
      </c>
      <c r="N28" s="196"/>
      <c r="O28" s="218" t="s">
        <v>1388</v>
      </c>
      <c r="P28" s="220">
        <v>44104</v>
      </c>
      <c r="Q28" s="218" t="s">
        <v>1168</v>
      </c>
      <c r="R28" s="196"/>
      <c r="S28" s="10">
        <v>2000</v>
      </c>
      <c r="T28" s="247"/>
      <c r="U28" s="196"/>
      <c r="V28" s="218" t="s">
        <v>1523</v>
      </c>
      <c r="W28" s="218" t="s">
        <v>1210</v>
      </c>
      <c r="X28" s="141">
        <v>2045</v>
      </c>
      <c r="Y28" s="218">
        <v>39.910420000000002</v>
      </c>
      <c r="Z28" s="218">
        <v>-106.75167999999999</v>
      </c>
      <c r="AA28" s="218" t="s">
        <v>1443</v>
      </c>
      <c r="AB28" s="196" t="s">
        <v>218</v>
      </c>
      <c r="AC28" s="218" t="s">
        <v>1130</v>
      </c>
      <c r="AD28" s="197" t="s">
        <v>875</v>
      </c>
      <c r="AE28" s="196" t="s">
        <v>1450</v>
      </c>
      <c r="AF28" s="218"/>
      <c r="AG28" s="196"/>
      <c r="AH28" s="196"/>
      <c r="AI28" s="246">
        <v>0</v>
      </c>
      <c r="AJ28" s="246">
        <v>0</v>
      </c>
      <c r="AK28" s="218" t="s">
        <v>435</v>
      </c>
      <c r="AL28" s="218" t="s">
        <v>927</v>
      </c>
      <c r="AM28" s="196"/>
      <c r="AN28" s="196" t="s">
        <v>441</v>
      </c>
      <c r="AO28" s="196" t="s">
        <v>760</v>
      </c>
      <c r="AP28" s="196" t="s">
        <v>1158</v>
      </c>
      <c r="AQ28" s="213" t="s">
        <v>586</v>
      </c>
      <c r="AR28" s="111" t="s">
        <v>305</v>
      </c>
      <c r="AS28" s="223"/>
      <c r="AT28" s="223"/>
      <c r="AU28" s="223"/>
      <c r="AV28" s="218">
        <v>0.11310000000000001</v>
      </c>
      <c r="AW28" s="228"/>
      <c r="AX28" s="217"/>
      <c r="AY28" s="217"/>
      <c r="AZ28" s="217"/>
      <c r="BA28" s="196"/>
      <c r="BB28" s="196"/>
      <c r="BC28" s="196"/>
      <c r="BD28" s="229"/>
      <c r="BE28" s="218" t="s">
        <v>1006</v>
      </c>
      <c r="BF28" s="196" t="s">
        <v>195</v>
      </c>
      <c r="BG28" s="196"/>
      <c r="BH28" s="196" t="s">
        <v>1483</v>
      </c>
      <c r="BI28" s="197" t="s">
        <v>202</v>
      </c>
      <c r="BJ28" s="196"/>
      <c r="BK28" s="218" t="s">
        <v>1006</v>
      </c>
      <c r="BL28" s="220">
        <v>44068</v>
      </c>
      <c r="BM28" s="218" t="s">
        <v>1486</v>
      </c>
      <c r="BN28" s="218" t="s">
        <v>1487</v>
      </c>
      <c r="BO28" s="218"/>
      <c r="BP28" s="218" t="s">
        <v>1676</v>
      </c>
      <c r="BQ28" s="196"/>
    </row>
    <row r="29" spans="1:69" x14ac:dyDescent="0.25">
      <c r="A29" s="213"/>
      <c r="B29" s="197"/>
      <c r="C29" s="196"/>
      <c r="D29" s="111" t="s">
        <v>305</v>
      </c>
      <c r="E29" s="217">
        <v>59615</v>
      </c>
      <c r="F29" s="210" t="s">
        <v>305</v>
      </c>
      <c r="G29" s="196"/>
      <c r="H29" s="196"/>
      <c r="I29" s="111" t="s">
        <v>12</v>
      </c>
      <c r="J29" s="218" t="s">
        <v>946</v>
      </c>
      <c r="K29" s="219">
        <v>44466</v>
      </c>
      <c r="L29" s="196"/>
      <c r="M29" s="245" t="s">
        <v>159</v>
      </c>
      <c r="N29" s="196"/>
      <c r="O29" s="218" t="s">
        <v>1388</v>
      </c>
      <c r="P29" s="220">
        <v>44112</v>
      </c>
      <c r="Q29" s="218" t="s">
        <v>1167</v>
      </c>
      <c r="R29" s="196"/>
      <c r="S29" s="10">
        <v>2000</v>
      </c>
      <c r="T29" s="247"/>
      <c r="U29" s="196"/>
      <c r="V29" s="218" t="s">
        <v>1524</v>
      </c>
      <c r="W29" s="218" t="s">
        <v>1211</v>
      </c>
      <c r="X29" s="141">
        <v>2306</v>
      </c>
      <c r="Y29" s="218">
        <v>40.460680000000004</v>
      </c>
      <c r="Z29" s="218">
        <v>-106.26926</v>
      </c>
      <c r="AA29" s="218" t="s">
        <v>1443</v>
      </c>
      <c r="AB29" s="196" t="s">
        <v>218</v>
      </c>
      <c r="AC29" s="218" t="s">
        <v>1130</v>
      </c>
      <c r="AD29" s="197" t="s">
        <v>875</v>
      </c>
      <c r="AE29" s="196" t="s">
        <v>1450</v>
      </c>
      <c r="AF29" s="218"/>
      <c r="AG29" s="196"/>
      <c r="AH29" s="196"/>
      <c r="AI29" s="246">
        <v>2</v>
      </c>
      <c r="AJ29" s="246">
        <v>2</v>
      </c>
      <c r="AK29" s="218" t="s">
        <v>473</v>
      </c>
      <c r="AL29" s="218" t="s">
        <v>925</v>
      </c>
      <c r="AM29" s="196"/>
      <c r="AN29" s="196" t="s">
        <v>441</v>
      </c>
      <c r="AO29" s="196" t="s">
        <v>760</v>
      </c>
      <c r="AP29" s="196" t="s">
        <v>1158</v>
      </c>
      <c r="AQ29" s="213" t="s">
        <v>586</v>
      </c>
      <c r="AR29" s="111" t="s">
        <v>305</v>
      </c>
      <c r="AS29" s="223"/>
      <c r="AT29" s="223"/>
      <c r="AU29" s="223"/>
      <c r="AV29" s="218">
        <v>7.1099999999999997E-2</v>
      </c>
      <c r="AW29" s="228"/>
      <c r="AX29" s="217"/>
      <c r="AY29" s="217"/>
      <c r="AZ29" s="217"/>
      <c r="BA29" s="196"/>
      <c r="BB29" s="196"/>
      <c r="BC29" s="196"/>
      <c r="BD29" s="229"/>
      <c r="BE29" s="218" t="s">
        <v>1007</v>
      </c>
      <c r="BF29" s="196" t="s">
        <v>195</v>
      </c>
      <c r="BG29" s="196"/>
      <c r="BH29" s="196" t="s">
        <v>1484</v>
      </c>
      <c r="BI29" s="197" t="s">
        <v>202</v>
      </c>
      <c r="BJ29" s="196"/>
      <c r="BK29" s="218" t="s">
        <v>1007</v>
      </c>
      <c r="BL29" s="220">
        <v>44112</v>
      </c>
      <c r="BM29" s="218" t="s">
        <v>1486</v>
      </c>
      <c r="BN29" s="218" t="s">
        <v>1487</v>
      </c>
      <c r="BO29" s="218"/>
      <c r="BP29" s="218" t="s">
        <v>1677</v>
      </c>
      <c r="BQ29" s="196"/>
    </row>
    <row r="30" spans="1:69" x14ac:dyDescent="0.25">
      <c r="A30" s="213"/>
      <c r="B30" s="196"/>
      <c r="C30" s="196"/>
      <c r="D30" s="111" t="s">
        <v>305</v>
      </c>
      <c r="E30" s="217">
        <v>59616</v>
      </c>
      <c r="F30" s="210" t="s">
        <v>305</v>
      </c>
      <c r="G30" s="196"/>
      <c r="H30" s="196"/>
      <c r="I30" s="111" t="s">
        <v>12</v>
      </c>
      <c r="J30" s="218" t="s">
        <v>1743</v>
      </c>
      <c r="K30" s="219">
        <v>44466</v>
      </c>
      <c r="L30" s="196"/>
      <c r="M30" s="245" t="s">
        <v>159</v>
      </c>
      <c r="N30" s="196"/>
      <c r="O30" s="218" t="s">
        <v>1390</v>
      </c>
      <c r="P30" s="220">
        <v>44126</v>
      </c>
      <c r="Q30" s="218" t="s">
        <v>1170</v>
      </c>
      <c r="R30" s="196"/>
      <c r="S30" s="10">
        <v>1000</v>
      </c>
      <c r="T30" s="247"/>
      <c r="U30" s="196"/>
      <c r="V30" s="218" t="s">
        <v>1525</v>
      </c>
      <c r="W30" s="218" t="s">
        <v>1212</v>
      </c>
      <c r="X30" s="141">
        <v>2085</v>
      </c>
      <c r="Y30" s="218">
        <v>40.454320000000003</v>
      </c>
      <c r="Z30" s="218">
        <v>-106.91705</v>
      </c>
      <c r="AA30" s="218" t="s">
        <v>1443</v>
      </c>
      <c r="AB30" s="196" t="s">
        <v>218</v>
      </c>
      <c r="AC30" s="218" t="s">
        <v>1130</v>
      </c>
      <c r="AD30" s="197" t="s">
        <v>875</v>
      </c>
      <c r="AE30" s="196" t="s">
        <v>1450</v>
      </c>
      <c r="AF30" s="218"/>
      <c r="AG30" s="196"/>
      <c r="AH30" s="196"/>
      <c r="AI30" s="246">
        <v>10</v>
      </c>
      <c r="AJ30" s="246">
        <v>10</v>
      </c>
      <c r="AK30" s="218" t="s">
        <v>435</v>
      </c>
      <c r="AL30" s="218" t="s">
        <v>1364</v>
      </c>
      <c r="AM30" s="196"/>
      <c r="AN30" s="196" t="s">
        <v>457</v>
      </c>
      <c r="AO30" s="196" t="s">
        <v>760</v>
      </c>
      <c r="AP30" s="196" t="s">
        <v>1158</v>
      </c>
      <c r="AQ30" s="213" t="s">
        <v>586</v>
      </c>
      <c r="AR30" s="111" t="s">
        <v>305</v>
      </c>
      <c r="AS30" s="223"/>
      <c r="AT30" s="223"/>
      <c r="AU30" s="223"/>
      <c r="AV30" s="218">
        <v>1.9099999999999999E-2</v>
      </c>
      <c r="AW30" s="228"/>
      <c r="AX30" s="217"/>
      <c r="AY30" s="217"/>
      <c r="AZ30" s="217"/>
      <c r="BA30" s="196"/>
      <c r="BB30" s="196"/>
      <c r="BC30" s="196"/>
      <c r="BD30" s="229"/>
      <c r="BE30" s="218" t="s">
        <v>1008</v>
      </c>
      <c r="BF30" s="196" t="s">
        <v>195</v>
      </c>
      <c r="BG30" s="196"/>
      <c r="BH30" s="196" t="s">
        <v>1485</v>
      </c>
      <c r="BI30" s="197" t="s">
        <v>202</v>
      </c>
      <c r="BJ30" s="196"/>
      <c r="BK30" s="218" t="s">
        <v>1008</v>
      </c>
      <c r="BL30" s="220">
        <v>44083</v>
      </c>
      <c r="BM30" s="218" t="s">
        <v>1486</v>
      </c>
      <c r="BN30" s="218" t="s">
        <v>1487</v>
      </c>
      <c r="BO30" s="218"/>
      <c r="BP30" s="218" t="s">
        <v>1678</v>
      </c>
      <c r="BQ30" s="196"/>
    </row>
    <row r="31" spans="1:69" x14ac:dyDescent="0.25">
      <c r="A31" s="213"/>
      <c r="B31" s="197"/>
      <c r="C31" s="196"/>
      <c r="D31" s="111" t="s">
        <v>305</v>
      </c>
      <c r="E31" s="217">
        <v>59617</v>
      </c>
      <c r="F31" s="210" t="s">
        <v>305</v>
      </c>
      <c r="G31" s="196"/>
      <c r="H31" s="196"/>
      <c r="I31" s="111" t="s">
        <v>12</v>
      </c>
      <c r="J31" s="218" t="s">
        <v>949</v>
      </c>
      <c r="K31" s="219">
        <v>44466</v>
      </c>
      <c r="L31" s="196"/>
      <c r="M31" s="245" t="s">
        <v>159</v>
      </c>
      <c r="N31" s="196"/>
      <c r="O31" s="218"/>
      <c r="P31" s="220">
        <v>44068</v>
      </c>
      <c r="Q31" s="218" t="s">
        <v>1171</v>
      </c>
      <c r="R31" s="196"/>
      <c r="S31" s="10">
        <v>200</v>
      </c>
      <c r="T31" s="247"/>
      <c r="U31" s="196"/>
      <c r="V31" s="218" t="s">
        <v>1526</v>
      </c>
      <c r="W31" s="218" t="s">
        <v>1213</v>
      </c>
      <c r="X31" s="141">
        <v>1947.672</v>
      </c>
      <c r="Y31" s="218">
        <v>38.052909999999997</v>
      </c>
      <c r="Z31" s="218">
        <v>-119.07544</v>
      </c>
      <c r="AA31" s="218" t="s">
        <v>1444</v>
      </c>
      <c r="AB31" s="196" t="s">
        <v>437</v>
      </c>
      <c r="AC31" s="218" t="s">
        <v>1131</v>
      </c>
      <c r="AD31" s="197" t="s">
        <v>875</v>
      </c>
      <c r="AE31" s="196" t="s">
        <v>1451</v>
      </c>
      <c r="AF31" s="218"/>
      <c r="AG31" s="196"/>
      <c r="AH31" s="196"/>
      <c r="AI31" s="246"/>
      <c r="AJ31" s="246"/>
      <c r="AK31" s="218"/>
      <c r="AL31" s="218"/>
      <c r="AM31" s="196"/>
      <c r="AN31" s="196" t="s">
        <v>452</v>
      </c>
      <c r="AO31" s="196" t="s">
        <v>607</v>
      </c>
      <c r="AP31" s="196" t="s">
        <v>1159</v>
      </c>
      <c r="AQ31" s="213" t="s">
        <v>586</v>
      </c>
      <c r="AR31" s="111" t="s">
        <v>305</v>
      </c>
      <c r="AS31" s="223"/>
      <c r="AT31" s="223"/>
      <c r="AU31" s="223"/>
      <c r="AV31" s="218">
        <v>3.4200000000000001E-2</v>
      </c>
      <c r="AW31" s="228"/>
      <c r="AX31" s="217"/>
      <c r="AY31" s="217"/>
      <c r="AZ31" s="217"/>
      <c r="BA31" s="196"/>
      <c r="BB31" s="196"/>
      <c r="BC31" s="196"/>
      <c r="BD31" s="229"/>
      <c r="BE31" s="218" t="s">
        <v>1009</v>
      </c>
      <c r="BF31" s="196" t="s">
        <v>195</v>
      </c>
      <c r="BG31" s="196"/>
      <c r="BH31" s="196"/>
      <c r="BI31" s="197"/>
      <c r="BJ31" s="196"/>
      <c r="BK31" s="218" t="s">
        <v>1009</v>
      </c>
      <c r="BL31" s="220"/>
      <c r="BM31" s="218"/>
      <c r="BN31" s="218"/>
      <c r="BO31" s="218"/>
      <c r="BP31" s="218" t="s">
        <v>1679</v>
      </c>
      <c r="BQ31" s="196"/>
    </row>
    <row r="32" spans="1:69" x14ac:dyDescent="0.25">
      <c r="A32" s="213"/>
      <c r="B32" s="196"/>
      <c r="C32" s="196"/>
      <c r="D32" s="111" t="s">
        <v>305</v>
      </c>
      <c r="E32" s="217">
        <v>59618</v>
      </c>
      <c r="F32" s="210" t="s">
        <v>305</v>
      </c>
      <c r="G32" s="196"/>
      <c r="H32" s="196"/>
      <c r="I32" s="111" t="s">
        <v>12</v>
      </c>
      <c r="J32" s="218" t="s">
        <v>898</v>
      </c>
      <c r="K32" s="219">
        <v>44466</v>
      </c>
      <c r="L32" s="196"/>
      <c r="M32" s="245" t="s">
        <v>159</v>
      </c>
      <c r="N32" s="196"/>
      <c r="O32" s="218"/>
      <c r="P32" s="220">
        <v>44076</v>
      </c>
      <c r="Q32" s="218" t="s">
        <v>1171</v>
      </c>
      <c r="R32" s="196"/>
      <c r="S32" s="10">
        <v>5000</v>
      </c>
      <c r="T32" s="247"/>
      <c r="U32" s="196"/>
      <c r="V32" s="218" t="s">
        <v>1527</v>
      </c>
      <c r="W32" s="218" t="s">
        <v>1214</v>
      </c>
      <c r="X32" s="141">
        <v>2301.2400000000002</v>
      </c>
      <c r="Y32" s="218">
        <v>37.834879999999998</v>
      </c>
      <c r="Z32" s="218">
        <v>-119.12738</v>
      </c>
      <c r="AA32" s="218" t="s">
        <v>1444</v>
      </c>
      <c r="AB32" s="196" t="s">
        <v>437</v>
      </c>
      <c r="AC32" s="218" t="s">
        <v>1131</v>
      </c>
      <c r="AD32" s="197" t="s">
        <v>875</v>
      </c>
      <c r="AE32" s="196" t="s">
        <v>1451</v>
      </c>
      <c r="AF32" s="218"/>
      <c r="AG32" s="196"/>
      <c r="AH32" s="196"/>
      <c r="AI32" s="246">
        <v>45</v>
      </c>
      <c r="AJ32" s="246">
        <v>45</v>
      </c>
      <c r="AK32" s="218" t="s">
        <v>466</v>
      </c>
      <c r="AL32" s="218" t="s">
        <v>924</v>
      </c>
      <c r="AM32" s="196"/>
      <c r="AN32" s="196" t="s">
        <v>452</v>
      </c>
      <c r="AO32" s="196" t="s">
        <v>744</v>
      </c>
      <c r="AP32" s="196" t="s">
        <v>1160</v>
      </c>
      <c r="AQ32" s="213" t="s">
        <v>586</v>
      </c>
      <c r="AR32" s="111" t="s">
        <v>305</v>
      </c>
      <c r="AS32" s="223"/>
      <c r="AT32" s="223"/>
      <c r="AU32" s="223"/>
      <c r="AV32" s="218">
        <v>0.32919999999999999</v>
      </c>
      <c r="AW32" s="228"/>
      <c r="AX32" s="217"/>
      <c r="AY32" s="217"/>
      <c r="AZ32" s="217"/>
      <c r="BA32" s="196"/>
      <c r="BB32" s="196"/>
      <c r="BC32" s="196"/>
      <c r="BD32" s="229"/>
      <c r="BE32" s="218" t="s">
        <v>1010</v>
      </c>
      <c r="BF32" s="196" t="s">
        <v>195</v>
      </c>
      <c r="BG32" s="196"/>
      <c r="BH32" s="196"/>
      <c r="BI32" s="197"/>
      <c r="BJ32" s="196"/>
      <c r="BK32" s="218" t="s">
        <v>1010</v>
      </c>
      <c r="BL32" s="220"/>
      <c r="BM32" s="218"/>
      <c r="BN32" s="218"/>
      <c r="BO32" s="218"/>
      <c r="BP32" s="218" t="s">
        <v>1680</v>
      </c>
      <c r="BQ32" s="196"/>
    </row>
    <row r="33" spans="1:69" x14ac:dyDescent="0.25">
      <c r="A33" s="213"/>
      <c r="B33" s="196"/>
      <c r="C33" s="196"/>
      <c r="D33" s="111" t="s">
        <v>305</v>
      </c>
      <c r="E33" s="217">
        <v>59619</v>
      </c>
      <c r="F33" s="210" t="s">
        <v>305</v>
      </c>
      <c r="G33" s="196"/>
      <c r="H33" s="196"/>
      <c r="I33" s="111" t="s">
        <v>12</v>
      </c>
      <c r="J33" s="218" t="s">
        <v>950</v>
      </c>
      <c r="K33" s="219">
        <v>44466</v>
      </c>
      <c r="L33" s="196"/>
      <c r="M33" s="245" t="s">
        <v>159</v>
      </c>
      <c r="N33" s="196"/>
      <c r="O33" s="218"/>
      <c r="P33" s="220">
        <v>44077</v>
      </c>
      <c r="Q33" s="218" t="s">
        <v>1171</v>
      </c>
      <c r="R33" s="196"/>
      <c r="S33" s="10">
        <v>500</v>
      </c>
      <c r="T33" s="247"/>
      <c r="U33" s="196"/>
      <c r="V33" s="218" t="s">
        <v>1528</v>
      </c>
      <c r="W33" s="218" t="s">
        <v>1215</v>
      </c>
      <c r="X33" s="141">
        <v>2208.5808000000002</v>
      </c>
      <c r="Y33" s="218">
        <v>37.850439999999999</v>
      </c>
      <c r="Z33" s="218">
        <v>-119.08277</v>
      </c>
      <c r="AA33" s="218" t="s">
        <v>1444</v>
      </c>
      <c r="AB33" s="196" t="s">
        <v>437</v>
      </c>
      <c r="AC33" s="218" t="s">
        <v>1132</v>
      </c>
      <c r="AD33" s="197" t="s">
        <v>875</v>
      </c>
      <c r="AE33" s="196" t="s">
        <v>1451</v>
      </c>
      <c r="AF33" s="218"/>
      <c r="AG33" s="196"/>
      <c r="AH33" s="196"/>
      <c r="AI33" s="246">
        <v>45</v>
      </c>
      <c r="AJ33" s="246">
        <v>45</v>
      </c>
      <c r="AK33" s="218" t="s">
        <v>472</v>
      </c>
      <c r="AL33" s="218"/>
      <c r="AM33" s="196"/>
      <c r="AN33" s="196" t="s">
        <v>452</v>
      </c>
      <c r="AO33" s="196" t="s">
        <v>607</v>
      </c>
      <c r="AP33" s="196" t="s">
        <v>1159</v>
      </c>
      <c r="AQ33" s="213" t="s">
        <v>586</v>
      </c>
      <c r="AR33" s="111" t="s">
        <v>305</v>
      </c>
      <c r="AS33" s="223"/>
      <c r="AT33" s="223"/>
      <c r="AU33" s="223"/>
      <c r="AV33" s="218">
        <v>0.61760000000000004</v>
      </c>
      <c r="AW33" s="228"/>
      <c r="AX33" s="217"/>
      <c r="AY33" s="217"/>
      <c r="AZ33" s="217"/>
      <c r="BA33" s="196"/>
      <c r="BB33" s="196"/>
      <c r="BC33" s="196"/>
      <c r="BD33" s="229"/>
      <c r="BE33" s="218" t="s">
        <v>1011</v>
      </c>
      <c r="BF33" s="196" t="s">
        <v>195</v>
      </c>
      <c r="BG33" s="196"/>
      <c r="BH33" s="196"/>
      <c r="BI33" s="197"/>
      <c r="BJ33" s="196"/>
      <c r="BK33" s="218" t="s">
        <v>1011</v>
      </c>
      <c r="BL33" s="220"/>
      <c r="BM33" s="218"/>
      <c r="BN33" s="218"/>
      <c r="BO33" s="218"/>
      <c r="BP33" s="218" t="s">
        <v>1681</v>
      </c>
      <c r="BQ33" s="196"/>
    </row>
    <row r="34" spans="1:69" x14ac:dyDescent="0.25">
      <c r="A34" s="213"/>
      <c r="B34" s="196"/>
      <c r="C34" s="196"/>
      <c r="D34" s="111" t="s">
        <v>305</v>
      </c>
      <c r="E34" s="217">
        <v>59620</v>
      </c>
      <c r="F34" s="210" t="s">
        <v>305</v>
      </c>
      <c r="G34" s="196"/>
      <c r="H34" s="196"/>
      <c r="I34" s="111" t="s">
        <v>12</v>
      </c>
      <c r="J34" s="218" t="s">
        <v>951</v>
      </c>
      <c r="K34" s="219">
        <v>44466</v>
      </c>
      <c r="L34" s="196"/>
      <c r="M34" s="245" t="s">
        <v>159</v>
      </c>
      <c r="N34" s="196"/>
      <c r="O34" s="218"/>
      <c r="P34" s="220">
        <v>44084</v>
      </c>
      <c r="Q34" s="218" t="s">
        <v>1172</v>
      </c>
      <c r="R34" s="196"/>
      <c r="S34" s="10">
        <v>75</v>
      </c>
      <c r="T34" s="247"/>
      <c r="U34" s="196" t="s">
        <v>1647</v>
      </c>
      <c r="V34" s="218" t="s">
        <v>1529</v>
      </c>
      <c r="W34" s="218" t="s">
        <v>1216</v>
      </c>
      <c r="X34" s="141">
        <v>1534.0584000000001</v>
      </c>
      <c r="Y34" s="218">
        <v>39.239249999999998</v>
      </c>
      <c r="Z34" s="218">
        <v>-119.76730000000001</v>
      </c>
      <c r="AA34" s="218"/>
      <c r="AB34" s="196" t="s">
        <v>437</v>
      </c>
      <c r="AC34" s="218" t="s">
        <v>1132</v>
      </c>
      <c r="AD34" s="197" t="s">
        <v>875</v>
      </c>
      <c r="AE34" s="196" t="s">
        <v>1451</v>
      </c>
      <c r="AF34" s="218"/>
      <c r="AG34" s="196"/>
      <c r="AH34" s="196"/>
      <c r="AI34" s="246"/>
      <c r="AJ34" s="246"/>
      <c r="AK34" s="218"/>
      <c r="AL34" s="218"/>
      <c r="AM34" s="196"/>
      <c r="AN34" s="196" t="s">
        <v>452</v>
      </c>
      <c r="AO34" s="196" t="s">
        <v>607</v>
      </c>
      <c r="AP34" s="196" t="s">
        <v>1159</v>
      </c>
      <c r="AQ34" s="213" t="s">
        <v>586</v>
      </c>
      <c r="AR34" s="111" t="s">
        <v>305</v>
      </c>
      <c r="AS34" s="223"/>
      <c r="AT34" s="223"/>
      <c r="AU34" s="223"/>
      <c r="AV34" s="218">
        <v>0.45269999999999999</v>
      </c>
      <c r="AW34" s="228"/>
      <c r="AX34" s="217"/>
      <c r="AY34" s="217"/>
      <c r="AZ34" s="217"/>
      <c r="BA34" s="196"/>
      <c r="BB34" s="196"/>
      <c r="BC34" s="196"/>
      <c r="BD34" s="229"/>
      <c r="BE34" s="218" t="s">
        <v>1012</v>
      </c>
      <c r="BF34" s="196" t="s">
        <v>195</v>
      </c>
      <c r="BG34" s="196"/>
      <c r="BH34" s="196"/>
      <c r="BI34" s="197"/>
      <c r="BJ34" s="196"/>
      <c r="BK34" s="218" t="s">
        <v>1012</v>
      </c>
      <c r="BL34" s="220"/>
      <c r="BM34" s="218"/>
      <c r="BN34" s="218"/>
      <c r="BO34" s="218"/>
      <c r="BP34" s="218" t="s">
        <v>1682</v>
      </c>
      <c r="BQ34" s="196"/>
    </row>
    <row r="35" spans="1:69" x14ac:dyDescent="0.25">
      <c r="A35" s="213"/>
      <c r="B35" s="197"/>
      <c r="C35" s="196"/>
      <c r="D35" s="111" t="s">
        <v>305</v>
      </c>
      <c r="E35" s="217">
        <v>59621</v>
      </c>
      <c r="F35" s="210" t="s">
        <v>305</v>
      </c>
      <c r="G35" s="196"/>
      <c r="H35" s="196"/>
      <c r="I35" s="111" t="s">
        <v>12</v>
      </c>
      <c r="J35" s="218" t="s">
        <v>947</v>
      </c>
      <c r="K35" s="219">
        <v>44466</v>
      </c>
      <c r="L35" s="196"/>
      <c r="M35" s="245" t="s">
        <v>159</v>
      </c>
      <c r="N35" s="196"/>
      <c r="O35" s="218"/>
      <c r="P35" s="220">
        <v>44096</v>
      </c>
      <c r="Q35" s="218" t="s">
        <v>1173</v>
      </c>
      <c r="R35" s="196"/>
      <c r="S35" s="10">
        <v>50</v>
      </c>
      <c r="T35" s="247"/>
      <c r="U35" s="196" t="s">
        <v>1648</v>
      </c>
      <c r="V35" s="218" t="s">
        <v>1530</v>
      </c>
      <c r="W35" s="218" t="s">
        <v>1217</v>
      </c>
      <c r="X35" s="141">
        <v>1408.7856000000002</v>
      </c>
      <c r="Y35" s="218">
        <v>38.782940000000004</v>
      </c>
      <c r="Z35" s="218">
        <v>-119.0333</v>
      </c>
      <c r="AA35" s="218" t="s">
        <v>1445</v>
      </c>
      <c r="AB35" s="196" t="s">
        <v>437</v>
      </c>
      <c r="AC35" s="218" t="s">
        <v>1131</v>
      </c>
      <c r="AD35" s="197" t="s">
        <v>875</v>
      </c>
      <c r="AE35" s="196" t="s">
        <v>1451</v>
      </c>
      <c r="AF35" s="218"/>
      <c r="AG35" s="196"/>
      <c r="AH35" s="196"/>
      <c r="AI35" s="246"/>
      <c r="AJ35" s="246"/>
      <c r="AK35" s="218"/>
      <c r="AL35" s="218"/>
      <c r="AM35" s="196"/>
      <c r="AN35" s="196" t="s">
        <v>452</v>
      </c>
      <c r="AO35" s="196" t="s">
        <v>607</v>
      </c>
      <c r="AP35" s="196" t="s">
        <v>1159</v>
      </c>
      <c r="AQ35" s="213" t="s">
        <v>586</v>
      </c>
      <c r="AR35" s="111" t="s">
        <v>305</v>
      </c>
      <c r="AS35" s="223"/>
      <c r="AT35" s="223"/>
      <c r="AU35" s="223"/>
      <c r="AV35" s="218">
        <v>0.51800000000000002</v>
      </c>
      <c r="AW35" s="228"/>
      <c r="AX35" s="217"/>
      <c r="AY35" s="217"/>
      <c r="AZ35" s="217"/>
      <c r="BA35" s="196"/>
      <c r="BB35" s="196"/>
      <c r="BC35" s="196"/>
      <c r="BD35" s="229"/>
      <c r="BE35" s="218" t="s">
        <v>1013</v>
      </c>
      <c r="BF35" s="196" t="s">
        <v>195</v>
      </c>
      <c r="BG35" s="196"/>
      <c r="BH35" s="196"/>
      <c r="BI35" s="197"/>
      <c r="BJ35" s="196"/>
      <c r="BK35" s="218" t="s">
        <v>1013</v>
      </c>
      <c r="BL35" s="220"/>
      <c r="BM35" s="218"/>
      <c r="BN35" s="218"/>
      <c r="BO35" s="218"/>
      <c r="BP35" s="218" t="s">
        <v>1683</v>
      </c>
      <c r="BQ35" s="196"/>
    </row>
    <row r="36" spans="1:69" x14ac:dyDescent="0.25">
      <c r="A36" s="213"/>
      <c r="B36" s="196"/>
      <c r="C36" s="196"/>
      <c r="D36" s="111" t="s">
        <v>305</v>
      </c>
      <c r="E36" s="217">
        <v>59622</v>
      </c>
      <c r="F36" s="210" t="s">
        <v>305</v>
      </c>
      <c r="G36" s="196"/>
      <c r="H36" s="196"/>
      <c r="I36" s="111" t="s">
        <v>12</v>
      </c>
      <c r="J36" s="218" t="s">
        <v>952</v>
      </c>
      <c r="K36" s="219">
        <v>44466</v>
      </c>
      <c r="L36" s="196"/>
      <c r="M36" s="245" t="s">
        <v>159</v>
      </c>
      <c r="N36" s="196"/>
      <c r="O36" s="218"/>
      <c r="P36" s="220">
        <v>44096</v>
      </c>
      <c r="Q36" s="218" t="s">
        <v>1173</v>
      </c>
      <c r="R36" s="196"/>
      <c r="S36" s="10">
        <v>75</v>
      </c>
      <c r="T36" s="247"/>
      <c r="U36" s="196" t="s">
        <v>1644</v>
      </c>
      <c r="V36" s="218" t="s">
        <v>1531</v>
      </c>
      <c r="W36" s="218" t="s">
        <v>1218</v>
      </c>
      <c r="X36" s="141">
        <v>1423.4160000000002</v>
      </c>
      <c r="Y36" s="218">
        <v>38.765189999999997</v>
      </c>
      <c r="Z36" s="218">
        <v>-119.01963000000001</v>
      </c>
      <c r="AA36" s="218"/>
      <c r="AB36" s="196" t="s">
        <v>218</v>
      </c>
      <c r="AC36" s="218" t="s">
        <v>1133</v>
      </c>
      <c r="AD36" s="197" t="s">
        <v>875</v>
      </c>
      <c r="AE36" s="196" t="s">
        <v>1451</v>
      </c>
      <c r="AF36" s="218"/>
      <c r="AG36" s="196"/>
      <c r="AH36" s="196"/>
      <c r="AI36" s="246"/>
      <c r="AJ36" s="246"/>
      <c r="AK36" s="218"/>
      <c r="AL36" s="218"/>
      <c r="AM36" s="196"/>
      <c r="AN36" s="196"/>
      <c r="AO36" s="196" t="s">
        <v>607</v>
      </c>
      <c r="AP36" s="196" t="s">
        <v>1159</v>
      </c>
      <c r="AQ36" s="213" t="s">
        <v>586</v>
      </c>
      <c r="AR36" s="111" t="s">
        <v>305</v>
      </c>
      <c r="AS36" s="223"/>
      <c r="AT36" s="223"/>
      <c r="AU36" s="223"/>
      <c r="AV36" s="218">
        <v>0.1045</v>
      </c>
      <c r="AW36" s="228"/>
      <c r="AX36" s="217"/>
      <c r="AY36" s="217"/>
      <c r="AZ36" s="217"/>
      <c r="BA36" s="196"/>
      <c r="BB36" s="196"/>
      <c r="BC36" s="196"/>
      <c r="BD36" s="229"/>
      <c r="BE36" s="218" t="s">
        <v>1014</v>
      </c>
      <c r="BF36" s="196" t="s">
        <v>195</v>
      </c>
      <c r="BG36" s="196"/>
      <c r="BH36" s="196"/>
      <c r="BI36" s="197"/>
      <c r="BJ36" s="196"/>
      <c r="BK36" s="218" t="s">
        <v>1014</v>
      </c>
      <c r="BL36" s="220"/>
      <c r="BM36" s="218"/>
      <c r="BN36" s="218"/>
      <c r="BO36" s="218"/>
      <c r="BP36" s="218" t="s">
        <v>1683</v>
      </c>
      <c r="BQ36" s="196"/>
    </row>
    <row r="37" spans="1:69" x14ac:dyDescent="0.25">
      <c r="A37" s="213"/>
      <c r="B37" s="197"/>
      <c r="C37" s="196"/>
      <c r="D37" s="111" t="s">
        <v>305</v>
      </c>
      <c r="E37" s="217">
        <v>59623</v>
      </c>
      <c r="F37" s="210" t="s">
        <v>305</v>
      </c>
      <c r="G37" s="196"/>
      <c r="H37" s="196"/>
      <c r="I37" s="111" t="s">
        <v>12</v>
      </c>
      <c r="J37" s="218" t="s">
        <v>953</v>
      </c>
      <c r="K37" s="219">
        <v>44466</v>
      </c>
      <c r="L37" s="196"/>
      <c r="M37" s="245" t="s">
        <v>159</v>
      </c>
      <c r="N37" s="196"/>
      <c r="O37" s="218"/>
      <c r="P37" s="220">
        <v>44114</v>
      </c>
      <c r="Q37" s="218" t="s">
        <v>1172</v>
      </c>
      <c r="R37" s="196"/>
      <c r="S37" s="10">
        <v>50</v>
      </c>
      <c r="T37" s="247"/>
      <c r="U37" s="196" t="s">
        <v>1644</v>
      </c>
      <c r="V37" s="218" t="s">
        <v>1532</v>
      </c>
      <c r="W37" s="218" t="s">
        <v>1219</v>
      </c>
      <c r="X37" s="141">
        <v>1534.0584000000001</v>
      </c>
      <c r="Y37" s="218">
        <v>39.243250000000003</v>
      </c>
      <c r="Z37" s="218">
        <v>-119.76819</v>
      </c>
      <c r="AA37" s="218" t="s">
        <v>1444</v>
      </c>
      <c r="AB37" s="196" t="s">
        <v>437</v>
      </c>
      <c r="AC37" s="218" t="s">
        <v>1134</v>
      </c>
      <c r="AD37" s="197" t="s">
        <v>875</v>
      </c>
      <c r="AE37" s="196" t="s">
        <v>1451</v>
      </c>
      <c r="AF37" s="218"/>
      <c r="AG37" s="196"/>
      <c r="AH37" s="196"/>
      <c r="AI37" s="246">
        <v>35</v>
      </c>
      <c r="AJ37" s="246">
        <v>35</v>
      </c>
      <c r="AK37" s="218" t="s">
        <v>472</v>
      </c>
      <c r="AL37" s="218"/>
      <c r="AM37" s="196"/>
      <c r="AN37" s="196" t="s">
        <v>452</v>
      </c>
      <c r="AO37" s="196" t="s">
        <v>607</v>
      </c>
      <c r="AP37" s="196" t="s">
        <v>1159</v>
      </c>
      <c r="AQ37" s="213" t="s">
        <v>586</v>
      </c>
      <c r="AR37" s="111" t="s">
        <v>305</v>
      </c>
      <c r="AS37" s="223"/>
      <c r="AT37" s="223"/>
      <c r="AU37" s="223"/>
      <c r="AV37" s="218">
        <v>1.3351</v>
      </c>
      <c r="AW37" s="228"/>
      <c r="AX37" s="217"/>
      <c r="AY37" s="217"/>
      <c r="AZ37" s="217"/>
      <c r="BA37" s="196"/>
      <c r="BB37" s="196"/>
      <c r="BC37" s="196"/>
      <c r="BD37" s="229"/>
      <c r="BE37" s="218" t="s">
        <v>1015</v>
      </c>
      <c r="BF37" s="196" t="s">
        <v>195</v>
      </c>
      <c r="BG37" s="196"/>
      <c r="BH37" s="196"/>
      <c r="BI37" s="197"/>
      <c r="BJ37" s="196"/>
      <c r="BK37" s="218" t="s">
        <v>1015</v>
      </c>
      <c r="BL37" s="220"/>
      <c r="BM37" s="218"/>
      <c r="BN37" s="218"/>
      <c r="BO37" s="218"/>
      <c r="BP37" s="218" t="s">
        <v>1684</v>
      </c>
      <c r="BQ37" s="196"/>
    </row>
    <row r="38" spans="1:69" x14ac:dyDescent="0.25">
      <c r="A38" s="213"/>
      <c r="B38" s="196"/>
      <c r="C38" s="196"/>
      <c r="D38" s="111" t="s">
        <v>305</v>
      </c>
      <c r="E38" s="217">
        <v>59624</v>
      </c>
      <c r="F38" s="210" t="s">
        <v>305</v>
      </c>
      <c r="G38" s="196"/>
      <c r="H38" s="196"/>
      <c r="I38" s="111" t="s">
        <v>12</v>
      </c>
      <c r="J38" s="218" t="s">
        <v>946</v>
      </c>
      <c r="K38" s="219">
        <v>44466</v>
      </c>
      <c r="L38" s="196"/>
      <c r="M38" s="245" t="s">
        <v>159</v>
      </c>
      <c r="N38" s="196"/>
      <c r="O38" s="218"/>
      <c r="P38" s="220">
        <v>44114</v>
      </c>
      <c r="Q38" s="218" t="s">
        <v>1172</v>
      </c>
      <c r="R38" s="196"/>
      <c r="S38" s="10">
        <v>200</v>
      </c>
      <c r="T38" s="247"/>
      <c r="U38" s="196" t="s">
        <v>1644</v>
      </c>
      <c r="V38" s="218" t="s">
        <v>1532</v>
      </c>
      <c r="W38" s="218" t="s">
        <v>1220</v>
      </c>
      <c r="X38" s="141">
        <v>1534.0584000000001</v>
      </c>
      <c r="Y38" s="218">
        <v>39.241500000000002</v>
      </c>
      <c r="Z38" s="218">
        <v>-119.76672000000001</v>
      </c>
      <c r="AA38" s="218" t="s">
        <v>1444</v>
      </c>
      <c r="AB38" s="196" t="s">
        <v>437</v>
      </c>
      <c r="AC38" s="218" t="s">
        <v>1135</v>
      </c>
      <c r="AD38" s="197" t="s">
        <v>875</v>
      </c>
      <c r="AE38" s="196" t="s">
        <v>1451</v>
      </c>
      <c r="AF38" s="218"/>
      <c r="AG38" s="196"/>
      <c r="AH38" s="196"/>
      <c r="AI38" s="246"/>
      <c r="AJ38" s="246"/>
      <c r="AK38" s="218"/>
      <c r="AL38" s="218"/>
      <c r="AM38" s="196"/>
      <c r="AN38" s="196" t="s">
        <v>452</v>
      </c>
      <c r="AO38" s="196" t="s">
        <v>607</v>
      </c>
      <c r="AP38" s="196" t="s">
        <v>1159</v>
      </c>
      <c r="AQ38" s="213" t="s">
        <v>586</v>
      </c>
      <c r="AR38" s="111" t="s">
        <v>305</v>
      </c>
      <c r="AS38" s="223"/>
      <c r="AT38" s="223"/>
      <c r="AU38" s="223"/>
      <c r="AV38" s="218">
        <v>7.2700000000000001E-2</v>
      </c>
      <c r="AW38" s="228"/>
      <c r="AX38" s="217"/>
      <c r="AY38" s="217"/>
      <c r="AZ38" s="217"/>
      <c r="BA38" s="196"/>
      <c r="BB38" s="196"/>
      <c r="BC38" s="196"/>
      <c r="BD38" s="229"/>
      <c r="BE38" s="218" t="s">
        <v>1016</v>
      </c>
      <c r="BF38" s="196" t="s">
        <v>195</v>
      </c>
      <c r="BG38" s="196"/>
      <c r="BH38" s="196"/>
      <c r="BI38" s="197"/>
      <c r="BJ38" s="196"/>
      <c r="BK38" s="218" t="s">
        <v>1016</v>
      </c>
      <c r="BL38" s="220"/>
      <c r="BM38" s="218"/>
      <c r="BN38" s="218"/>
      <c r="BO38" s="218"/>
      <c r="BP38" s="218" t="s">
        <v>1684</v>
      </c>
      <c r="BQ38" s="196"/>
    </row>
    <row r="39" spans="1:69" x14ac:dyDescent="0.25">
      <c r="A39" s="213"/>
      <c r="B39" s="196"/>
      <c r="C39" s="196"/>
      <c r="D39" s="111" t="s">
        <v>305</v>
      </c>
      <c r="E39" s="217">
        <v>59625</v>
      </c>
      <c r="F39" s="210" t="s">
        <v>305</v>
      </c>
      <c r="G39" s="196"/>
      <c r="H39" s="196"/>
      <c r="I39" s="111" t="s">
        <v>12</v>
      </c>
      <c r="J39" s="218" t="s">
        <v>954</v>
      </c>
      <c r="K39" s="219">
        <v>44466</v>
      </c>
      <c r="L39" s="196"/>
      <c r="M39" s="245" t="s">
        <v>159</v>
      </c>
      <c r="N39" s="196"/>
      <c r="O39" s="218"/>
      <c r="P39" s="220">
        <v>44114</v>
      </c>
      <c r="Q39" s="218" t="s">
        <v>1172</v>
      </c>
      <c r="R39" s="196"/>
      <c r="S39" s="10">
        <v>100</v>
      </c>
      <c r="T39" s="247"/>
      <c r="U39" s="196" t="s">
        <v>1644</v>
      </c>
      <c r="V39" s="218" t="s">
        <v>1532</v>
      </c>
      <c r="W39" s="218" t="s">
        <v>1221</v>
      </c>
      <c r="X39" s="141">
        <v>1706.88</v>
      </c>
      <c r="Y39" s="218">
        <v>39.237769999999998</v>
      </c>
      <c r="Z39" s="218">
        <v>-119.76366</v>
      </c>
      <c r="AA39" s="218" t="s">
        <v>1444</v>
      </c>
      <c r="AB39" s="196" t="s">
        <v>437</v>
      </c>
      <c r="AC39" s="218" t="s">
        <v>1136</v>
      </c>
      <c r="AD39" s="197" t="s">
        <v>875</v>
      </c>
      <c r="AE39" s="196" t="s">
        <v>1451</v>
      </c>
      <c r="AF39" s="218"/>
      <c r="AG39" s="196"/>
      <c r="AH39" s="196"/>
      <c r="AI39" s="246">
        <v>20</v>
      </c>
      <c r="AJ39" s="246">
        <v>20</v>
      </c>
      <c r="AK39" s="218" t="s">
        <v>471</v>
      </c>
      <c r="AL39" s="218" t="s">
        <v>922</v>
      </c>
      <c r="AM39" s="196"/>
      <c r="AN39" s="196" t="s">
        <v>452</v>
      </c>
      <c r="AO39" s="196" t="s">
        <v>607</v>
      </c>
      <c r="AP39" s="196" t="s">
        <v>1159</v>
      </c>
      <c r="AQ39" s="213" t="s">
        <v>586</v>
      </c>
      <c r="AR39" s="111" t="s">
        <v>305</v>
      </c>
      <c r="AS39" s="223"/>
      <c r="AT39" s="223"/>
      <c r="AU39" s="223"/>
      <c r="AV39" s="218">
        <v>4.4999999999999997E-3</v>
      </c>
      <c r="AW39" s="228"/>
      <c r="AX39" s="217"/>
      <c r="AY39" s="217"/>
      <c r="AZ39" s="217"/>
      <c r="BA39" s="196"/>
      <c r="BB39" s="196"/>
      <c r="BC39" s="196"/>
      <c r="BD39" s="229"/>
      <c r="BE39" s="218" t="s">
        <v>1017</v>
      </c>
      <c r="BF39" s="196" t="s">
        <v>195</v>
      </c>
      <c r="BG39" s="196"/>
      <c r="BH39" s="196"/>
      <c r="BI39" s="197"/>
      <c r="BJ39" s="196"/>
      <c r="BK39" s="218" t="s">
        <v>1017</v>
      </c>
      <c r="BL39" s="220"/>
      <c r="BM39" s="218"/>
      <c r="BN39" s="218"/>
      <c r="BO39" s="218"/>
      <c r="BP39" s="218" t="s">
        <v>1684</v>
      </c>
      <c r="BQ39" s="196"/>
    </row>
    <row r="40" spans="1:69" x14ac:dyDescent="0.25">
      <c r="A40" s="213"/>
      <c r="B40" s="196"/>
      <c r="C40" s="196"/>
      <c r="D40" s="111" t="s">
        <v>305</v>
      </c>
      <c r="E40" s="217">
        <v>59626</v>
      </c>
      <c r="F40" s="210" t="s">
        <v>305</v>
      </c>
      <c r="G40" s="196"/>
      <c r="H40" s="196"/>
      <c r="I40" s="111" t="s">
        <v>12</v>
      </c>
      <c r="J40" s="218" t="s">
        <v>955</v>
      </c>
      <c r="K40" s="219">
        <v>44466</v>
      </c>
      <c r="L40" s="196"/>
      <c r="M40" s="245" t="s">
        <v>159</v>
      </c>
      <c r="N40" s="196"/>
      <c r="O40" s="218"/>
      <c r="P40" s="220">
        <v>44118</v>
      </c>
      <c r="Q40" s="218" t="s">
        <v>1172</v>
      </c>
      <c r="R40" s="196"/>
      <c r="S40" s="10">
        <v>50</v>
      </c>
      <c r="T40" s="247"/>
      <c r="U40" s="196" t="s">
        <v>1644</v>
      </c>
      <c r="V40" s="218" t="s">
        <v>1533</v>
      </c>
      <c r="W40" s="218" t="s">
        <v>1222</v>
      </c>
      <c r="X40" s="141">
        <v>1569.72</v>
      </c>
      <c r="Y40" s="218">
        <v>39.237499999999997</v>
      </c>
      <c r="Z40" s="218">
        <v>-119.76336000000001</v>
      </c>
      <c r="AA40" s="218"/>
      <c r="AB40" s="196" t="s">
        <v>219</v>
      </c>
      <c r="AC40" s="218" t="s">
        <v>1137</v>
      </c>
      <c r="AD40" s="197" t="s">
        <v>875</v>
      </c>
      <c r="AE40" s="196" t="s">
        <v>1451</v>
      </c>
      <c r="AF40" s="218"/>
      <c r="AG40" s="196"/>
      <c r="AH40" s="196"/>
      <c r="AI40" s="246">
        <v>55</v>
      </c>
      <c r="AJ40" s="246">
        <v>55</v>
      </c>
      <c r="AK40" s="218" t="s">
        <v>469</v>
      </c>
      <c r="AL40" s="218" t="s">
        <v>923</v>
      </c>
      <c r="AM40" s="196"/>
      <c r="AN40" s="196" t="s">
        <v>457</v>
      </c>
      <c r="AO40" s="196" t="s">
        <v>607</v>
      </c>
      <c r="AP40" s="196" t="s">
        <v>1159</v>
      </c>
      <c r="AQ40" s="213" t="s">
        <v>586</v>
      </c>
      <c r="AR40" s="111" t="s">
        <v>305</v>
      </c>
      <c r="AS40" s="223"/>
      <c r="AT40" s="223"/>
      <c r="AU40" s="223"/>
      <c r="AV40" s="218">
        <v>3.0599999999999999E-2</v>
      </c>
      <c r="AW40" s="228"/>
      <c r="AX40" s="217"/>
      <c r="AY40" s="217"/>
      <c r="AZ40" s="217"/>
      <c r="BA40" s="196"/>
      <c r="BB40" s="196"/>
      <c r="BC40" s="196"/>
      <c r="BD40" s="229"/>
      <c r="BE40" s="218" t="s">
        <v>1018</v>
      </c>
      <c r="BF40" s="196" t="s">
        <v>195</v>
      </c>
      <c r="BG40" s="196"/>
      <c r="BH40" s="196"/>
      <c r="BI40" s="197"/>
      <c r="BJ40" s="196"/>
      <c r="BK40" s="218" t="s">
        <v>1018</v>
      </c>
      <c r="BL40" s="220"/>
      <c r="BM40" s="218"/>
      <c r="BN40" s="218"/>
      <c r="BO40" s="218"/>
      <c r="BP40" s="218" t="s">
        <v>1685</v>
      </c>
      <c r="BQ40" s="196"/>
    </row>
    <row r="41" spans="1:69" x14ac:dyDescent="0.25">
      <c r="A41" s="213"/>
      <c r="B41" s="197"/>
      <c r="C41" s="196"/>
      <c r="D41" s="111" t="s">
        <v>305</v>
      </c>
      <c r="E41" s="217">
        <v>59627</v>
      </c>
      <c r="F41" s="210" t="s">
        <v>305</v>
      </c>
      <c r="G41" s="196"/>
      <c r="H41" s="196"/>
      <c r="I41" s="111" t="s">
        <v>12</v>
      </c>
      <c r="J41" s="218" t="s">
        <v>890</v>
      </c>
      <c r="K41" s="219">
        <v>44466</v>
      </c>
      <c r="L41" s="196"/>
      <c r="M41" s="245" t="s">
        <v>159</v>
      </c>
      <c r="N41" s="196"/>
      <c r="O41" s="218"/>
      <c r="P41" s="220">
        <v>44118</v>
      </c>
      <c r="Q41" s="218" t="s">
        <v>1172</v>
      </c>
      <c r="R41" s="196"/>
      <c r="S41" s="10">
        <v>50</v>
      </c>
      <c r="T41" s="247"/>
      <c r="U41" s="196" t="s">
        <v>1644</v>
      </c>
      <c r="V41" s="218" t="s">
        <v>1534</v>
      </c>
      <c r="W41" s="218" t="s">
        <v>1223</v>
      </c>
      <c r="X41" s="141">
        <v>1554.48</v>
      </c>
      <c r="Y41" s="218">
        <v>39.237609999999997</v>
      </c>
      <c r="Z41" s="218">
        <v>-119.76361</v>
      </c>
      <c r="AA41" s="218" t="s">
        <v>599</v>
      </c>
      <c r="AB41" s="196" t="s">
        <v>218</v>
      </c>
      <c r="AC41" s="218" t="s">
        <v>1137</v>
      </c>
      <c r="AD41" s="197" t="s">
        <v>875</v>
      </c>
      <c r="AE41" s="196" t="s">
        <v>1451</v>
      </c>
      <c r="AF41" s="218"/>
      <c r="AG41" s="196"/>
      <c r="AH41" s="196"/>
      <c r="AI41" s="246">
        <v>50</v>
      </c>
      <c r="AJ41" s="246">
        <v>50</v>
      </c>
      <c r="AK41" s="218" t="s">
        <v>469</v>
      </c>
      <c r="AL41" s="218" t="s">
        <v>923</v>
      </c>
      <c r="AM41" s="196"/>
      <c r="AN41" s="196" t="s">
        <v>457</v>
      </c>
      <c r="AO41" s="196" t="s">
        <v>607</v>
      </c>
      <c r="AP41" s="196" t="s">
        <v>1159</v>
      </c>
      <c r="AQ41" s="213" t="s">
        <v>586</v>
      </c>
      <c r="AR41" s="111" t="s">
        <v>305</v>
      </c>
      <c r="AS41" s="223"/>
      <c r="AT41" s="223"/>
      <c r="AU41" s="223"/>
      <c r="AV41" s="218">
        <v>0.36659999999999998</v>
      </c>
      <c r="AW41" s="228"/>
      <c r="AX41" s="217"/>
      <c r="AY41" s="217"/>
      <c r="AZ41" s="217"/>
      <c r="BA41" s="196"/>
      <c r="BB41" s="196"/>
      <c r="BC41" s="196"/>
      <c r="BD41" s="229"/>
      <c r="BE41" s="218" t="s">
        <v>1019</v>
      </c>
      <c r="BF41" s="196" t="s">
        <v>195</v>
      </c>
      <c r="BG41" s="196"/>
      <c r="BH41" s="196"/>
      <c r="BI41" s="197"/>
      <c r="BJ41" s="196"/>
      <c r="BK41" s="218" t="s">
        <v>1019</v>
      </c>
      <c r="BL41" s="220"/>
      <c r="BM41" s="218"/>
      <c r="BN41" s="218"/>
      <c r="BO41" s="218"/>
      <c r="BP41" s="218" t="s">
        <v>1686</v>
      </c>
      <c r="BQ41" s="196"/>
    </row>
    <row r="42" spans="1:69" x14ac:dyDescent="0.25">
      <c r="A42" s="213"/>
      <c r="B42" s="196"/>
      <c r="C42" s="196"/>
      <c r="D42" s="111" t="s">
        <v>305</v>
      </c>
      <c r="E42" s="217">
        <v>59628</v>
      </c>
      <c r="F42" s="210" t="s">
        <v>305</v>
      </c>
      <c r="G42" s="196"/>
      <c r="H42" s="196"/>
      <c r="I42" s="111" t="s">
        <v>12</v>
      </c>
      <c r="J42" s="218" t="s">
        <v>956</v>
      </c>
      <c r="K42" s="219">
        <v>44466</v>
      </c>
      <c r="L42" s="196"/>
      <c r="M42" s="245" t="s">
        <v>159</v>
      </c>
      <c r="N42" s="196"/>
      <c r="O42" s="218"/>
      <c r="P42" s="220">
        <v>44118</v>
      </c>
      <c r="Q42" s="218" t="s">
        <v>1172</v>
      </c>
      <c r="R42" s="196"/>
      <c r="S42" s="10">
        <v>100</v>
      </c>
      <c r="T42" s="247"/>
      <c r="U42" s="196" t="s">
        <v>1644</v>
      </c>
      <c r="V42" s="218" t="s">
        <v>1535</v>
      </c>
      <c r="W42" s="218" t="s">
        <v>1224</v>
      </c>
      <c r="X42" s="141">
        <v>1539.24</v>
      </c>
      <c r="Y42" s="218">
        <v>39.242800000000003</v>
      </c>
      <c r="Z42" s="218">
        <v>-119.76711</v>
      </c>
      <c r="AA42" s="218"/>
      <c r="AB42" s="196" t="s">
        <v>219</v>
      </c>
      <c r="AC42" s="218" t="s">
        <v>1138</v>
      </c>
      <c r="AD42" s="197" t="s">
        <v>875</v>
      </c>
      <c r="AE42" s="196" t="s">
        <v>1451</v>
      </c>
      <c r="AF42" s="218"/>
      <c r="AG42" s="196"/>
      <c r="AH42" s="196"/>
      <c r="AI42" s="246">
        <v>0</v>
      </c>
      <c r="AJ42" s="246">
        <v>0</v>
      </c>
      <c r="AK42" s="218" t="s">
        <v>470</v>
      </c>
      <c r="AL42" s="218" t="s">
        <v>928</v>
      </c>
      <c r="AM42" s="196"/>
      <c r="AN42" s="196" t="s">
        <v>452</v>
      </c>
      <c r="AO42" s="196" t="s">
        <v>607</v>
      </c>
      <c r="AP42" s="196" t="s">
        <v>1159</v>
      </c>
      <c r="AQ42" s="213" t="s">
        <v>586</v>
      </c>
      <c r="AR42" s="111" t="s">
        <v>305</v>
      </c>
      <c r="AS42" s="223"/>
      <c r="AT42" s="223"/>
      <c r="AU42" s="223"/>
      <c r="AV42" s="218">
        <v>0.24829999999999999</v>
      </c>
      <c r="AW42" s="228"/>
      <c r="AX42" s="217"/>
      <c r="AY42" s="217"/>
      <c r="AZ42" s="217"/>
      <c r="BA42" s="196"/>
      <c r="BB42" s="196"/>
      <c r="BC42" s="196"/>
      <c r="BD42" s="229"/>
      <c r="BE42" s="218" t="s">
        <v>1020</v>
      </c>
      <c r="BF42" s="196" t="s">
        <v>195</v>
      </c>
      <c r="BG42" s="196"/>
      <c r="BH42" s="196"/>
      <c r="BI42" s="197"/>
      <c r="BJ42" s="196"/>
      <c r="BK42" s="218" t="s">
        <v>1020</v>
      </c>
      <c r="BL42" s="220"/>
      <c r="BM42" s="218"/>
      <c r="BN42" s="218"/>
      <c r="BO42" s="218"/>
      <c r="BP42" s="218" t="s">
        <v>1687</v>
      </c>
      <c r="BQ42" s="196"/>
    </row>
    <row r="43" spans="1:69" x14ac:dyDescent="0.25">
      <c r="A43" s="213"/>
      <c r="B43" s="197"/>
      <c r="C43" s="196"/>
      <c r="D43" s="111" t="s">
        <v>305</v>
      </c>
      <c r="E43" s="217">
        <v>59629</v>
      </c>
      <c r="F43" s="210" t="s">
        <v>305</v>
      </c>
      <c r="G43" s="196"/>
      <c r="H43" s="196"/>
      <c r="I43" s="111" t="s">
        <v>12</v>
      </c>
      <c r="J43" s="218" t="s">
        <v>957</v>
      </c>
      <c r="K43" s="219">
        <v>44466</v>
      </c>
      <c r="L43" s="196"/>
      <c r="M43" s="245" t="s">
        <v>159</v>
      </c>
      <c r="N43" s="196"/>
      <c r="O43" s="218"/>
      <c r="P43" s="220">
        <v>44119</v>
      </c>
      <c r="Q43" s="218" t="s">
        <v>1172</v>
      </c>
      <c r="R43" s="196"/>
      <c r="S43" s="10">
        <v>100</v>
      </c>
      <c r="T43" s="247"/>
      <c r="U43" s="196" t="s">
        <v>1644</v>
      </c>
      <c r="V43" s="218" t="s">
        <v>1536</v>
      </c>
      <c r="W43" s="218" t="s">
        <v>1225</v>
      </c>
      <c r="X43" s="141">
        <v>1539.24</v>
      </c>
      <c r="Y43" s="218">
        <v>39.243409999999997</v>
      </c>
      <c r="Z43" s="218">
        <v>-119.76766000000001</v>
      </c>
      <c r="AA43" s="218" t="s">
        <v>599</v>
      </c>
      <c r="AB43" s="196" t="s">
        <v>437</v>
      </c>
      <c r="AC43" s="218" t="s">
        <v>1139</v>
      </c>
      <c r="AD43" s="197" t="s">
        <v>875</v>
      </c>
      <c r="AE43" s="196" t="s">
        <v>1451</v>
      </c>
      <c r="AF43" s="218"/>
      <c r="AG43" s="196"/>
      <c r="AH43" s="196"/>
      <c r="AI43" s="246">
        <v>0</v>
      </c>
      <c r="AJ43" s="246">
        <v>0</v>
      </c>
      <c r="AK43" s="218" t="s">
        <v>471</v>
      </c>
      <c r="AL43" s="218" t="s">
        <v>922</v>
      </c>
      <c r="AM43" s="196"/>
      <c r="AN43" s="196" t="s">
        <v>452</v>
      </c>
      <c r="AO43" s="196" t="s">
        <v>607</v>
      </c>
      <c r="AP43" s="196" t="s">
        <v>1159</v>
      </c>
      <c r="AQ43" s="213" t="s">
        <v>586</v>
      </c>
      <c r="AR43" s="111" t="s">
        <v>305</v>
      </c>
      <c r="AS43" s="223"/>
      <c r="AT43" s="223"/>
      <c r="AU43" s="223"/>
      <c r="AV43" s="218">
        <v>7.7000000000000002E-3</v>
      </c>
      <c r="AW43" s="228"/>
      <c r="AX43" s="217"/>
      <c r="AY43" s="217"/>
      <c r="AZ43" s="217"/>
      <c r="BA43" s="196"/>
      <c r="BB43" s="196"/>
      <c r="BC43" s="196"/>
      <c r="BD43" s="229"/>
      <c r="BE43" s="218" t="s">
        <v>1021</v>
      </c>
      <c r="BF43" s="196" t="s">
        <v>195</v>
      </c>
      <c r="BG43" s="196"/>
      <c r="BH43" s="196"/>
      <c r="BI43" s="197"/>
      <c r="BJ43" s="196"/>
      <c r="BK43" s="218" t="s">
        <v>1021</v>
      </c>
      <c r="BL43" s="220"/>
      <c r="BM43" s="218"/>
      <c r="BN43" s="218"/>
      <c r="BO43" s="218"/>
      <c r="BP43" s="218" t="s">
        <v>1688</v>
      </c>
      <c r="BQ43" s="196"/>
    </row>
    <row r="44" spans="1:69" x14ac:dyDescent="0.25">
      <c r="A44" s="213"/>
      <c r="B44" s="196"/>
      <c r="C44" s="196"/>
      <c r="D44" s="111" t="s">
        <v>305</v>
      </c>
      <c r="E44" s="217">
        <v>59630</v>
      </c>
      <c r="F44" s="210" t="s">
        <v>305</v>
      </c>
      <c r="G44" s="196"/>
      <c r="H44" s="196"/>
      <c r="I44" s="111" t="s">
        <v>12</v>
      </c>
      <c r="J44" s="218" t="s">
        <v>958</v>
      </c>
      <c r="K44" s="219">
        <v>44466</v>
      </c>
      <c r="L44" s="196"/>
      <c r="M44" s="245" t="s">
        <v>159</v>
      </c>
      <c r="N44" s="196"/>
      <c r="O44" s="218"/>
      <c r="P44" s="220">
        <v>44119</v>
      </c>
      <c r="Q44" s="218" t="s">
        <v>1172</v>
      </c>
      <c r="R44" s="196"/>
      <c r="S44" s="10">
        <v>100</v>
      </c>
      <c r="T44" s="247"/>
      <c r="U44" s="196" t="s">
        <v>1644</v>
      </c>
      <c r="V44" s="218" t="s">
        <v>1537</v>
      </c>
      <c r="W44" s="218" t="s">
        <v>1226</v>
      </c>
      <c r="X44" s="141">
        <v>1542.288</v>
      </c>
      <c r="Y44" s="218">
        <v>39.24841</v>
      </c>
      <c r="Z44" s="218">
        <v>-119.76763</v>
      </c>
      <c r="AA44" s="218"/>
      <c r="AB44" s="196" t="s">
        <v>437</v>
      </c>
      <c r="AC44" s="218" t="s">
        <v>1140</v>
      </c>
      <c r="AD44" s="197" t="s">
        <v>875</v>
      </c>
      <c r="AE44" s="196" t="s">
        <v>1451</v>
      </c>
      <c r="AF44" s="218"/>
      <c r="AG44" s="196"/>
      <c r="AH44" s="196"/>
      <c r="AI44" s="246">
        <v>22.5</v>
      </c>
      <c r="AJ44" s="246" t="s">
        <v>1344</v>
      </c>
      <c r="AK44" s="218" t="s">
        <v>466</v>
      </c>
      <c r="AL44" s="218" t="s">
        <v>1365</v>
      </c>
      <c r="AM44" s="196"/>
      <c r="AN44" s="196" t="s">
        <v>452</v>
      </c>
      <c r="AO44" s="196" t="s">
        <v>607</v>
      </c>
      <c r="AP44" s="196" t="s">
        <v>1159</v>
      </c>
      <c r="AQ44" s="213" t="s">
        <v>586</v>
      </c>
      <c r="AR44" s="111" t="s">
        <v>305</v>
      </c>
      <c r="AS44" s="223"/>
      <c r="AT44" s="223"/>
      <c r="AU44" s="223"/>
      <c r="AV44" s="218">
        <v>1.1429</v>
      </c>
      <c r="AW44" s="228"/>
      <c r="AX44" s="217"/>
      <c r="AY44" s="217"/>
      <c r="AZ44" s="217"/>
      <c r="BA44" s="196"/>
      <c r="BB44" s="196"/>
      <c r="BC44" s="196"/>
      <c r="BD44" s="229"/>
      <c r="BE44" s="218" t="s">
        <v>1022</v>
      </c>
      <c r="BF44" s="196" t="s">
        <v>195</v>
      </c>
      <c r="BG44" s="196"/>
      <c r="BH44" s="196"/>
      <c r="BI44" s="197"/>
      <c r="BJ44" s="196"/>
      <c r="BK44" s="218" t="s">
        <v>1022</v>
      </c>
      <c r="BL44" s="220"/>
      <c r="BM44" s="218"/>
      <c r="BN44" s="218"/>
      <c r="BO44" s="218"/>
      <c r="BP44" s="218" t="s">
        <v>1689</v>
      </c>
      <c r="BQ44" s="196"/>
    </row>
    <row r="45" spans="1:69" x14ac:dyDescent="0.25">
      <c r="A45" s="213"/>
      <c r="B45" s="196"/>
      <c r="C45" s="196"/>
      <c r="D45" s="111" t="s">
        <v>305</v>
      </c>
      <c r="E45" s="217">
        <v>59631</v>
      </c>
      <c r="F45" s="210" t="s">
        <v>305</v>
      </c>
      <c r="G45" s="196"/>
      <c r="H45" s="196"/>
      <c r="I45" s="111" t="s">
        <v>12</v>
      </c>
      <c r="J45" s="218" t="s">
        <v>959</v>
      </c>
      <c r="K45" s="219">
        <v>44466</v>
      </c>
      <c r="L45" s="196"/>
      <c r="M45" s="245" t="s">
        <v>159</v>
      </c>
      <c r="N45" s="196"/>
      <c r="O45" s="218"/>
      <c r="P45" s="220">
        <v>44124</v>
      </c>
      <c r="Q45" s="218" t="s">
        <v>1174</v>
      </c>
      <c r="R45" s="196"/>
      <c r="S45" s="10">
        <v>3000</v>
      </c>
      <c r="T45" s="247"/>
      <c r="U45" s="196" t="s">
        <v>1644</v>
      </c>
      <c r="V45" s="218" t="s">
        <v>1538</v>
      </c>
      <c r="W45" s="218" t="s">
        <v>1227</v>
      </c>
      <c r="X45" s="141">
        <v>2173.2240000000002</v>
      </c>
      <c r="Y45" s="218">
        <v>39.349440000000001</v>
      </c>
      <c r="Z45" s="218">
        <v>-117.69555</v>
      </c>
      <c r="AA45" s="218"/>
      <c r="AB45" s="196" t="s">
        <v>218</v>
      </c>
      <c r="AC45" s="218" t="s">
        <v>1141</v>
      </c>
      <c r="AD45" s="197" t="s">
        <v>875</v>
      </c>
      <c r="AE45" s="196" t="s">
        <v>1451</v>
      </c>
      <c r="AF45" s="218"/>
      <c r="AG45" s="196"/>
      <c r="AH45" s="196"/>
      <c r="AI45" s="246">
        <v>0</v>
      </c>
      <c r="AJ45" s="246">
        <v>0</v>
      </c>
      <c r="AK45" s="218" t="s">
        <v>470</v>
      </c>
      <c r="AL45" s="218" t="s">
        <v>928</v>
      </c>
      <c r="AM45" s="196"/>
      <c r="AN45" s="196" t="s">
        <v>452</v>
      </c>
      <c r="AO45" s="196" t="s">
        <v>607</v>
      </c>
      <c r="AP45" s="196" t="s">
        <v>1159</v>
      </c>
      <c r="AQ45" s="213" t="s">
        <v>586</v>
      </c>
      <c r="AR45" s="111" t="s">
        <v>305</v>
      </c>
      <c r="AS45" s="223"/>
      <c r="AT45" s="223"/>
      <c r="AU45" s="223"/>
      <c r="AV45" s="218">
        <v>0.62690000000000001</v>
      </c>
      <c r="AW45" s="228"/>
      <c r="AX45" s="217"/>
      <c r="AY45" s="217"/>
      <c r="AZ45" s="217"/>
      <c r="BA45" s="196"/>
      <c r="BB45" s="196"/>
      <c r="BC45" s="196"/>
      <c r="BD45" s="229"/>
      <c r="BE45" s="218" t="s">
        <v>1023</v>
      </c>
      <c r="BF45" s="196" t="s">
        <v>195</v>
      </c>
      <c r="BG45" s="196"/>
      <c r="BH45" s="196"/>
      <c r="BI45" s="197"/>
      <c r="BJ45" s="196"/>
      <c r="BK45" s="218" t="s">
        <v>1023</v>
      </c>
      <c r="BL45" s="220"/>
      <c r="BM45" s="218"/>
      <c r="BN45" s="218"/>
      <c r="BO45" s="218"/>
      <c r="BP45" s="218" t="s">
        <v>1690</v>
      </c>
      <c r="BQ45" s="196"/>
    </row>
    <row r="46" spans="1:69" x14ac:dyDescent="0.25">
      <c r="A46" s="213"/>
      <c r="B46" s="196"/>
      <c r="C46" s="196"/>
      <c r="D46" s="111" t="s">
        <v>305</v>
      </c>
      <c r="E46" s="217">
        <v>59632</v>
      </c>
      <c r="F46" s="210" t="s">
        <v>305</v>
      </c>
      <c r="G46" s="196"/>
      <c r="H46" s="196"/>
      <c r="I46" s="111" t="s">
        <v>12</v>
      </c>
      <c r="J46" s="218" t="s">
        <v>1744</v>
      </c>
      <c r="K46" s="219">
        <v>44466</v>
      </c>
      <c r="L46" s="196"/>
      <c r="M46" s="245" t="s">
        <v>159</v>
      </c>
      <c r="N46" s="196"/>
      <c r="O46" s="218"/>
      <c r="P46" s="220">
        <v>44131</v>
      </c>
      <c r="Q46" s="218" t="s">
        <v>1173</v>
      </c>
      <c r="R46" s="196"/>
      <c r="S46" s="10">
        <v>100</v>
      </c>
      <c r="T46" s="247"/>
      <c r="U46" s="196" t="s">
        <v>1644</v>
      </c>
      <c r="V46" s="218" t="s">
        <v>1539</v>
      </c>
      <c r="W46" s="218" t="s">
        <v>1228</v>
      </c>
      <c r="X46" s="141">
        <v>1423.4160000000002</v>
      </c>
      <c r="Y46" s="218">
        <v>38.765270000000001</v>
      </c>
      <c r="Z46" s="218">
        <v>-119.01888</v>
      </c>
      <c r="AA46" s="218" t="s">
        <v>1446</v>
      </c>
      <c r="AB46" s="196" t="s">
        <v>218</v>
      </c>
      <c r="AC46" s="218" t="s">
        <v>1142</v>
      </c>
      <c r="AD46" s="197" t="s">
        <v>875</v>
      </c>
      <c r="AE46" s="196" t="s">
        <v>1451</v>
      </c>
      <c r="AF46" s="218"/>
      <c r="AG46" s="196"/>
      <c r="AH46" s="196"/>
      <c r="AI46" s="246">
        <v>0</v>
      </c>
      <c r="AJ46" s="246">
        <v>0</v>
      </c>
      <c r="AK46" s="218" t="s">
        <v>466</v>
      </c>
      <c r="AL46" s="218" t="s">
        <v>924</v>
      </c>
      <c r="AM46" s="196"/>
      <c r="AN46" s="196" t="s">
        <v>452</v>
      </c>
      <c r="AO46" s="196" t="s">
        <v>607</v>
      </c>
      <c r="AP46" s="196" t="s">
        <v>1159</v>
      </c>
      <c r="AQ46" s="213" t="s">
        <v>586</v>
      </c>
      <c r="AR46" s="111" t="s">
        <v>305</v>
      </c>
      <c r="AS46" s="223"/>
      <c r="AT46" s="223"/>
      <c r="AU46" s="223"/>
      <c r="AV46" s="218">
        <v>4.4699999999999997E-2</v>
      </c>
      <c r="AW46" s="228"/>
      <c r="AX46" s="217"/>
      <c r="AY46" s="217"/>
      <c r="AZ46" s="217"/>
      <c r="BA46" s="196"/>
      <c r="BB46" s="196"/>
      <c r="BC46" s="196"/>
      <c r="BD46" s="229"/>
      <c r="BE46" s="218" t="s">
        <v>1024</v>
      </c>
      <c r="BF46" s="196" t="s">
        <v>195</v>
      </c>
      <c r="BG46" s="196"/>
      <c r="BH46" s="196"/>
      <c r="BI46" s="197"/>
      <c r="BJ46" s="196"/>
      <c r="BK46" s="218" t="s">
        <v>1024</v>
      </c>
      <c r="BL46" s="220">
        <v>44131</v>
      </c>
      <c r="BM46" s="218" t="s">
        <v>1486</v>
      </c>
      <c r="BN46" s="218" t="s">
        <v>1488</v>
      </c>
      <c r="BO46" s="218" t="s">
        <v>1489</v>
      </c>
      <c r="BP46" s="218" t="s">
        <v>1691</v>
      </c>
      <c r="BQ46" s="196"/>
    </row>
    <row r="47" spans="1:69" x14ac:dyDescent="0.25">
      <c r="A47" s="213"/>
      <c r="B47" s="197"/>
      <c r="C47" s="196"/>
      <c r="D47" s="111" t="s">
        <v>305</v>
      </c>
      <c r="E47" s="217">
        <v>59633</v>
      </c>
      <c r="F47" s="210" t="s">
        <v>305</v>
      </c>
      <c r="G47" s="196"/>
      <c r="H47" s="196"/>
      <c r="I47" s="111" t="s">
        <v>12</v>
      </c>
      <c r="J47" s="218" t="s">
        <v>960</v>
      </c>
      <c r="K47" s="219">
        <v>44466</v>
      </c>
      <c r="L47" s="196"/>
      <c r="M47" s="245" t="s">
        <v>159</v>
      </c>
      <c r="N47" s="196"/>
      <c r="O47" s="218"/>
      <c r="P47" s="220">
        <v>44145</v>
      </c>
      <c r="Q47" s="218" t="s">
        <v>1172</v>
      </c>
      <c r="R47" s="196"/>
      <c r="S47" s="10">
        <v>200</v>
      </c>
      <c r="T47" s="247"/>
      <c r="U47" s="196" t="s">
        <v>1646</v>
      </c>
      <c r="V47" s="218" t="s">
        <v>1540</v>
      </c>
      <c r="W47" s="218" t="s">
        <v>1229</v>
      </c>
      <c r="X47" s="141">
        <v>394.10640000000001</v>
      </c>
      <c r="Y47" s="218">
        <v>39.565719999999999</v>
      </c>
      <c r="Z47" s="218">
        <v>-119.49182999999999</v>
      </c>
      <c r="AA47" s="218" t="s">
        <v>599</v>
      </c>
      <c r="AB47" s="196" t="s">
        <v>218</v>
      </c>
      <c r="AC47" s="218" t="s">
        <v>1143</v>
      </c>
      <c r="AD47" s="197" t="s">
        <v>875</v>
      </c>
      <c r="AE47" s="196" t="s">
        <v>1451</v>
      </c>
      <c r="AF47" s="218"/>
      <c r="AG47" s="196"/>
      <c r="AH47" s="196"/>
      <c r="AI47" s="246">
        <v>0</v>
      </c>
      <c r="AJ47" s="246">
        <v>0</v>
      </c>
      <c r="AK47" s="218" t="s">
        <v>466</v>
      </c>
      <c r="AL47" s="218" t="s">
        <v>924</v>
      </c>
      <c r="AM47" s="196"/>
      <c r="AN47" s="196" t="s">
        <v>913</v>
      </c>
      <c r="AO47" s="196" t="s">
        <v>607</v>
      </c>
      <c r="AP47" s="196" t="s">
        <v>1159</v>
      </c>
      <c r="AQ47" s="213" t="s">
        <v>586</v>
      </c>
      <c r="AR47" s="111" t="s">
        <v>305</v>
      </c>
      <c r="AS47" s="223"/>
      <c r="AT47" s="223"/>
      <c r="AU47" s="223"/>
      <c r="AV47" s="218">
        <v>1.3272999999999999</v>
      </c>
      <c r="AW47" s="228"/>
      <c r="AX47" s="217"/>
      <c r="AY47" s="217"/>
      <c r="AZ47" s="217"/>
      <c r="BA47" s="196"/>
      <c r="BB47" s="196"/>
      <c r="BC47" s="196"/>
      <c r="BD47" s="229"/>
      <c r="BE47" s="218" t="s">
        <v>1025</v>
      </c>
      <c r="BF47" s="196" t="s">
        <v>195</v>
      </c>
      <c r="BG47" s="196"/>
      <c r="BH47" s="196"/>
      <c r="BI47" s="197"/>
      <c r="BJ47" s="196"/>
      <c r="BK47" s="218" t="s">
        <v>1025</v>
      </c>
      <c r="BL47" s="220"/>
      <c r="BM47" s="218"/>
      <c r="BN47" s="218"/>
      <c r="BO47" s="218"/>
      <c r="BP47" s="218" t="s">
        <v>1692</v>
      </c>
      <c r="BQ47" s="196"/>
    </row>
    <row r="48" spans="1:69" x14ac:dyDescent="0.25">
      <c r="A48" s="213"/>
      <c r="B48" s="196"/>
      <c r="C48" s="196"/>
      <c r="D48" s="111" t="s">
        <v>305</v>
      </c>
      <c r="E48" s="217">
        <v>59634</v>
      </c>
      <c r="F48" s="210" t="s">
        <v>305</v>
      </c>
      <c r="G48" s="196"/>
      <c r="H48" s="196"/>
      <c r="I48" s="111" t="s">
        <v>12</v>
      </c>
      <c r="J48" s="218" t="s">
        <v>961</v>
      </c>
      <c r="K48" s="219">
        <v>44466</v>
      </c>
      <c r="L48" s="196"/>
      <c r="M48" s="245" t="s">
        <v>159</v>
      </c>
      <c r="N48" s="196"/>
      <c r="O48" s="218"/>
      <c r="P48" s="220">
        <v>44145</v>
      </c>
      <c r="Q48" s="218" t="s">
        <v>1172</v>
      </c>
      <c r="R48" s="196"/>
      <c r="S48" s="10">
        <v>50</v>
      </c>
      <c r="T48" s="247"/>
      <c r="U48" s="196" t="s">
        <v>1646</v>
      </c>
      <c r="V48" s="218" t="s">
        <v>1541</v>
      </c>
      <c r="W48" s="218" t="s">
        <v>1230</v>
      </c>
      <c r="X48" s="141">
        <v>394.10640000000001</v>
      </c>
      <c r="Y48" s="218">
        <v>39.565719999999999</v>
      </c>
      <c r="Z48" s="218">
        <v>-119.49182999999999</v>
      </c>
      <c r="AA48" s="218" t="s">
        <v>1447</v>
      </c>
      <c r="AB48" s="196" t="s">
        <v>218</v>
      </c>
      <c r="AC48" s="218" t="s">
        <v>1144</v>
      </c>
      <c r="AD48" s="197" t="s">
        <v>875</v>
      </c>
      <c r="AE48" s="196" t="s">
        <v>1451</v>
      </c>
      <c r="AF48" s="218"/>
      <c r="AG48" s="196"/>
      <c r="AH48" s="196"/>
      <c r="AI48" s="246">
        <v>0</v>
      </c>
      <c r="AJ48" s="246">
        <v>0</v>
      </c>
      <c r="AK48" s="218" t="s">
        <v>466</v>
      </c>
      <c r="AL48" s="218" t="s">
        <v>924</v>
      </c>
      <c r="AM48" s="196"/>
      <c r="AN48" s="196" t="s">
        <v>452</v>
      </c>
      <c r="AO48" s="196" t="s">
        <v>607</v>
      </c>
      <c r="AP48" s="196" t="s">
        <v>1159</v>
      </c>
      <c r="AQ48" s="213" t="s">
        <v>586</v>
      </c>
      <c r="AR48" s="111" t="s">
        <v>305</v>
      </c>
      <c r="AS48" s="223"/>
      <c r="AT48" s="223"/>
      <c r="AU48" s="223"/>
      <c r="AV48" s="218">
        <v>4.0399999999999998E-2</v>
      </c>
      <c r="AW48" s="228"/>
      <c r="AX48" s="217"/>
      <c r="AY48" s="217"/>
      <c r="AZ48" s="217"/>
      <c r="BA48" s="196"/>
      <c r="BB48" s="196"/>
      <c r="BC48" s="196"/>
      <c r="BD48" s="229"/>
      <c r="BE48" s="218" t="s">
        <v>1026</v>
      </c>
      <c r="BF48" s="196" t="s">
        <v>195</v>
      </c>
      <c r="BG48" s="196"/>
      <c r="BH48" s="196"/>
      <c r="BI48" s="197"/>
      <c r="BJ48" s="196"/>
      <c r="BK48" s="218" t="s">
        <v>1026</v>
      </c>
      <c r="BL48" s="220"/>
      <c r="BM48" s="218"/>
      <c r="BN48" s="218"/>
      <c r="BO48" s="218"/>
      <c r="BP48" s="218" t="s">
        <v>1692</v>
      </c>
      <c r="BQ48" s="196"/>
    </row>
    <row r="49" spans="1:69" x14ac:dyDescent="0.25">
      <c r="A49" s="213"/>
      <c r="B49" s="197"/>
      <c r="C49" s="196"/>
      <c r="D49" s="111" t="s">
        <v>305</v>
      </c>
      <c r="E49" s="217">
        <v>59635</v>
      </c>
      <c r="F49" s="210" t="s">
        <v>305</v>
      </c>
      <c r="G49" s="196"/>
      <c r="H49" s="196"/>
      <c r="I49" s="111" t="s">
        <v>12</v>
      </c>
      <c r="J49" s="218" t="s">
        <v>962</v>
      </c>
      <c r="K49" s="219">
        <v>44466</v>
      </c>
      <c r="L49" s="196"/>
      <c r="M49" s="245" t="s">
        <v>159</v>
      </c>
      <c r="N49" s="196"/>
      <c r="O49" s="218" t="s">
        <v>1391</v>
      </c>
      <c r="P49" s="220">
        <v>44154</v>
      </c>
      <c r="Q49" s="218" t="s">
        <v>1173</v>
      </c>
      <c r="R49" s="196"/>
      <c r="S49" s="10">
        <v>300</v>
      </c>
      <c r="T49" s="247"/>
      <c r="U49" s="196" t="s">
        <v>1645</v>
      </c>
      <c r="V49" s="218" t="s">
        <v>1542</v>
      </c>
      <c r="W49" s="218" t="s">
        <v>1231</v>
      </c>
      <c r="X49" s="141">
        <v>1285.0368000000001</v>
      </c>
      <c r="Y49" s="218">
        <v>39.279220000000002</v>
      </c>
      <c r="Z49" s="218">
        <v>-119.23858</v>
      </c>
      <c r="AA49" s="218" t="s">
        <v>1443</v>
      </c>
      <c r="AB49" s="196" t="s">
        <v>218</v>
      </c>
      <c r="AC49" s="218" t="s">
        <v>1145</v>
      </c>
      <c r="AD49" s="197" t="s">
        <v>875</v>
      </c>
      <c r="AE49" s="196" t="s">
        <v>1451</v>
      </c>
      <c r="AF49" s="218"/>
      <c r="AG49" s="196"/>
      <c r="AH49" s="196"/>
      <c r="AI49" s="246">
        <v>5</v>
      </c>
      <c r="AJ49" s="246">
        <v>5</v>
      </c>
      <c r="AK49" s="218" t="s">
        <v>470</v>
      </c>
      <c r="AL49" s="218" t="s">
        <v>928</v>
      </c>
      <c r="AM49" s="196"/>
      <c r="AN49" s="196" t="s">
        <v>452</v>
      </c>
      <c r="AO49" s="196" t="s">
        <v>607</v>
      </c>
      <c r="AP49" s="196" t="s">
        <v>1159</v>
      </c>
      <c r="AQ49" s="213" t="s">
        <v>586</v>
      </c>
      <c r="AR49" s="111" t="s">
        <v>305</v>
      </c>
      <c r="AS49" s="223"/>
      <c r="AT49" s="223"/>
      <c r="AU49" s="223"/>
      <c r="AV49" s="218">
        <v>1.5299999999999999E-2</v>
      </c>
      <c r="AW49" s="228"/>
      <c r="AX49" s="217"/>
      <c r="AY49" s="217"/>
      <c r="AZ49" s="217"/>
      <c r="BA49" s="196"/>
      <c r="BB49" s="196"/>
      <c r="BC49" s="196"/>
      <c r="BD49" s="229"/>
      <c r="BE49" s="218" t="s">
        <v>1027</v>
      </c>
      <c r="BF49" s="196" t="s">
        <v>195</v>
      </c>
      <c r="BG49" s="196"/>
      <c r="BH49" s="196"/>
      <c r="BI49" s="197"/>
      <c r="BJ49" s="196"/>
      <c r="BK49" s="218" t="s">
        <v>1027</v>
      </c>
      <c r="BL49" s="220"/>
      <c r="BM49" s="218"/>
      <c r="BN49" s="218"/>
      <c r="BO49" s="218"/>
      <c r="BP49" s="218" t="s">
        <v>1693</v>
      </c>
      <c r="BQ49" s="196"/>
    </row>
    <row r="50" spans="1:69" x14ac:dyDescent="0.25">
      <c r="A50" s="213"/>
      <c r="B50" s="196"/>
      <c r="C50" s="196"/>
      <c r="D50" s="111" t="s">
        <v>305</v>
      </c>
      <c r="E50" s="217">
        <v>59636</v>
      </c>
      <c r="F50" s="210" t="s">
        <v>305</v>
      </c>
      <c r="G50" s="196"/>
      <c r="H50" s="196"/>
      <c r="I50" s="111" t="s">
        <v>12</v>
      </c>
      <c r="J50" s="218" t="s">
        <v>1745</v>
      </c>
      <c r="K50" s="219">
        <v>44466</v>
      </c>
      <c r="L50" s="196"/>
      <c r="M50" s="245" t="s">
        <v>159</v>
      </c>
      <c r="N50" s="196"/>
      <c r="O50" s="218"/>
      <c r="P50" s="220">
        <v>44158</v>
      </c>
      <c r="Q50" s="218" t="s">
        <v>1172</v>
      </c>
      <c r="R50" s="196"/>
      <c r="S50" s="10">
        <v>100</v>
      </c>
      <c r="T50" s="247"/>
      <c r="U50" s="196" t="s">
        <v>1644</v>
      </c>
      <c r="V50" s="218" t="s">
        <v>1543</v>
      </c>
      <c r="W50" s="218" t="s">
        <v>1232</v>
      </c>
      <c r="X50" s="141">
        <v>1530.096</v>
      </c>
      <c r="Y50" s="218">
        <v>39.859160000000003</v>
      </c>
      <c r="Z50" s="218">
        <v>-119.825</v>
      </c>
      <c r="AA50" s="218" t="s">
        <v>1443</v>
      </c>
      <c r="AB50" s="196" t="s">
        <v>218</v>
      </c>
      <c r="AC50" s="218" t="s">
        <v>1146</v>
      </c>
      <c r="AD50" s="197" t="s">
        <v>875</v>
      </c>
      <c r="AE50" s="196" t="s">
        <v>1451</v>
      </c>
      <c r="AF50" s="218"/>
      <c r="AG50" s="196"/>
      <c r="AH50" s="196"/>
      <c r="AI50" s="246"/>
      <c r="AJ50" s="246"/>
      <c r="AK50" s="218"/>
      <c r="AL50" s="218"/>
      <c r="AM50" s="196"/>
      <c r="AN50" s="196" t="s">
        <v>452</v>
      </c>
      <c r="AO50" s="196" t="s">
        <v>607</v>
      </c>
      <c r="AP50" s="196" t="s">
        <v>1159</v>
      </c>
      <c r="AQ50" s="213" t="s">
        <v>586</v>
      </c>
      <c r="AR50" s="111" t="s">
        <v>305</v>
      </c>
      <c r="AS50" s="223"/>
      <c r="AT50" s="223"/>
      <c r="AU50" s="223"/>
      <c r="AV50" s="218">
        <v>1.6899999999999998E-2</v>
      </c>
      <c r="AW50" s="228"/>
      <c r="AX50" s="217"/>
      <c r="AY50" s="217"/>
      <c r="AZ50" s="217"/>
      <c r="BA50" s="196"/>
      <c r="BB50" s="196"/>
      <c r="BC50" s="196"/>
      <c r="BD50" s="229"/>
      <c r="BE50" s="218" t="s">
        <v>1028</v>
      </c>
      <c r="BF50" s="196" t="s">
        <v>195</v>
      </c>
      <c r="BG50" s="196"/>
      <c r="BH50" s="196"/>
      <c r="BI50" s="197"/>
      <c r="BJ50" s="196"/>
      <c r="BK50" s="218" t="s">
        <v>1028</v>
      </c>
      <c r="BL50" s="220"/>
      <c r="BM50" s="218"/>
      <c r="BN50" s="218"/>
      <c r="BO50" s="218"/>
      <c r="BP50" s="218" t="s">
        <v>1694</v>
      </c>
      <c r="BQ50" s="196"/>
    </row>
    <row r="51" spans="1:69" x14ac:dyDescent="0.25">
      <c r="A51" s="213"/>
      <c r="B51" s="196"/>
      <c r="C51" s="196"/>
      <c r="D51" s="111" t="s">
        <v>305</v>
      </c>
      <c r="E51" s="217">
        <v>59637</v>
      </c>
      <c r="F51" s="210" t="s">
        <v>305</v>
      </c>
      <c r="G51" s="196"/>
      <c r="H51" s="196"/>
      <c r="I51" s="111" t="s">
        <v>12</v>
      </c>
      <c r="J51" s="218" t="s">
        <v>954</v>
      </c>
      <c r="K51" s="219">
        <v>44466</v>
      </c>
      <c r="L51" s="196"/>
      <c r="M51" s="245" t="s">
        <v>159</v>
      </c>
      <c r="N51" s="196"/>
      <c r="O51" s="218"/>
      <c r="P51" s="220">
        <v>44168</v>
      </c>
      <c r="Q51" s="218" t="s">
        <v>1173</v>
      </c>
      <c r="R51" s="196"/>
      <c r="S51" s="10">
        <v>50</v>
      </c>
      <c r="T51" s="247"/>
      <c r="U51" s="196" t="s">
        <v>1645</v>
      </c>
      <c r="V51" s="218" t="s">
        <v>1544</v>
      </c>
      <c r="W51" s="218" t="s">
        <v>1233</v>
      </c>
      <c r="X51" s="141">
        <v>1408.1760000000002</v>
      </c>
      <c r="Y51" s="218">
        <v>38.776940000000003</v>
      </c>
      <c r="Z51" s="218">
        <v>-119.02916</v>
      </c>
      <c r="AA51" s="218" t="s">
        <v>1443</v>
      </c>
      <c r="AB51" s="196" t="s">
        <v>218</v>
      </c>
      <c r="AC51" s="218" t="s">
        <v>1145</v>
      </c>
      <c r="AD51" s="197" t="s">
        <v>875</v>
      </c>
      <c r="AE51" s="196" t="s">
        <v>1451</v>
      </c>
      <c r="AF51" s="218"/>
      <c r="AG51" s="196"/>
      <c r="AH51" s="196"/>
      <c r="AI51" s="246">
        <v>25</v>
      </c>
      <c r="AJ51" s="246">
        <v>25</v>
      </c>
      <c r="AK51" s="218" t="s">
        <v>471</v>
      </c>
      <c r="AL51" s="218" t="s">
        <v>922</v>
      </c>
      <c r="AM51" s="196"/>
      <c r="AN51" s="196" t="s">
        <v>452</v>
      </c>
      <c r="AO51" s="196" t="s">
        <v>607</v>
      </c>
      <c r="AP51" s="196" t="s">
        <v>1159</v>
      </c>
      <c r="AQ51" s="213" t="s">
        <v>586</v>
      </c>
      <c r="AR51" s="111" t="s">
        <v>305</v>
      </c>
      <c r="AS51" s="223"/>
      <c r="AT51" s="223"/>
      <c r="AU51" s="223"/>
      <c r="AV51" s="218">
        <v>4.7000000000000002E-3</v>
      </c>
      <c r="AW51" s="228"/>
      <c r="AX51" s="217"/>
      <c r="AY51" s="217"/>
      <c r="AZ51" s="217"/>
      <c r="BA51" s="196"/>
      <c r="BB51" s="196"/>
      <c r="BC51" s="196"/>
      <c r="BD51" s="229"/>
      <c r="BE51" s="218" t="s">
        <v>1029</v>
      </c>
      <c r="BF51" s="196" t="s">
        <v>195</v>
      </c>
      <c r="BG51" s="196"/>
      <c r="BH51" s="196"/>
      <c r="BI51" s="197"/>
      <c r="BJ51" s="196"/>
      <c r="BK51" s="218" t="s">
        <v>1029</v>
      </c>
      <c r="BL51" s="220"/>
      <c r="BM51" s="218"/>
      <c r="BN51" s="218"/>
      <c r="BO51" s="218"/>
      <c r="BP51" s="218" t="s">
        <v>1695</v>
      </c>
      <c r="BQ51" s="196"/>
    </row>
    <row r="52" spans="1:69" x14ac:dyDescent="0.25">
      <c r="A52" s="213"/>
      <c r="B52" s="196"/>
      <c r="C52" s="196"/>
      <c r="D52" s="111" t="s">
        <v>305</v>
      </c>
      <c r="E52" s="217">
        <v>59638</v>
      </c>
      <c r="F52" s="210" t="s">
        <v>305</v>
      </c>
      <c r="G52" s="196"/>
      <c r="H52" s="196"/>
      <c r="I52" s="111" t="s">
        <v>12</v>
      </c>
      <c r="J52" s="218" t="s">
        <v>963</v>
      </c>
      <c r="K52" s="219">
        <v>44466</v>
      </c>
      <c r="L52" s="196"/>
      <c r="M52" s="245" t="s">
        <v>159</v>
      </c>
      <c r="N52" s="196"/>
      <c r="O52" s="218"/>
      <c r="P52" s="220">
        <v>44168</v>
      </c>
      <c r="Q52" s="218" t="s">
        <v>1173</v>
      </c>
      <c r="R52" s="196"/>
      <c r="S52" s="10">
        <v>80</v>
      </c>
      <c r="T52" s="247"/>
      <c r="U52" s="196" t="s">
        <v>1646</v>
      </c>
      <c r="V52" s="218" t="s">
        <v>1545</v>
      </c>
      <c r="W52" s="218" t="s">
        <v>1234</v>
      </c>
      <c r="X52" s="141">
        <v>1408.1760000000002</v>
      </c>
      <c r="Y52" s="218">
        <v>38.779470000000003</v>
      </c>
      <c r="Z52" s="218">
        <v>-119.02327</v>
      </c>
      <c r="AA52" s="218" t="s">
        <v>1443</v>
      </c>
      <c r="AB52" s="196" t="s">
        <v>218</v>
      </c>
      <c r="AC52" s="218" t="s">
        <v>1145</v>
      </c>
      <c r="AD52" s="197" t="s">
        <v>875</v>
      </c>
      <c r="AE52" s="196" t="s">
        <v>1451</v>
      </c>
      <c r="AF52" s="218"/>
      <c r="AG52" s="196"/>
      <c r="AH52" s="196"/>
      <c r="AI52" s="246">
        <v>0</v>
      </c>
      <c r="AJ52" s="246">
        <v>0</v>
      </c>
      <c r="AK52" s="218"/>
      <c r="AL52" s="218"/>
      <c r="AM52" s="196"/>
      <c r="AN52" s="196" t="s">
        <v>452</v>
      </c>
      <c r="AO52" s="196" t="s">
        <v>607</v>
      </c>
      <c r="AP52" s="196" t="s">
        <v>1159</v>
      </c>
      <c r="AQ52" s="213" t="s">
        <v>586</v>
      </c>
      <c r="AR52" s="111" t="s">
        <v>305</v>
      </c>
      <c r="AS52" s="223"/>
      <c r="AT52" s="223"/>
      <c r="AU52" s="223"/>
      <c r="AV52" s="218">
        <v>7.1000000000000004E-3</v>
      </c>
      <c r="AW52" s="228"/>
      <c r="AX52" s="217"/>
      <c r="AY52" s="217"/>
      <c r="AZ52" s="217"/>
      <c r="BA52" s="196"/>
      <c r="BB52" s="196"/>
      <c r="BC52" s="196"/>
      <c r="BD52" s="229"/>
      <c r="BE52" s="218" t="s">
        <v>1030</v>
      </c>
      <c r="BF52" s="196" t="s">
        <v>195</v>
      </c>
      <c r="BG52" s="196"/>
      <c r="BH52" s="196"/>
      <c r="BI52" s="197"/>
      <c r="BJ52" s="196"/>
      <c r="BK52" s="218" t="s">
        <v>1030</v>
      </c>
      <c r="BL52" s="220"/>
      <c r="BM52" s="218"/>
      <c r="BN52" s="218"/>
      <c r="BO52" s="218"/>
      <c r="BP52" s="218" t="s">
        <v>1695</v>
      </c>
      <c r="BQ52" s="196"/>
    </row>
    <row r="53" spans="1:69" x14ac:dyDescent="0.25">
      <c r="A53" s="213"/>
      <c r="B53" s="197"/>
      <c r="C53" s="196"/>
      <c r="D53" s="111" t="s">
        <v>305</v>
      </c>
      <c r="E53" s="217">
        <v>59639</v>
      </c>
      <c r="F53" s="210" t="s">
        <v>305</v>
      </c>
      <c r="G53" s="196"/>
      <c r="H53" s="196"/>
      <c r="I53" s="111" t="s">
        <v>12</v>
      </c>
      <c r="J53" s="218" t="s">
        <v>963</v>
      </c>
      <c r="K53" s="219">
        <v>44466</v>
      </c>
      <c r="L53" s="196"/>
      <c r="M53" s="245" t="s">
        <v>159</v>
      </c>
      <c r="N53" s="196"/>
      <c r="O53" s="218"/>
      <c r="P53" s="220">
        <v>44168</v>
      </c>
      <c r="Q53" s="218" t="s">
        <v>1173</v>
      </c>
      <c r="R53" s="196"/>
      <c r="S53" s="10">
        <v>50</v>
      </c>
      <c r="T53" s="247"/>
      <c r="U53" s="196" t="s">
        <v>1646</v>
      </c>
      <c r="V53" s="218" t="s">
        <v>1546</v>
      </c>
      <c r="W53" s="218" t="s">
        <v>1234</v>
      </c>
      <c r="X53" s="141">
        <v>1408.1760000000002</v>
      </c>
      <c r="Y53" s="218">
        <v>38.776940000000003</v>
      </c>
      <c r="Z53" s="218">
        <v>-119.02916</v>
      </c>
      <c r="AA53" s="218" t="s">
        <v>1443</v>
      </c>
      <c r="AB53" s="196" t="s">
        <v>218</v>
      </c>
      <c r="AC53" s="218" t="s">
        <v>1145</v>
      </c>
      <c r="AD53" s="197" t="s">
        <v>875</v>
      </c>
      <c r="AE53" s="196" t="s">
        <v>1451</v>
      </c>
      <c r="AF53" s="218"/>
      <c r="AG53" s="196"/>
      <c r="AH53" s="196"/>
      <c r="AI53" s="246">
        <v>0</v>
      </c>
      <c r="AJ53" s="246">
        <v>0</v>
      </c>
      <c r="AK53" s="218"/>
      <c r="AL53" s="218"/>
      <c r="AM53" s="196"/>
      <c r="AN53" s="196" t="s">
        <v>452</v>
      </c>
      <c r="AO53" s="196" t="s">
        <v>607</v>
      </c>
      <c r="AP53" s="196" t="s">
        <v>1159</v>
      </c>
      <c r="AQ53" s="213" t="s">
        <v>586</v>
      </c>
      <c r="AR53" s="111" t="s">
        <v>305</v>
      </c>
      <c r="AS53" s="223"/>
      <c r="AT53" s="223"/>
      <c r="AU53" s="223"/>
      <c r="AV53" s="218">
        <v>7.4999999999999997E-3</v>
      </c>
      <c r="AW53" s="228"/>
      <c r="AX53" s="217"/>
      <c r="AY53" s="217"/>
      <c r="AZ53" s="217"/>
      <c r="BA53" s="196"/>
      <c r="BB53" s="196"/>
      <c r="BC53" s="196"/>
      <c r="BD53" s="229"/>
      <c r="BE53" s="218" t="s">
        <v>1031</v>
      </c>
      <c r="BF53" s="196" t="s">
        <v>195</v>
      </c>
      <c r="BG53" s="196"/>
      <c r="BH53" s="196"/>
      <c r="BI53" s="197"/>
      <c r="BJ53" s="196"/>
      <c r="BK53" s="218" t="s">
        <v>1031</v>
      </c>
      <c r="BL53" s="220"/>
      <c r="BM53" s="218"/>
      <c r="BN53" s="218"/>
      <c r="BO53" s="218"/>
      <c r="BP53" s="218" t="s">
        <v>1696</v>
      </c>
      <c r="BQ53" s="196"/>
    </row>
    <row r="54" spans="1:69" x14ac:dyDescent="0.25">
      <c r="A54" s="213"/>
      <c r="B54" s="196"/>
      <c r="C54" s="196"/>
      <c r="D54" s="111" t="s">
        <v>305</v>
      </c>
      <c r="E54" s="217">
        <v>59640</v>
      </c>
      <c r="F54" s="210" t="s">
        <v>305</v>
      </c>
      <c r="G54" s="196"/>
      <c r="H54" s="196"/>
      <c r="I54" s="111" t="s">
        <v>12</v>
      </c>
      <c r="J54" s="218" t="s">
        <v>964</v>
      </c>
      <c r="K54" s="219">
        <v>44466</v>
      </c>
      <c r="L54" s="196"/>
      <c r="M54" s="245" t="s">
        <v>159</v>
      </c>
      <c r="N54" s="196"/>
      <c r="O54" s="218"/>
      <c r="P54" s="220">
        <v>44180</v>
      </c>
      <c r="Q54" s="218" t="s">
        <v>1172</v>
      </c>
      <c r="R54" s="196"/>
      <c r="S54" s="10">
        <v>1000</v>
      </c>
      <c r="T54" s="247"/>
      <c r="U54" s="196" t="s">
        <v>1645</v>
      </c>
      <c r="V54" s="218" t="s">
        <v>1547</v>
      </c>
      <c r="W54" s="218" t="s">
        <v>1235</v>
      </c>
      <c r="X54" s="141">
        <v>1534.0584000000001</v>
      </c>
      <c r="Y54" s="218">
        <v>39.239249999999998</v>
      </c>
      <c r="Z54" s="218">
        <v>-119.76730000000001</v>
      </c>
      <c r="AA54" s="218" t="s">
        <v>1443</v>
      </c>
      <c r="AB54" s="196" t="s">
        <v>218</v>
      </c>
      <c r="AC54" s="218" t="s">
        <v>1147</v>
      </c>
      <c r="AD54" s="197" t="s">
        <v>875</v>
      </c>
      <c r="AE54" s="196" t="s">
        <v>1451</v>
      </c>
      <c r="AF54" s="218"/>
      <c r="AG54" s="196"/>
      <c r="AH54" s="196"/>
      <c r="AI54" s="246">
        <v>0</v>
      </c>
      <c r="AJ54" s="246">
        <v>0</v>
      </c>
      <c r="AK54" s="218"/>
      <c r="AL54" s="218"/>
      <c r="AM54" s="196"/>
      <c r="AN54" s="196" t="s">
        <v>452</v>
      </c>
      <c r="AO54" s="196" t="s">
        <v>607</v>
      </c>
      <c r="AP54" s="196" t="s">
        <v>1159</v>
      </c>
      <c r="AQ54" s="213" t="s">
        <v>586</v>
      </c>
      <c r="AR54" s="111" t="s">
        <v>305</v>
      </c>
      <c r="AS54" s="223"/>
      <c r="AT54" s="223"/>
      <c r="AU54" s="223"/>
      <c r="AV54" s="218">
        <v>2.23E-2</v>
      </c>
      <c r="AW54" s="228"/>
      <c r="AX54" s="217"/>
      <c r="AY54" s="217"/>
      <c r="AZ54" s="217"/>
      <c r="BA54" s="196"/>
      <c r="BB54" s="196"/>
      <c r="BC54" s="196"/>
      <c r="BD54" s="229"/>
      <c r="BE54" s="218" t="s">
        <v>1032</v>
      </c>
      <c r="BF54" s="196" t="s">
        <v>195</v>
      </c>
      <c r="BG54" s="196"/>
      <c r="BH54" s="196"/>
      <c r="BI54" s="197"/>
      <c r="BJ54" s="196"/>
      <c r="BK54" s="218" t="s">
        <v>1032</v>
      </c>
      <c r="BL54" s="220"/>
      <c r="BM54" s="218"/>
      <c r="BN54" s="218"/>
      <c r="BO54" s="218"/>
      <c r="BP54" s="218" t="s">
        <v>1697</v>
      </c>
      <c r="BQ54" s="196"/>
    </row>
    <row r="55" spans="1:69" x14ac:dyDescent="0.25">
      <c r="A55" s="213"/>
      <c r="B55" s="197"/>
      <c r="C55" s="196"/>
      <c r="D55" s="111" t="s">
        <v>305</v>
      </c>
      <c r="E55" s="217">
        <v>59641</v>
      </c>
      <c r="F55" s="210" t="s">
        <v>305</v>
      </c>
      <c r="G55" s="196"/>
      <c r="H55" s="196"/>
      <c r="I55" s="111" t="s">
        <v>12</v>
      </c>
      <c r="J55" s="218" t="s">
        <v>965</v>
      </c>
      <c r="K55" s="219">
        <v>44466</v>
      </c>
      <c r="L55" s="196"/>
      <c r="M55" s="245" t="s">
        <v>159</v>
      </c>
      <c r="N55" s="196"/>
      <c r="O55" s="218"/>
      <c r="P55" s="220">
        <v>44060</v>
      </c>
      <c r="Q55" s="218" t="s">
        <v>1171</v>
      </c>
      <c r="R55" s="196"/>
      <c r="S55" s="10">
        <v>500</v>
      </c>
      <c r="T55" s="247"/>
      <c r="U55" s="196"/>
      <c r="V55" s="218" t="s">
        <v>1548</v>
      </c>
      <c r="W55" s="218" t="s">
        <v>1236</v>
      </c>
      <c r="X55" s="141">
        <v>587.65440000000001</v>
      </c>
      <c r="Y55" s="218">
        <v>38.053719999999998</v>
      </c>
      <c r="Z55" s="218">
        <v>-119.07568999999999</v>
      </c>
      <c r="AA55" s="218"/>
      <c r="AB55" s="196" t="s">
        <v>218</v>
      </c>
      <c r="AC55" s="218" t="s">
        <v>1137</v>
      </c>
      <c r="AD55" s="197" t="s">
        <v>875</v>
      </c>
      <c r="AE55" s="196" t="s">
        <v>1451</v>
      </c>
      <c r="AF55" s="218"/>
      <c r="AG55" s="196"/>
      <c r="AH55" s="196"/>
      <c r="AI55" s="246"/>
      <c r="AJ55" s="246"/>
      <c r="AK55" s="218"/>
      <c r="AL55" s="218"/>
      <c r="AM55" s="196"/>
      <c r="AN55" s="196" t="s">
        <v>452</v>
      </c>
      <c r="AO55" s="196" t="s">
        <v>607</v>
      </c>
      <c r="AP55" s="196" t="s">
        <v>1159</v>
      </c>
      <c r="AQ55" s="213" t="s">
        <v>586</v>
      </c>
      <c r="AR55" s="111" t="s">
        <v>305</v>
      </c>
      <c r="AS55" s="223"/>
      <c r="AT55" s="223"/>
      <c r="AU55" s="223"/>
      <c r="AV55" s="218">
        <v>1.4500000000000001E-2</v>
      </c>
      <c r="AW55" s="228"/>
      <c r="AX55" s="217"/>
      <c r="AY55" s="217"/>
      <c r="AZ55" s="217"/>
      <c r="BA55" s="196"/>
      <c r="BB55" s="196"/>
      <c r="BC55" s="196"/>
      <c r="BD55" s="229"/>
      <c r="BE55" s="218" t="s">
        <v>1033</v>
      </c>
      <c r="BF55" s="196" t="s">
        <v>195</v>
      </c>
      <c r="BG55" s="196"/>
      <c r="BH55" s="196"/>
      <c r="BI55" s="197"/>
      <c r="BJ55" s="196"/>
      <c r="BK55" s="218" t="s">
        <v>1033</v>
      </c>
      <c r="BL55" s="220"/>
      <c r="BM55" s="218"/>
      <c r="BN55" s="218"/>
      <c r="BO55" s="218"/>
      <c r="BP55" s="218" t="s">
        <v>1698</v>
      </c>
      <c r="BQ55" s="196"/>
    </row>
    <row r="56" spans="1:69" x14ac:dyDescent="0.25">
      <c r="A56" s="213"/>
      <c r="B56" s="196"/>
      <c r="C56" s="196"/>
      <c r="D56" s="111" t="s">
        <v>305</v>
      </c>
      <c r="E56" s="217">
        <v>59642</v>
      </c>
      <c r="F56" s="210" t="s">
        <v>305</v>
      </c>
      <c r="G56" s="196"/>
      <c r="H56" s="196"/>
      <c r="I56" s="111" t="s">
        <v>12</v>
      </c>
      <c r="J56" s="218" t="s">
        <v>966</v>
      </c>
      <c r="K56" s="219">
        <v>44466</v>
      </c>
      <c r="L56" s="196"/>
      <c r="M56" s="245" t="s">
        <v>159</v>
      </c>
      <c r="N56" s="196"/>
      <c r="O56" s="218"/>
      <c r="P56" s="220">
        <v>44068</v>
      </c>
      <c r="Q56" s="218" t="s">
        <v>1171</v>
      </c>
      <c r="R56" s="196"/>
      <c r="S56" s="10">
        <v>700</v>
      </c>
      <c r="T56" s="247"/>
      <c r="U56" s="196"/>
      <c r="V56" s="218" t="s">
        <v>1548</v>
      </c>
      <c r="W56" s="218" t="s">
        <v>1237</v>
      </c>
      <c r="X56" s="141">
        <v>1947.672</v>
      </c>
      <c r="Y56" s="218">
        <v>38.055250000000001</v>
      </c>
      <c r="Z56" s="218">
        <v>-119.06601999999999</v>
      </c>
      <c r="AA56" s="218" t="s">
        <v>1448</v>
      </c>
      <c r="AB56" s="196" t="s">
        <v>218</v>
      </c>
      <c r="AC56" s="218" t="s">
        <v>1131</v>
      </c>
      <c r="AD56" s="197" t="s">
        <v>875</v>
      </c>
      <c r="AE56" s="196" t="s">
        <v>1451</v>
      </c>
      <c r="AF56" s="218"/>
      <c r="AG56" s="196"/>
      <c r="AH56" s="196"/>
      <c r="AI56" s="246"/>
      <c r="AJ56" s="246"/>
      <c r="AK56" s="218"/>
      <c r="AL56" s="218"/>
      <c r="AM56" s="196"/>
      <c r="AN56" s="196" t="s">
        <v>452</v>
      </c>
      <c r="AO56" s="196" t="s">
        <v>607</v>
      </c>
      <c r="AP56" s="196" t="s">
        <v>1159</v>
      </c>
      <c r="AQ56" s="213" t="s">
        <v>586</v>
      </c>
      <c r="AR56" s="111" t="s">
        <v>305</v>
      </c>
      <c r="AS56" s="223"/>
      <c r="AT56" s="223"/>
      <c r="AU56" s="223"/>
      <c r="AV56" s="218">
        <v>5.1700000000000003E-2</v>
      </c>
      <c r="AW56" s="228"/>
      <c r="AX56" s="217"/>
      <c r="AY56" s="217"/>
      <c r="AZ56" s="217"/>
      <c r="BA56" s="196"/>
      <c r="BB56" s="196"/>
      <c r="BC56" s="196"/>
      <c r="BD56" s="229"/>
      <c r="BE56" s="218" t="s">
        <v>1034</v>
      </c>
      <c r="BF56" s="196" t="s">
        <v>195</v>
      </c>
      <c r="BG56" s="196"/>
      <c r="BH56" s="196"/>
      <c r="BI56" s="197"/>
      <c r="BJ56" s="196"/>
      <c r="BK56" s="218" t="s">
        <v>1034</v>
      </c>
      <c r="BL56" s="220"/>
      <c r="BM56" s="218"/>
      <c r="BN56" s="218"/>
      <c r="BO56" s="218"/>
      <c r="BP56" s="218" t="s">
        <v>1679</v>
      </c>
      <c r="BQ56" s="196"/>
    </row>
    <row r="57" spans="1:69" x14ac:dyDescent="0.25">
      <c r="A57" s="213"/>
      <c r="B57" s="196"/>
      <c r="C57" s="196"/>
      <c r="D57" s="111" t="s">
        <v>305</v>
      </c>
      <c r="E57" s="217">
        <v>59643</v>
      </c>
      <c r="F57" s="210" t="s">
        <v>305</v>
      </c>
      <c r="G57" s="196"/>
      <c r="H57" s="196"/>
      <c r="I57" s="111" t="s">
        <v>12</v>
      </c>
      <c r="J57" s="218" t="s">
        <v>894</v>
      </c>
      <c r="K57" s="219">
        <v>44466</v>
      </c>
      <c r="L57" s="196"/>
      <c r="M57" s="245" t="s">
        <v>159</v>
      </c>
      <c r="N57" s="196"/>
      <c r="O57" s="218" t="s">
        <v>1392</v>
      </c>
      <c r="P57" s="220">
        <v>43977</v>
      </c>
      <c r="Q57" s="218" t="s">
        <v>1175</v>
      </c>
      <c r="R57" s="196"/>
      <c r="S57" s="10">
        <v>1200</v>
      </c>
      <c r="T57" s="247"/>
      <c r="U57" s="196" t="s">
        <v>1649</v>
      </c>
      <c r="V57" s="218" t="s">
        <v>1549</v>
      </c>
      <c r="W57" s="218" t="s">
        <v>1238</v>
      </c>
      <c r="X57" s="141">
        <v>1695.6024</v>
      </c>
      <c r="Y57" s="218">
        <v>39.773299999999999</v>
      </c>
      <c r="Z57" s="218">
        <v>-113.10666000000001</v>
      </c>
      <c r="AA57" s="218" t="s">
        <v>599</v>
      </c>
      <c r="AB57" s="196" t="s">
        <v>218</v>
      </c>
      <c r="AC57" s="218" t="s">
        <v>1148</v>
      </c>
      <c r="AD57" s="197" t="s">
        <v>875</v>
      </c>
      <c r="AE57" s="196" t="s">
        <v>1452</v>
      </c>
      <c r="AF57" s="218"/>
      <c r="AG57" s="196"/>
      <c r="AH57" s="196"/>
      <c r="AI57" s="246">
        <v>2</v>
      </c>
      <c r="AJ57" s="246">
        <v>2</v>
      </c>
      <c r="AK57" s="218" t="s">
        <v>467</v>
      </c>
      <c r="AL57" s="218" t="s">
        <v>11</v>
      </c>
      <c r="AM57" s="196"/>
      <c r="AN57" s="196" t="s">
        <v>908</v>
      </c>
      <c r="AO57" s="196" t="s">
        <v>607</v>
      </c>
      <c r="AP57" s="196" t="s">
        <v>1159</v>
      </c>
      <c r="AQ57" s="213" t="s">
        <v>586</v>
      </c>
      <c r="AR57" s="111" t="s">
        <v>305</v>
      </c>
      <c r="AS57" s="223"/>
      <c r="AT57" s="223"/>
      <c r="AU57" s="223"/>
      <c r="AV57" s="218">
        <v>4.0099999999999997E-2</v>
      </c>
      <c r="AW57" s="228"/>
      <c r="AX57" s="217"/>
      <c r="AY57" s="217"/>
      <c r="AZ57" s="217"/>
      <c r="BA57" s="196"/>
      <c r="BB57" s="196"/>
      <c r="BC57" s="196"/>
      <c r="BD57" s="229"/>
      <c r="BE57" s="218" t="s">
        <v>1035</v>
      </c>
      <c r="BF57" s="196" t="s">
        <v>195</v>
      </c>
      <c r="BG57" s="196"/>
      <c r="BH57" s="196"/>
      <c r="BI57" s="197"/>
      <c r="BJ57" s="196"/>
      <c r="BK57" s="218" t="s">
        <v>1035</v>
      </c>
      <c r="BL57" s="220">
        <v>43976</v>
      </c>
      <c r="BM57" s="218" t="s">
        <v>1486</v>
      </c>
      <c r="BN57" s="218" t="s">
        <v>1489</v>
      </c>
      <c r="BO57" s="218" t="s">
        <v>1490</v>
      </c>
      <c r="BP57" s="218"/>
      <c r="BQ57" s="196"/>
    </row>
    <row r="58" spans="1:69" x14ac:dyDescent="0.25">
      <c r="A58" s="196"/>
      <c r="B58" s="196"/>
      <c r="C58" s="196"/>
      <c r="D58" s="111" t="s">
        <v>305</v>
      </c>
      <c r="E58" s="217">
        <v>59644</v>
      </c>
      <c r="F58" s="210" t="s">
        <v>305</v>
      </c>
      <c r="G58" s="196"/>
      <c r="H58" s="196"/>
      <c r="I58" s="111" t="s">
        <v>12</v>
      </c>
      <c r="J58" s="218" t="s">
        <v>894</v>
      </c>
      <c r="K58" s="219">
        <v>44466</v>
      </c>
      <c r="L58" s="196"/>
      <c r="M58" s="245" t="s">
        <v>159</v>
      </c>
      <c r="N58" s="196"/>
      <c r="O58" s="218" t="s">
        <v>1393</v>
      </c>
      <c r="P58" s="220">
        <v>43978</v>
      </c>
      <c r="Q58" s="218" t="s">
        <v>1175</v>
      </c>
      <c r="R58" s="196"/>
      <c r="S58" s="10">
        <v>1000</v>
      </c>
      <c r="T58" s="247"/>
      <c r="U58" s="196"/>
      <c r="V58" s="218" t="s">
        <v>1550</v>
      </c>
      <c r="W58" s="218" t="s">
        <v>1239</v>
      </c>
      <c r="X58" s="141">
        <v>1841.2968000000001</v>
      </c>
      <c r="Y58" s="218">
        <v>39.778440000000003</v>
      </c>
      <c r="Z58" s="218">
        <v>-113.86372</v>
      </c>
      <c r="AA58" s="218" t="s">
        <v>599</v>
      </c>
      <c r="AB58" s="196" t="s">
        <v>218</v>
      </c>
      <c r="AC58" s="218" t="s">
        <v>1148</v>
      </c>
      <c r="AD58" s="197" t="s">
        <v>875</v>
      </c>
      <c r="AE58" s="196" t="s">
        <v>1452</v>
      </c>
      <c r="AF58" s="218"/>
      <c r="AG58" s="196"/>
      <c r="AH58" s="196"/>
      <c r="AI58" s="246">
        <v>9</v>
      </c>
      <c r="AJ58" s="246">
        <v>9</v>
      </c>
      <c r="AK58" s="218" t="s">
        <v>470</v>
      </c>
      <c r="AL58" s="218" t="s">
        <v>928</v>
      </c>
      <c r="AM58" s="196"/>
      <c r="AN58" s="196" t="s">
        <v>907</v>
      </c>
      <c r="AO58" s="196" t="s">
        <v>607</v>
      </c>
      <c r="AP58" s="196" t="s">
        <v>1159</v>
      </c>
      <c r="AQ58" s="213" t="s">
        <v>586</v>
      </c>
      <c r="AR58" s="111" t="s">
        <v>305</v>
      </c>
      <c r="AS58" s="223"/>
      <c r="AT58" s="223"/>
      <c r="AU58" s="223"/>
      <c r="AV58" s="218">
        <v>5.4199999999999998E-2</v>
      </c>
      <c r="AW58" s="230"/>
      <c r="AX58" s="217"/>
      <c r="AY58" s="217"/>
      <c r="AZ58" s="217"/>
      <c r="BA58" s="196"/>
      <c r="BB58" s="196"/>
      <c r="BC58" s="196"/>
      <c r="BD58" s="213"/>
      <c r="BE58" s="218" t="s">
        <v>1036</v>
      </c>
      <c r="BF58" s="196" t="s">
        <v>195</v>
      </c>
      <c r="BG58" s="196"/>
      <c r="BH58" s="196"/>
      <c r="BI58" s="197"/>
      <c r="BJ58" s="196"/>
      <c r="BK58" s="218" t="s">
        <v>1036</v>
      </c>
      <c r="BL58" s="220">
        <v>43978</v>
      </c>
      <c r="BM58" s="218" t="s">
        <v>1486</v>
      </c>
      <c r="BN58" s="218" t="s">
        <v>1489</v>
      </c>
      <c r="BO58" s="218" t="s">
        <v>1490</v>
      </c>
      <c r="BP58" s="218"/>
      <c r="BQ58" s="196"/>
    </row>
    <row r="59" spans="1:69" x14ac:dyDescent="0.25">
      <c r="A59" s="196"/>
      <c r="B59" s="197"/>
      <c r="C59" s="196"/>
      <c r="D59" s="111" t="s">
        <v>305</v>
      </c>
      <c r="E59" s="217">
        <v>59645</v>
      </c>
      <c r="F59" s="210" t="s">
        <v>305</v>
      </c>
      <c r="G59" s="196"/>
      <c r="H59" s="196"/>
      <c r="I59" s="111" t="s">
        <v>12</v>
      </c>
      <c r="J59" s="218" t="s">
        <v>894</v>
      </c>
      <c r="K59" s="219">
        <v>44466</v>
      </c>
      <c r="L59" s="196"/>
      <c r="M59" s="245" t="s">
        <v>159</v>
      </c>
      <c r="N59" s="196"/>
      <c r="O59" s="218" t="s">
        <v>1394</v>
      </c>
      <c r="P59" s="220">
        <v>43991</v>
      </c>
      <c r="Q59" s="218" t="s">
        <v>1176</v>
      </c>
      <c r="R59" s="196"/>
      <c r="S59" s="10">
        <v>1500</v>
      </c>
      <c r="T59" s="247"/>
      <c r="U59" s="196"/>
      <c r="V59" s="218" t="s">
        <v>1551</v>
      </c>
      <c r="W59" s="218" t="s">
        <v>1240</v>
      </c>
      <c r="X59" s="141">
        <v>1639.8240000000001</v>
      </c>
      <c r="Y59" s="218">
        <v>40.434629999999999</v>
      </c>
      <c r="Z59" s="218">
        <v>-112.96294</v>
      </c>
      <c r="AA59" s="218" t="s">
        <v>599</v>
      </c>
      <c r="AB59" s="196" t="s">
        <v>218</v>
      </c>
      <c r="AC59" s="218" t="s">
        <v>1148</v>
      </c>
      <c r="AD59" s="197" t="s">
        <v>875</v>
      </c>
      <c r="AE59" s="196" t="s">
        <v>1452</v>
      </c>
      <c r="AF59" s="218"/>
      <c r="AG59" s="196"/>
      <c r="AH59" s="196"/>
      <c r="AI59" s="246">
        <v>15</v>
      </c>
      <c r="AJ59" s="246">
        <v>15</v>
      </c>
      <c r="AK59" s="218" t="s">
        <v>467</v>
      </c>
      <c r="AL59" s="218" t="s">
        <v>11</v>
      </c>
      <c r="AM59" s="196"/>
      <c r="AN59" s="196" t="s">
        <v>911</v>
      </c>
      <c r="AO59" s="196" t="s">
        <v>607</v>
      </c>
      <c r="AP59" s="196" t="s">
        <v>1159</v>
      </c>
      <c r="AQ59" s="213" t="s">
        <v>586</v>
      </c>
      <c r="AR59" s="111" t="s">
        <v>305</v>
      </c>
      <c r="AS59" s="223"/>
      <c r="AT59" s="223"/>
      <c r="AU59" s="223"/>
      <c r="AV59" s="218">
        <v>4.3900000000000002E-2</v>
      </c>
      <c r="AW59" s="230"/>
      <c r="AX59" s="217"/>
      <c r="AY59" s="217"/>
      <c r="AZ59" s="217"/>
      <c r="BA59" s="196"/>
      <c r="BB59" s="196"/>
      <c r="BC59" s="196"/>
      <c r="BD59" s="213"/>
      <c r="BE59" s="218" t="s">
        <v>1037</v>
      </c>
      <c r="BF59" s="196" t="s">
        <v>195</v>
      </c>
      <c r="BG59" s="196"/>
      <c r="BH59" s="196"/>
      <c r="BI59" s="197"/>
      <c r="BJ59" s="196"/>
      <c r="BK59" s="218" t="s">
        <v>1037</v>
      </c>
      <c r="BL59" s="220">
        <v>43986</v>
      </c>
      <c r="BM59" s="218" t="s">
        <v>1486</v>
      </c>
      <c r="BN59" s="218" t="s">
        <v>1489</v>
      </c>
      <c r="BO59" s="218" t="s">
        <v>1490</v>
      </c>
      <c r="BP59" s="218"/>
      <c r="BQ59" s="196"/>
    </row>
    <row r="60" spans="1:69" x14ac:dyDescent="0.25">
      <c r="A60" s="196"/>
      <c r="B60" s="196"/>
      <c r="C60" s="196"/>
      <c r="D60" s="111" t="s">
        <v>305</v>
      </c>
      <c r="E60" s="217">
        <v>59646</v>
      </c>
      <c r="F60" s="210" t="s">
        <v>305</v>
      </c>
      <c r="G60" s="196"/>
      <c r="H60" s="196"/>
      <c r="I60" s="111" t="s">
        <v>12</v>
      </c>
      <c r="J60" s="218" t="s">
        <v>893</v>
      </c>
      <c r="K60" s="219">
        <v>44466</v>
      </c>
      <c r="L60" s="196"/>
      <c r="M60" s="245" t="s">
        <v>159</v>
      </c>
      <c r="N60" s="196"/>
      <c r="O60" s="218" t="s">
        <v>1395</v>
      </c>
      <c r="P60" s="220">
        <v>44006</v>
      </c>
      <c r="Q60" s="218" t="s">
        <v>1175</v>
      </c>
      <c r="R60" s="196"/>
      <c r="S60" s="10">
        <v>2500</v>
      </c>
      <c r="T60" s="247"/>
      <c r="U60" s="196" t="s">
        <v>1649</v>
      </c>
      <c r="V60" s="218" t="s">
        <v>1552</v>
      </c>
      <c r="W60" s="218" t="s">
        <v>1241</v>
      </c>
      <c r="X60" s="141">
        <v>1791.9192</v>
      </c>
      <c r="Y60" s="218">
        <v>39.782470000000004</v>
      </c>
      <c r="Z60" s="218">
        <v>-113.11436</v>
      </c>
      <c r="AA60" s="218" t="s">
        <v>599</v>
      </c>
      <c r="AB60" s="196" t="s">
        <v>218</v>
      </c>
      <c r="AC60" s="218" t="s">
        <v>1148</v>
      </c>
      <c r="AD60" s="197" t="s">
        <v>875</v>
      </c>
      <c r="AE60" s="196" t="s">
        <v>1452</v>
      </c>
      <c r="AF60" s="218"/>
      <c r="AG60" s="196"/>
      <c r="AH60" s="196"/>
      <c r="AI60" s="246">
        <v>7</v>
      </c>
      <c r="AJ60" s="246">
        <v>7</v>
      </c>
      <c r="AK60" s="218" t="s">
        <v>466</v>
      </c>
      <c r="AL60" s="218" t="s">
        <v>924</v>
      </c>
      <c r="AM60" s="196"/>
      <c r="AN60" s="196" t="s">
        <v>452</v>
      </c>
      <c r="AO60" s="196" t="s">
        <v>607</v>
      </c>
      <c r="AP60" s="196" t="s">
        <v>1159</v>
      </c>
      <c r="AQ60" s="213" t="s">
        <v>586</v>
      </c>
      <c r="AR60" s="111" t="s">
        <v>305</v>
      </c>
      <c r="AS60" s="223"/>
      <c r="AT60" s="223"/>
      <c r="AU60" s="223"/>
      <c r="AV60" s="218">
        <v>0.32840000000000003</v>
      </c>
      <c r="AW60" s="230"/>
      <c r="AX60" s="217"/>
      <c r="AY60" s="217"/>
      <c r="AZ60" s="217"/>
      <c r="BA60" s="196"/>
      <c r="BB60" s="196"/>
      <c r="BC60" s="196"/>
      <c r="BD60" s="213"/>
      <c r="BE60" s="218" t="s">
        <v>1038</v>
      </c>
      <c r="BF60" s="196" t="s">
        <v>195</v>
      </c>
      <c r="BG60" s="196"/>
      <c r="BH60" s="196"/>
      <c r="BI60" s="197"/>
      <c r="BJ60" s="196"/>
      <c r="BK60" s="218" t="s">
        <v>1038</v>
      </c>
      <c r="BL60" s="220">
        <v>43976</v>
      </c>
      <c r="BM60" s="218" t="s">
        <v>1486</v>
      </c>
      <c r="BN60" s="218" t="s">
        <v>1489</v>
      </c>
      <c r="BO60" s="218" t="s">
        <v>1490</v>
      </c>
      <c r="BP60" s="218"/>
      <c r="BQ60" s="196"/>
    </row>
    <row r="61" spans="1:69" x14ac:dyDescent="0.25">
      <c r="A61" s="196"/>
      <c r="B61" s="197"/>
      <c r="C61" s="196"/>
      <c r="D61" s="111" t="s">
        <v>305</v>
      </c>
      <c r="E61" s="217">
        <v>59647</v>
      </c>
      <c r="F61" s="210" t="s">
        <v>305</v>
      </c>
      <c r="G61" s="196"/>
      <c r="H61" s="196"/>
      <c r="I61" s="111" t="s">
        <v>12</v>
      </c>
      <c r="J61" s="218" t="s">
        <v>894</v>
      </c>
      <c r="K61" s="219">
        <v>44466</v>
      </c>
      <c r="L61" s="196"/>
      <c r="M61" s="245" t="s">
        <v>159</v>
      </c>
      <c r="N61" s="196"/>
      <c r="O61" s="218" t="s">
        <v>1396</v>
      </c>
      <c r="P61" s="220">
        <v>44019</v>
      </c>
      <c r="Q61" s="218" t="s">
        <v>1177</v>
      </c>
      <c r="R61" s="196"/>
      <c r="S61" s="10">
        <v>1100</v>
      </c>
      <c r="T61" s="247"/>
      <c r="U61" s="196" t="s">
        <v>1644</v>
      </c>
      <c r="V61" s="218" t="s">
        <v>1553</v>
      </c>
      <c r="W61" s="218" t="s">
        <v>1242</v>
      </c>
      <c r="X61" s="141">
        <v>2156.7647999999999</v>
      </c>
      <c r="Y61" s="218">
        <v>41.877189999999999</v>
      </c>
      <c r="Z61" s="218">
        <v>-113.56426999999999</v>
      </c>
      <c r="AA61" s="218" t="s">
        <v>599</v>
      </c>
      <c r="AB61" s="196" t="s">
        <v>218</v>
      </c>
      <c r="AC61" s="218" t="s">
        <v>1148</v>
      </c>
      <c r="AD61" s="197" t="s">
        <v>875</v>
      </c>
      <c r="AE61" s="196" t="s">
        <v>1452</v>
      </c>
      <c r="AF61" s="218"/>
      <c r="AG61" s="196"/>
      <c r="AH61" s="196"/>
      <c r="AI61" s="246">
        <v>28</v>
      </c>
      <c r="AJ61" s="246">
        <v>28</v>
      </c>
      <c r="AK61" s="218" t="s">
        <v>470</v>
      </c>
      <c r="AL61" s="218" t="s">
        <v>928</v>
      </c>
      <c r="AM61" s="196"/>
      <c r="AN61" s="196" t="s">
        <v>1329</v>
      </c>
      <c r="AO61" s="196" t="s">
        <v>726</v>
      </c>
      <c r="AP61" s="196" t="s">
        <v>1161</v>
      </c>
      <c r="AQ61" s="213" t="s">
        <v>586</v>
      </c>
      <c r="AR61" s="111" t="s">
        <v>305</v>
      </c>
      <c r="AS61" s="223"/>
      <c r="AT61" s="223"/>
      <c r="AU61" s="223"/>
      <c r="AV61" s="218">
        <v>6.3100000000000003E-2</v>
      </c>
      <c r="AW61" s="230"/>
      <c r="AX61" s="217"/>
      <c r="AY61" s="217"/>
      <c r="AZ61" s="217"/>
      <c r="BA61" s="196"/>
      <c r="BB61" s="196"/>
      <c r="BC61" s="196"/>
      <c r="BD61" s="213"/>
      <c r="BE61" s="218" t="s">
        <v>1039</v>
      </c>
      <c r="BF61" s="196" t="s">
        <v>195</v>
      </c>
      <c r="BG61" s="196"/>
      <c r="BH61" s="196"/>
      <c r="BI61" s="197"/>
      <c r="BJ61" s="196"/>
      <c r="BK61" s="218" t="s">
        <v>1039</v>
      </c>
      <c r="BL61" s="220">
        <v>44019</v>
      </c>
      <c r="BM61" s="218" t="s">
        <v>1486</v>
      </c>
      <c r="BN61" s="218" t="s">
        <v>1489</v>
      </c>
      <c r="BO61" s="218" t="s">
        <v>1490</v>
      </c>
      <c r="BP61" s="218"/>
      <c r="BQ61" s="196"/>
    </row>
    <row r="62" spans="1:69" x14ac:dyDescent="0.25">
      <c r="A62" s="196"/>
      <c r="B62" s="196"/>
      <c r="C62" s="196"/>
      <c r="D62" s="111" t="s">
        <v>305</v>
      </c>
      <c r="E62" s="217">
        <v>59648</v>
      </c>
      <c r="F62" s="210" t="s">
        <v>305</v>
      </c>
      <c r="G62" s="196"/>
      <c r="H62" s="196"/>
      <c r="I62" s="111" t="s">
        <v>12</v>
      </c>
      <c r="J62" s="218" t="s">
        <v>893</v>
      </c>
      <c r="K62" s="219">
        <v>44466</v>
      </c>
      <c r="L62" s="196"/>
      <c r="M62" s="245" t="s">
        <v>159</v>
      </c>
      <c r="N62" s="196"/>
      <c r="O62" s="218" t="s">
        <v>1397</v>
      </c>
      <c r="P62" s="220">
        <v>44021</v>
      </c>
      <c r="Q62" s="218" t="s">
        <v>1176</v>
      </c>
      <c r="R62" s="196"/>
      <c r="S62" s="10">
        <v>1800</v>
      </c>
      <c r="T62" s="247"/>
      <c r="U62" s="196" t="s">
        <v>1650</v>
      </c>
      <c r="V62" s="218" t="s">
        <v>1554</v>
      </c>
      <c r="W62" s="218" t="s">
        <v>1243</v>
      </c>
      <c r="X62" s="141">
        <v>1766.9256</v>
      </c>
      <c r="Y62" s="218">
        <v>40.710189999999997</v>
      </c>
      <c r="Z62" s="218">
        <v>-112.928</v>
      </c>
      <c r="AA62" s="218" t="s">
        <v>599</v>
      </c>
      <c r="AB62" s="196" t="s">
        <v>218</v>
      </c>
      <c r="AC62" s="218" t="s">
        <v>1149</v>
      </c>
      <c r="AD62" s="197" t="s">
        <v>875</v>
      </c>
      <c r="AE62" s="196" t="s">
        <v>1452</v>
      </c>
      <c r="AF62" s="218"/>
      <c r="AG62" s="196"/>
      <c r="AH62" s="196"/>
      <c r="AI62" s="246">
        <v>14</v>
      </c>
      <c r="AJ62" s="246">
        <v>14</v>
      </c>
      <c r="AK62" s="218" t="s">
        <v>471</v>
      </c>
      <c r="AL62" s="218" t="s">
        <v>922</v>
      </c>
      <c r="AM62" s="196"/>
      <c r="AN62" s="196" t="s">
        <v>452</v>
      </c>
      <c r="AO62" s="196" t="s">
        <v>607</v>
      </c>
      <c r="AP62" s="196" t="s">
        <v>1159</v>
      </c>
      <c r="AQ62" s="213" t="s">
        <v>586</v>
      </c>
      <c r="AR62" s="111" t="s">
        <v>305</v>
      </c>
      <c r="AS62" s="223"/>
      <c r="AT62" s="223"/>
      <c r="AU62" s="223"/>
      <c r="AV62" s="218">
        <v>0.3674</v>
      </c>
      <c r="AW62" s="230"/>
      <c r="AX62" s="217"/>
      <c r="AY62" s="217"/>
      <c r="AZ62" s="217"/>
      <c r="BA62" s="196"/>
      <c r="BB62" s="196"/>
      <c r="BC62" s="196"/>
      <c r="BD62" s="213"/>
      <c r="BE62" s="218" t="s">
        <v>1040</v>
      </c>
      <c r="BF62" s="196" t="s">
        <v>195</v>
      </c>
      <c r="BG62" s="196"/>
      <c r="BH62" s="196"/>
      <c r="BI62" s="197"/>
      <c r="BJ62" s="196"/>
      <c r="BK62" s="218" t="s">
        <v>1040</v>
      </c>
      <c r="BL62" s="220">
        <v>44015</v>
      </c>
      <c r="BM62" s="218" t="s">
        <v>1486</v>
      </c>
      <c r="BN62" s="218" t="s">
        <v>1489</v>
      </c>
      <c r="BO62" s="218" t="s">
        <v>1490</v>
      </c>
      <c r="BP62" s="218"/>
      <c r="BQ62" s="196"/>
    </row>
    <row r="63" spans="1:69" x14ac:dyDescent="0.25">
      <c r="A63" s="196"/>
      <c r="B63" s="196"/>
      <c r="C63" s="196"/>
      <c r="D63" s="111" t="s">
        <v>305</v>
      </c>
      <c r="E63" s="217">
        <v>59649</v>
      </c>
      <c r="F63" s="210" t="s">
        <v>305</v>
      </c>
      <c r="G63" s="196"/>
      <c r="H63" s="196"/>
      <c r="I63" s="111" t="s">
        <v>12</v>
      </c>
      <c r="J63" s="218" t="s">
        <v>894</v>
      </c>
      <c r="K63" s="219">
        <v>44466</v>
      </c>
      <c r="L63" s="196"/>
      <c r="M63" s="245" t="s">
        <v>159</v>
      </c>
      <c r="N63" s="196"/>
      <c r="O63" s="218" t="s">
        <v>1398</v>
      </c>
      <c r="P63" s="220">
        <v>44025</v>
      </c>
      <c r="Q63" s="218" t="s">
        <v>1177</v>
      </c>
      <c r="R63" s="196"/>
      <c r="S63" s="10">
        <v>1400</v>
      </c>
      <c r="T63" s="247"/>
      <c r="U63" s="196"/>
      <c r="V63" s="218" t="s">
        <v>1555</v>
      </c>
      <c r="W63" s="218" t="s">
        <v>1244</v>
      </c>
      <c r="X63" s="141">
        <v>2410.9680000000003</v>
      </c>
      <c r="Y63" s="218">
        <v>41.662080000000003</v>
      </c>
      <c r="Z63" s="218">
        <v>-113.74299999999999</v>
      </c>
      <c r="AA63" s="218" t="s">
        <v>599</v>
      </c>
      <c r="AB63" s="196" t="s">
        <v>218</v>
      </c>
      <c r="AC63" s="218" t="s">
        <v>1148</v>
      </c>
      <c r="AD63" s="197" t="s">
        <v>875</v>
      </c>
      <c r="AE63" s="196" t="s">
        <v>1452</v>
      </c>
      <c r="AF63" s="218"/>
      <c r="AG63" s="196"/>
      <c r="AH63" s="196"/>
      <c r="AI63" s="246">
        <v>4</v>
      </c>
      <c r="AJ63" s="246">
        <v>4</v>
      </c>
      <c r="AK63" s="218" t="s">
        <v>471</v>
      </c>
      <c r="AL63" s="218" t="s">
        <v>922</v>
      </c>
      <c r="AM63" s="196"/>
      <c r="AN63" s="196" t="s">
        <v>914</v>
      </c>
      <c r="AO63" s="196" t="s">
        <v>726</v>
      </c>
      <c r="AP63" s="196" t="s">
        <v>1161</v>
      </c>
      <c r="AQ63" s="213" t="s">
        <v>586</v>
      </c>
      <c r="AR63" s="111" t="s">
        <v>305</v>
      </c>
      <c r="AS63" s="223"/>
      <c r="AT63" s="223"/>
      <c r="AU63" s="223"/>
      <c r="AV63" s="218">
        <v>4.7699999999999999E-2</v>
      </c>
      <c r="AW63" s="230"/>
      <c r="AX63" s="217"/>
      <c r="AY63" s="217"/>
      <c r="AZ63" s="217"/>
      <c r="BA63" s="196"/>
      <c r="BB63" s="196"/>
      <c r="BC63" s="196"/>
      <c r="BD63" s="213"/>
      <c r="BE63" s="218" t="s">
        <v>1041</v>
      </c>
      <c r="BF63" s="196" t="s">
        <v>195</v>
      </c>
      <c r="BG63" s="196"/>
      <c r="BH63" s="196"/>
      <c r="BI63" s="197"/>
      <c r="BJ63" s="196"/>
      <c r="BK63" s="218" t="s">
        <v>1041</v>
      </c>
      <c r="BL63" s="220">
        <v>44025</v>
      </c>
      <c r="BM63" s="218" t="s">
        <v>1486</v>
      </c>
      <c r="BN63" s="218" t="s">
        <v>1489</v>
      </c>
      <c r="BO63" s="218" t="s">
        <v>1490</v>
      </c>
      <c r="BP63" s="218"/>
      <c r="BQ63" s="196"/>
    </row>
    <row r="64" spans="1:69" x14ac:dyDescent="0.25">
      <c r="A64" s="196"/>
      <c r="B64" s="196"/>
      <c r="C64" s="196"/>
      <c r="D64" s="111" t="s">
        <v>305</v>
      </c>
      <c r="E64" s="217">
        <v>59650</v>
      </c>
      <c r="F64" s="210" t="s">
        <v>305</v>
      </c>
      <c r="G64" s="196"/>
      <c r="H64" s="196"/>
      <c r="I64" s="111" t="s">
        <v>12</v>
      </c>
      <c r="J64" s="218" t="s">
        <v>890</v>
      </c>
      <c r="K64" s="219">
        <v>44466</v>
      </c>
      <c r="L64" s="196"/>
      <c r="M64" s="245" t="s">
        <v>159</v>
      </c>
      <c r="N64" s="196"/>
      <c r="O64" s="218" t="s">
        <v>1399</v>
      </c>
      <c r="P64" s="220">
        <v>44053</v>
      </c>
      <c r="Q64" s="218" t="s">
        <v>1177</v>
      </c>
      <c r="R64" s="196"/>
      <c r="S64" s="10">
        <v>250</v>
      </c>
      <c r="T64" s="247"/>
      <c r="U64" s="196" t="s">
        <v>1646</v>
      </c>
      <c r="V64" s="218" t="s">
        <v>1556</v>
      </c>
      <c r="W64" s="218" t="s">
        <v>1245</v>
      </c>
      <c r="X64" s="141">
        <v>2014.1184000000001</v>
      </c>
      <c r="Y64" s="218">
        <v>41.856610000000003</v>
      </c>
      <c r="Z64" s="218">
        <v>-113.79313</v>
      </c>
      <c r="AA64" s="218" t="s">
        <v>599</v>
      </c>
      <c r="AB64" s="196" t="s">
        <v>218</v>
      </c>
      <c r="AC64" s="218" t="s">
        <v>1150</v>
      </c>
      <c r="AD64" s="197" t="s">
        <v>875</v>
      </c>
      <c r="AE64" s="196" t="s">
        <v>1452</v>
      </c>
      <c r="AF64" s="218"/>
      <c r="AG64" s="196"/>
      <c r="AH64" s="196"/>
      <c r="AI64" s="246">
        <v>8</v>
      </c>
      <c r="AJ64" s="246">
        <v>8</v>
      </c>
      <c r="AK64" s="218" t="s">
        <v>435</v>
      </c>
      <c r="AL64" s="218" t="s">
        <v>927</v>
      </c>
      <c r="AM64" s="196"/>
      <c r="AN64" s="196" t="s">
        <v>918</v>
      </c>
      <c r="AO64" s="196" t="s">
        <v>726</v>
      </c>
      <c r="AP64" s="196" t="s">
        <v>1161</v>
      </c>
      <c r="AQ64" s="213" t="s">
        <v>586</v>
      </c>
      <c r="AR64" s="111" t="s">
        <v>305</v>
      </c>
      <c r="AS64" s="223"/>
      <c r="AT64" s="223"/>
      <c r="AU64" s="223"/>
      <c r="AV64" s="218">
        <v>0.32500000000000001</v>
      </c>
      <c r="AW64" s="230"/>
      <c r="AX64" s="217"/>
      <c r="AY64" s="217"/>
      <c r="AZ64" s="217"/>
      <c r="BA64" s="196"/>
      <c r="BB64" s="196"/>
      <c r="BC64" s="196"/>
      <c r="BD64" s="213"/>
      <c r="BE64" s="218" t="s">
        <v>1042</v>
      </c>
      <c r="BF64" s="196" t="s">
        <v>195</v>
      </c>
      <c r="BG64" s="196"/>
      <c r="BH64" s="196"/>
      <c r="BI64" s="197"/>
      <c r="BJ64" s="196"/>
      <c r="BK64" s="218" t="s">
        <v>1042</v>
      </c>
      <c r="BL64" s="220">
        <v>44020</v>
      </c>
      <c r="BM64" s="218" t="s">
        <v>1486</v>
      </c>
      <c r="BN64" s="218" t="s">
        <v>1489</v>
      </c>
      <c r="BO64" s="218" t="s">
        <v>1490</v>
      </c>
      <c r="BP64" s="218"/>
      <c r="BQ64" s="196"/>
    </row>
    <row r="65" spans="1:69" x14ac:dyDescent="0.25">
      <c r="A65" s="196"/>
      <c r="B65" s="197"/>
      <c r="C65" s="196"/>
      <c r="D65" s="111" t="s">
        <v>305</v>
      </c>
      <c r="E65" s="217">
        <v>59651</v>
      </c>
      <c r="F65" s="210" t="s">
        <v>305</v>
      </c>
      <c r="G65" s="196"/>
      <c r="H65" s="196"/>
      <c r="I65" s="111" t="s">
        <v>12</v>
      </c>
      <c r="J65" s="218" t="s">
        <v>890</v>
      </c>
      <c r="K65" s="219">
        <v>44466</v>
      </c>
      <c r="L65" s="196"/>
      <c r="M65" s="245" t="s">
        <v>159</v>
      </c>
      <c r="N65" s="196"/>
      <c r="O65" s="218" t="s">
        <v>1400</v>
      </c>
      <c r="P65" s="220">
        <v>44054</v>
      </c>
      <c r="Q65" s="218" t="s">
        <v>1177</v>
      </c>
      <c r="R65" s="196"/>
      <c r="S65" s="10">
        <v>200</v>
      </c>
      <c r="T65" s="247"/>
      <c r="U65" s="196" t="s">
        <v>1646</v>
      </c>
      <c r="V65" s="218" t="s">
        <v>1557</v>
      </c>
      <c r="W65" s="218" t="s">
        <v>1246</v>
      </c>
      <c r="X65" s="141">
        <v>1906.2192</v>
      </c>
      <c r="Y65" s="218">
        <v>41.975360000000002</v>
      </c>
      <c r="Z65" s="218">
        <v>-113.88094</v>
      </c>
      <c r="AA65" s="218" t="s">
        <v>599</v>
      </c>
      <c r="AB65" s="196" t="s">
        <v>218</v>
      </c>
      <c r="AC65" s="218" t="s">
        <v>1150</v>
      </c>
      <c r="AD65" s="197" t="s">
        <v>875</v>
      </c>
      <c r="AE65" s="196" t="s">
        <v>1452</v>
      </c>
      <c r="AF65" s="218"/>
      <c r="AG65" s="196"/>
      <c r="AH65" s="196"/>
      <c r="AI65" s="246">
        <v>10</v>
      </c>
      <c r="AJ65" s="246">
        <v>10</v>
      </c>
      <c r="AK65" s="218" t="s">
        <v>435</v>
      </c>
      <c r="AL65" s="218" t="s">
        <v>927</v>
      </c>
      <c r="AM65" s="196"/>
      <c r="AN65" s="196" t="s">
        <v>918</v>
      </c>
      <c r="AO65" s="196" t="s">
        <v>726</v>
      </c>
      <c r="AP65" s="196" t="s">
        <v>1161</v>
      </c>
      <c r="AQ65" s="213" t="s">
        <v>586</v>
      </c>
      <c r="AR65" s="111" t="s">
        <v>305</v>
      </c>
      <c r="AS65" s="223"/>
      <c r="AT65" s="223"/>
      <c r="AU65" s="223"/>
      <c r="AV65" s="218">
        <v>0.33750000000000002</v>
      </c>
      <c r="AW65" s="230"/>
      <c r="AX65" s="217"/>
      <c r="AY65" s="217"/>
      <c r="AZ65" s="217"/>
      <c r="BA65" s="196"/>
      <c r="BB65" s="196"/>
      <c r="BC65" s="196"/>
      <c r="BD65" s="213"/>
      <c r="BE65" s="218" t="s">
        <v>1043</v>
      </c>
      <c r="BF65" s="196" t="s">
        <v>195</v>
      </c>
      <c r="BG65" s="196"/>
      <c r="BH65" s="196"/>
      <c r="BI65" s="197"/>
      <c r="BJ65" s="196"/>
      <c r="BK65" s="218" t="s">
        <v>1043</v>
      </c>
      <c r="BL65" s="220">
        <v>44040</v>
      </c>
      <c r="BM65" s="218" t="s">
        <v>1486</v>
      </c>
      <c r="BN65" s="218" t="s">
        <v>1489</v>
      </c>
      <c r="BO65" s="218" t="s">
        <v>1490</v>
      </c>
      <c r="BP65" s="218"/>
      <c r="BQ65" s="196"/>
    </row>
    <row r="66" spans="1:69" x14ac:dyDescent="0.25">
      <c r="A66" s="196"/>
      <c r="B66" s="196"/>
      <c r="C66" s="196"/>
      <c r="D66" s="111" t="s">
        <v>305</v>
      </c>
      <c r="E66" s="217">
        <v>59652</v>
      </c>
      <c r="F66" s="210" t="s">
        <v>305</v>
      </c>
      <c r="G66" s="196"/>
      <c r="H66" s="196"/>
      <c r="I66" s="111" t="s">
        <v>12</v>
      </c>
      <c r="J66" s="218" t="s">
        <v>890</v>
      </c>
      <c r="K66" s="219">
        <v>44466</v>
      </c>
      <c r="L66" s="196"/>
      <c r="M66" s="245" t="s">
        <v>159</v>
      </c>
      <c r="N66" s="196"/>
      <c r="O66" s="218" t="s">
        <v>1401</v>
      </c>
      <c r="P66" s="220">
        <v>44054</v>
      </c>
      <c r="Q66" s="218" t="s">
        <v>1177</v>
      </c>
      <c r="R66" s="196"/>
      <c r="S66" s="10">
        <v>150</v>
      </c>
      <c r="T66" s="247"/>
      <c r="U66" s="196" t="s">
        <v>1651</v>
      </c>
      <c r="V66" s="218" t="s">
        <v>1558</v>
      </c>
      <c r="W66" s="218" t="s">
        <v>1247</v>
      </c>
      <c r="X66" s="141">
        <v>1896.1608000000001</v>
      </c>
      <c r="Y66" s="218">
        <v>41.909500000000001</v>
      </c>
      <c r="Z66" s="218">
        <v>-113.60927</v>
      </c>
      <c r="AA66" s="218" t="s">
        <v>599</v>
      </c>
      <c r="AB66" s="196" t="s">
        <v>218</v>
      </c>
      <c r="AC66" s="218" t="s">
        <v>1150</v>
      </c>
      <c r="AD66" s="197" t="s">
        <v>875</v>
      </c>
      <c r="AE66" s="196" t="s">
        <v>1452</v>
      </c>
      <c r="AF66" s="218"/>
      <c r="AG66" s="196"/>
      <c r="AH66" s="196"/>
      <c r="AI66" s="246">
        <v>5</v>
      </c>
      <c r="AJ66" s="246">
        <v>5</v>
      </c>
      <c r="AK66" s="218" t="s">
        <v>467</v>
      </c>
      <c r="AL66" s="218" t="s">
        <v>11</v>
      </c>
      <c r="AM66" s="196"/>
      <c r="AN66" s="196" t="s">
        <v>918</v>
      </c>
      <c r="AO66" s="196" t="s">
        <v>726</v>
      </c>
      <c r="AP66" s="196" t="s">
        <v>1161</v>
      </c>
      <c r="AQ66" s="213" t="s">
        <v>586</v>
      </c>
      <c r="AR66" s="111" t="s">
        <v>305</v>
      </c>
      <c r="AS66" s="223"/>
      <c r="AT66" s="223"/>
      <c r="AU66" s="223"/>
      <c r="AV66" s="218">
        <v>0.32119999999999999</v>
      </c>
      <c r="AW66" s="230"/>
      <c r="AX66" s="217"/>
      <c r="AY66" s="217"/>
      <c r="AZ66" s="217"/>
      <c r="BA66" s="196"/>
      <c r="BB66" s="196"/>
      <c r="BC66" s="196"/>
      <c r="BD66" s="213"/>
      <c r="BE66" s="218" t="s">
        <v>1044</v>
      </c>
      <c r="BF66" s="196" t="s">
        <v>195</v>
      </c>
      <c r="BG66" s="196"/>
      <c r="BH66" s="196"/>
      <c r="BI66" s="197"/>
      <c r="BJ66" s="196"/>
      <c r="BK66" s="218" t="s">
        <v>1044</v>
      </c>
      <c r="BL66" s="220">
        <v>44020</v>
      </c>
      <c r="BM66" s="218" t="s">
        <v>1486</v>
      </c>
      <c r="BN66" s="218" t="s">
        <v>1489</v>
      </c>
      <c r="BO66" s="218" t="s">
        <v>1490</v>
      </c>
      <c r="BP66" s="218"/>
      <c r="BQ66" s="196"/>
    </row>
    <row r="67" spans="1:69" x14ac:dyDescent="0.25">
      <c r="A67" s="196"/>
      <c r="B67" s="197"/>
      <c r="C67" s="196"/>
      <c r="D67" s="111" t="s">
        <v>305</v>
      </c>
      <c r="E67" s="217">
        <v>59653</v>
      </c>
      <c r="F67" s="210" t="s">
        <v>305</v>
      </c>
      <c r="G67" s="196"/>
      <c r="H67" s="196"/>
      <c r="I67" s="111" t="s">
        <v>12</v>
      </c>
      <c r="J67" s="218" t="s">
        <v>890</v>
      </c>
      <c r="K67" s="219">
        <v>44466</v>
      </c>
      <c r="L67" s="196"/>
      <c r="M67" s="245" t="s">
        <v>159</v>
      </c>
      <c r="N67" s="196"/>
      <c r="O67" s="218" t="s">
        <v>1402</v>
      </c>
      <c r="P67" s="220">
        <v>44055</v>
      </c>
      <c r="Q67" s="218" t="s">
        <v>1177</v>
      </c>
      <c r="R67" s="196"/>
      <c r="S67" s="10">
        <v>150</v>
      </c>
      <c r="T67" s="247"/>
      <c r="U67" s="196" t="s">
        <v>1646</v>
      </c>
      <c r="V67" s="218" t="s">
        <v>1559</v>
      </c>
      <c r="W67" s="218" t="s">
        <v>1248</v>
      </c>
      <c r="X67" s="141">
        <v>2018.0808000000002</v>
      </c>
      <c r="Y67" s="218">
        <v>41.953800000000001</v>
      </c>
      <c r="Z67" s="218">
        <v>-113.45738</v>
      </c>
      <c r="AA67" s="218" t="s">
        <v>599</v>
      </c>
      <c r="AB67" s="196" t="s">
        <v>218</v>
      </c>
      <c r="AC67" s="218" t="s">
        <v>1150</v>
      </c>
      <c r="AD67" s="197" t="s">
        <v>875</v>
      </c>
      <c r="AE67" s="196" t="s">
        <v>1452</v>
      </c>
      <c r="AF67" s="218"/>
      <c r="AG67" s="196"/>
      <c r="AH67" s="196"/>
      <c r="AI67" s="246">
        <v>3</v>
      </c>
      <c r="AJ67" s="246">
        <v>3</v>
      </c>
      <c r="AK67" s="218" t="s">
        <v>471</v>
      </c>
      <c r="AL67" s="218" t="s">
        <v>922</v>
      </c>
      <c r="AM67" s="196"/>
      <c r="AN67" s="196" t="s">
        <v>916</v>
      </c>
      <c r="AO67" s="196" t="s">
        <v>726</v>
      </c>
      <c r="AP67" s="196" t="s">
        <v>1161</v>
      </c>
      <c r="AQ67" s="213" t="s">
        <v>586</v>
      </c>
      <c r="AR67" s="111" t="s">
        <v>305</v>
      </c>
      <c r="AS67" s="223"/>
      <c r="AT67" s="223"/>
      <c r="AU67" s="223"/>
      <c r="AV67" s="218">
        <v>0.31830000000000003</v>
      </c>
      <c r="AW67" s="230"/>
      <c r="AX67" s="217"/>
      <c r="AY67" s="217"/>
      <c r="AZ67" s="217"/>
      <c r="BA67" s="196"/>
      <c r="BB67" s="196"/>
      <c r="BC67" s="196"/>
      <c r="BD67" s="213"/>
      <c r="BE67" s="218" t="s">
        <v>1045</v>
      </c>
      <c r="BF67" s="196" t="s">
        <v>195</v>
      </c>
      <c r="BG67" s="196"/>
      <c r="BH67" s="196"/>
      <c r="BI67" s="197"/>
      <c r="BJ67" s="196"/>
      <c r="BK67" s="218" t="s">
        <v>1045</v>
      </c>
      <c r="BL67" s="220">
        <v>44020</v>
      </c>
      <c r="BM67" s="218" t="s">
        <v>1486</v>
      </c>
      <c r="BN67" s="218" t="s">
        <v>1489</v>
      </c>
      <c r="BO67" s="218" t="s">
        <v>1490</v>
      </c>
      <c r="BP67" s="218"/>
      <c r="BQ67" s="196"/>
    </row>
    <row r="68" spans="1:69" x14ac:dyDescent="0.25">
      <c r="A68" s="196"/>
      <c r="B68" s="196"/>
      <c r="C68" s="196"/>
      <c r="D68" s="111" t="s">
        <v>305</v>
      </c>
      <c r="E68" s="217">
        <v>59654</v>
      </c>
      <c r="F68" s="210" t="s">
        <v>305</v>
      </c>
      <c r="G68" s="196"/>
      <c r="H68" s="196"/>
      <c r="I68" s="111" t="s">
        <v>12</v>
      </c>
      <c r="J68" s="218" t="s">
        <v>890</v>
      </c>
      <c r="K68" s="219">
        <v>44466</v>
      </c>
      <c r="L68" s="196"/>
      <c r="M68" s="245" t="s">
        <v>159</v>
      </c>
      <c r="N68" s="196"/>
      <c r="O68" s="218" t="s">
        <v>1403</v>
      </c>
      <c r="P68" s="220">
        <v>44055</v>
      </c>
      <c r="Q68" s="218" t="s">
        <v>1177</v>
      </c>
      <c r="R68" s="196"/>
      <c r="S68" s="10">
        <v>150</v>
      </c>
      <c r="T68" s="247"/>
      <c r="U68" s="196" t="s">
        <v>1644</v>
      </c>
      <c r="V68" s="218" t="s">
        <v>1560</v>
      </c>
      <c r="W68" s="218" t="s">
        <v>1249</v>
      </c>
      <c r="X68" s="141">
        <v>2026.0056000000002</v>
      </c>
      <c r="Y68" s="218">
        <v>41.951000000000001</v>
      </c>
      <c r="Z68" s="218">
        <v>-113.33958</v>
      </c>
      <c r="AA68" s="218" t="s">
        <v>599</v>
      </c>
      <c r="AB68" s="196" t="s">
        <v>218</v>
      </c>
      <c r="AC68" s="218" t="s">
        <v>1148</v>
      </c>
      <c r="AD68" s="197" t="s">
        <v>875</v>
      </c>
      <c r="AE68" s="196" t="s">
        <v>1452</v>
      </c>
      <c r="AF68" s="218"/>
      <c r="AG68" s="196"/>
      <c r="AH68" s="196"/>
      <c r="AI68" s="246">
        <v>7</v>
      </c>
      <c r="AJ68" s="246">
        <v>7</v>
      </c>
      <c r="AK68" s="218" t="s">
        <v>471</v>
      </c>
      <c r="AL68" s="218" t="s">
        <v>922</v>
      </c>
      <c r="AM68" s="196"/>
      <c r="AN68" s="196" t="s">
        <v>914</v>
      </c>
      <c r="AO68" s="196" t="s">
        <v>726</v>
      </c>
      <c r="AP68" s="196" t="s">
        <v>1161</v>
      </c>
      <c r="AQ68" s="213" t="s">
        <v>586</v>
      </c>
      <c r="AR68" s="111" t="s">
        <v>305</v>
      </c>
      <c r="AS68" s="223"/>
      <c r="AT68" s="223"/>
      <c r="AU68" s="223"/>
      <c r="AV68" s="218">
        <v>0.3251</v>
      </c>
      <c r="AW68" s="230"/>
      <c r="AX68" s="217"/>
      <c r="AY68" s="217"/>
      <c r="AZ68" s="217"/>
      <c r="BA68" s="196"/>
      <c r="BB68" s="196"/>
      <c r="BC68" s="196"/>
      <c r="BD68" s="213"/>
      <c r="BE68" s="218" t="s">
        <v>1046</v>
      </c>
      <c r="BF68" s="196" t="s">
        <v>195</v>
      </c>
      <c r="BG68" s="196"/>
      <c r="BH68" s="196"/>
      <c r="BI68" s="197"/>
      <c r="BJ68" s="196"/>
      <c r="BK68" s="218" t="s">
        <v>1046</v>
      </c>
      <c r="BL68" s="220">
        <v>44032</v>
      </c>
      <c r="BM68" s="218" t="s">
        <v>1486</v>
      </c>
      <c r="BN68" s="218" t="s">
        <v>1489</v>
      </c>
      <c r="BO68" s="218" t="s">
        <v>1490</v>
      </c>
      <c r="BP68" s="218"/>
      <c r="BQ68" s="196"/>
    </row>
    <row r="69" spans="1:69" x14ac:dyDescent="0.25">
      <c r="A69" s="196"/>
      <c r="B69" s="196"/>
      <c r="C69" s="196"/>
      <c r="D69" s="111" t="s">
        <v>305</v>
      </c>
      <c r="E69" s="217">
        <v>59655</v>
      </c>
      <c r="F69" s="210" t="s">
        <v>305</v>
      </c>
      <c r="G69" s="196"/>
      <c r="H69" s="196"/>
      <c r="I69" s="111" t="s">
        <v>12</v>
      </c>
      <c r="J69" s="218" t="s">
        <v>889</v>
      </c>
      <c r="K69" s="219">
        <v>44466</v>
      </c>
      <c r="L69" s="196"/>
      <c r="M69" s="245" t="s">
        <v>159</v>
      </c>
      <c r="N69" s="196"/>
      <c r="O69" s="218"/>
      <c r="P69" s="220">
        <v>43993</v>
      </c>
      <c r="Q69" s="218" t="s">
        <v>1178</v>
      </c>
      <c r="R69" s="196"/>
      <c r="S69" s="10">
        <v>60</v>
      </c>
      <c r="T69" s="247"/>
      <c r="U69" s="196" t="s">
        <v>1644</v>
      </c>
      <c r="V69" s="218" t="s">
        <v>1561</v>
      </c>
      <c r="W69" s="218" t="s">
        <v>1250</v>
      </c>
      <c r="X69" s="141">
        <v>1708.0992000000001</v>
      </c>
      <c r="Y69" s="218">
        <v>40.151020000000003</v>
      </c>
      <c r="Z69" s="218">
        <v>-109.12966</v>
      </c>
      <c r="AA69" s="218" t="s">
        <v>1443</v>
      </c>
      <c r="AB69" s="196" t="s">
        <v>218</v>
      </c>
      <c r="AC69" s="218" t="s">
        <v>1151</v>
      </c>
      <c r="AD69" s="197" t="s">
        <v>875</v>
      </c>
      <c r="AE69" s="196" t="s">
        <v>1453</v>
      </c>
      <c r="AF69" s="218"/>
      <c r="AG69" s="196"/>
      <c r="AH69" s="196"/>
      <c r="AI69" s="246">
        <v>30</v>
      </c>
      <c r="AJ69" s="246">
        <v>30</v>
      </c>
      <c r="AK69" s="218" t="s">
        <v>471</v>
      </c>
      <c r="AL69" s="218" t="s">
        <v>922</v>
      </c>
      <c r="AM69" s="196"/>
      <c r="AN69" s="196" t="s">
        <v>1330</v>
      </c>
      <c r="AO69" s="196" t="s">
        <v>656</v>
      </c>
      <c r="AP69" s="196" t="s">
        <v>1162</v>
      </c>
      <c r="AQ69" s="213" t="s">
        <v>586</v>
      </c>
      <c r="AR69" s="111" t="s">
        <v>305</v>
      </c>
      <c r="AS69" s="223"/>
      <c r="AT69" s="223"/>
      <c r="AU69" s="223"/>
      <c r="AV69" s="218">
        <v>0.29139999999999999</v>
      </c>
      <c r="AW69" s="230"/>
      <c r="AX69" s="217"/>
      <c r="AY69" s="217"/>
      <c r="AZ69" s="217"/>
      <c r="BA69" s="196"/>
      <c r="BB69" s="196"/>
      <c r="BC69" s="196"/>
      <c r="BD69" s="213"/>
      <c r="BE69" s="218" t="s">
        <v>1047</v>
      </c>
      <c r="BF69" s="196" t="s">
        <v>195</v>
      </c>
      <c r="BG69" s="196"/>
      <c r="BH69" s="196"/>
      <c r="BI69" s="197"/>
      <c r="BJ69" s="196"/>
      <c r="BK69" s="218" t="s">
        <v>1047</v>
      </c>
      <c r="BL69" s="220">
        <v>43993</v>
      </c>
      <c r="BM69" s="218"/>
      <c r="BN69" s="218"/>
      <c r="BO69" s="218"/>
      <c r="BP69" s="218"/>
      <c r="BQ69" s="196"/>
    </row>
    <row r="70" spans="1:69" x14ac:dyDescent="0.25">
      <c r="A70" s="196"/>
      <c r="B70" s="196"/>
      <c r="C70" s="196"/>
      <c r="D70" s="111" t="s">
        <v>305</v>
      </c>
      <c r="E70" s="217">
        <v>59656</v>
      </c>
      <c r="F70" s="210" t="s">
        <v>305</v>
      </c>
      <c r="G70" s="196"/>
      <c r="H70" s="196"/>
      <c r="I70" s="111" t="s">
        <v>12</v>
      </c>
      <c r="J70" s="218" t="s">
        <v>889</v>
      </c>
      <c r="K70" s="219">
        <v>44466</v>
      </c>
      <c r="L70" s="196"/>
      <c r="M70" s="245" t="s">
        <v>159</v>
      </c>
      <c r="N70" s="196"/>
      <c r="O70" s="218"/>
      <c r="P70" s="220">
        <v>43997</v>
      </c>
      <c r="Q70" s="218" t="s">
        <v>1178</v>
      </c>
      <c r="R70" s="196"/>
      <c r="S70" s="10">
        <v>100</v>
      </c>
      <c r="T70" s="247"/>
      <c r="U70" s="196" t="s">
        <v>1644</v>
      </c>
      <c r="V70" s="218" t="s">
        <v>1562</v>
      </c>
      <c r="W70" s="218" t="s">
        <v>1251</v>
      </c>
      <c r="X70" s="141">
        <v>1561.7952</v>
      </c>
      <c r="Y70" s="218">
        <v>40.151009999999999</v>
      </c>
      <c r="Z70" s="218">
        <v>-109.12963000000001</v>
      </c>
      <c r="AA70" s="218" t="s">
        <v>1443</v>
      </c>
      <c r="AB70" s="196" t="s">
        <v>218</v>
      </c>
      <c r="AC70" s="218" t="s">
        <v>1151</v>
      </c>
      <c r="AD70" s="197" t="s">
        <v>875</v>
      </c>
      <c r="AE70" s="196" t="s">
        <v>1453</v>
      </c>
      <c r="AF70" s="218"/>
      <c r="AG70" s="196"/>
      <c r="AH70" s="196"/>
      <c r="AI70" s="246">
        <v>0</v>
      </c>
      <c r="AJ70" s="246">
        <v>0</v>
      </c>
      <c r="AK70" s="218" t="s">
        <v>467</v>
      </c>
      <c r="AL70" s="218" t="s">
        <v>11</v>
      </c>
      <c r="AM70" s="196"/>
      <c r="AN70" s="196" t="s">
        <v>917</v>
      </c>
      <c r="AO70" s="196" t="s">
        <v>656</v>
      </c>
      <c r="AP70" s="196" t="s">
        <v>1162</v>
      </c>
      <c r="AQ70" s="213" t="s">
        <v>586</v>
      </c>
      <c r="AR70" s="111" t="s">
        <v>305</v>
      </c>
      <c r="AS70" s="223"/>
      <c r="AT70" s="223"/>
      <c r="AU70" s="223"/>
      <c r="AV70" s="218">
        <v>0.26029999999999998</v>
      </c>
      <c r="AW70" s="230"/>
      <c r="AX70" s="217"/>
      <c r="AY70" s="217"/>
      <c r="AZ70" s="217"/>
      <c r="BA70" s="196"/>
      <c r="BB70" s="196"/>
      <c r="BC70" s="196"/>
      <c r="BD70" s="213"/>
      <c r="BE70" s="218" t="s">
        <v>1048</v>
      </c>
      <c r="BF70" s="196" t="s">
        <v>195</v>
      </c>
      <c r="BG70" s="196"/>
      <c r="BH70" s="196"/>
      <c r="BI70" s="197"/>
      <c r="BJ70" s="196"/>
      <c r="BK70" s="218" t="s">
        <v>1048</v>
      </c>
      <c r="BL70" s="220">
        <v>43997</v>
      </c>
      <c r="BM70" s="218"/>
      <c r="BN70" s="218"/>
      <c r="BO70" s="218"/>
      <c r="BP70" s="218"/>
      <c r="BQ70" s="196"/>
    </row>
    <row r="71" spans="1:69" x14ac:dyDescent="0.25">
      <c r="A71" s="196"/>
      <c r="B71" s="197"/>
      <c r="C71" s="196"/>
      <c r="D71" s="111" t="s">
        <v>305</v>
      </c>
      <c r="E71" s="217">
        <v>59657</v>
      </c>
      <c r="F71" s="210" t="s">
        <v>305</v>
      </c>
      <c r="G71" s="196"/>
      <c r="H71" s="196"/>
      <c r="I71" s="111" t="s">
        <v>12</v>
      </c>
      <c r="J71" s="218" t="s">
        <v>967</v>
      </c>
      <c r="K71" s="219">
        <v>44466</v>
      </c>
      <c r="L71" s="196"/>
      <c r="M71" s="245" t="s">
        <v>159</v>
      </c>
      <c r="N71" s="196"/>
      <c r="O71" s="218"/>
      <c r="P71" s="220">
        <v>43998</v>
      </c>
      <c r="Q71" s="218" t="s">
        <v>1178</v>
      </c>
      <c r="R71" s="196"/>
      <c r="S71" s="10">
        <v>2000</v>
      </c>
      <c r="T71" s="247"/>
      <c r="U71" s="196" t="s">
        <v>1644</v>
      </c>
      <c r="V71" s="218" t="s">
        <v>1563</v>
      </c>
      <c r="W71" s="218" t="s">
        <v>1252</v>
      </c>
      <c r="X71" s="141">
        <v>1548.9936</v>
      </c>
      <c r="Y71" s="218">
        <v>40.247239999999998</v>
      </c>
      <c r="Z71" s="218">
        <v>-109.43201000000001</v>
      </c>
      <c r="AA71" s="218" t="s">
        <v>1443</v>
      </c>
      <c r="AB71" s="196" t="s">
        <v>218</v>
      </c>
      <c r="AC71" s="218" t="s">
        <v>1151</v>
      </c>
      <c r="AD71" s="197" t="s">
        <v>875</v>
      </c>
      <c r="AE71" s="196" t="s">
        <v>1453</v>
      </c>
      <c r="AF71" s="218"/>
      <c r="AG71" s="196"/>
      <c r="AH71" s="196"/>
      <c r="AI71" s="246">
        <v>10</v>
      </c>
      <c r="AJ71" s="246">
        <v>10</v>
      </c>
      <c r="AK71" s="218" t="s">
        <v>473</v>
      </c>
      <c r="AL71" s="218" t="s">
        <v>925</v>
      </c>
      <c r="AM71" s="196"/>
      <c r="AN71" s="196" t="s">
        <v>1331</v>
      </c>
      <c r="AO71" s="196" t="s">
        <v>656</v>
      </c>
      <c r="AP71" s="196" t="s">
        <v>1162</v>
      </c>
      <c r="AQ71" s="213" t="s">
        <v>586</v>
      </c>
      <c r="AR71" s="111" t="s">
        <v>305</v>
      </c>
      <c r="AS71" s="223"/>
      <c r="AT71" s="223"/>
      <c r="AU71" s="223"/>
      <c r="AV71" s="218">
        <v>0.28160000000000002</v>
      </c>
      <c r="AW71" s="230"/>
      <c r="AX71" s="217"/>
      <c r="AY71" s="217"/>
      <c r="AZ71" s="217"/>
      <c r="BA71" s="196"/>
      <c r="BB71" s="196"/>
      <c r="BC71" s="196"/>
      <c r="BD71" s="213"/>
      <c r="BE71" s="218" t="s">
        <v>1049</v>
      </c>
      <c r="BF71" s="196" t="s">
        <v>195</v>
      </c>
      <c r="BG71" s="196"/>
      <c r="BH71" s="196"/>
      <c r="BI71" s="197"/>
      <c r="BJ71" s="196"/>
      <c r="BK71" s="218" t="s">
        <v>1049</v>
      </c>
      <c r="BL71" s="218">
        <v>43998</v>
      </c>
      <c r="BM71" s="218"/>
      <c r="BN71" s="218"/>
      <c r="BO71" s="218"/>
      <c r="BP71" s="218"/>
      <c r="BQ71" s="196"/>
    </row>
    <row r="72" spans="1:69" x14ac:dyDescent="0.25">
      <c r="A72" s="196"/>
      <c r="B72" s="196"/>
      <c r="C72" s="196"/>
      <c r="D72" s="111" t="s">
        <v>305</v>
      </c>
      <c r="E72" s="217">
        <v>59658</v>
      </c>
      <c r="F72" s="210" t="s">
        <v>305</v>
      </c>
      <c r="G72" s="196"/>
      <c r="H72" s="196"/>
      <c r="I72" s="111" t="s">
        <v>12</v>
      </c>
      <c r="J72" s="218" t="s">
        <v>967</v>
      </c>
      <c r="K72" s="219">
        <v>44466</v>
      </c>
      <c r="L72" s="196"/>
      <c r="M72" s="245" t="s">
        <v>159</v>
      </c>
      <c r="N72" s="196"/>
      <c r="O72" s="218"/>
      <c r="P72" s="220">
        <v>43998</v>
      </c>
      <c r="Q72" s="218" t="s">
        <v>1178</v>
      </c>
      <c r="R72" s="196"/>
      <c r="S72" s="10">
        <v>1000</v>
      </c>
      <c r="T72" s="247"/>
      <c r="U72" s="196" t="s">
        <v>1644</v>
      </c>
      <c r="V72" s="218" t="s">
        <v>1564</v>
      </c>
      <c r="W72" s="218" t="s">
        <v>1253</v>
      </c>
      <c r="X72" s="141">
        <v>1708.0992000000001</v>
      </c>
      <c r="Y72" s="218">
        <v>40.148159999999997</v>
      </c>
      <c r="Z72" s="218">
        <v>-109.12027</v>
      </c>
      <c r="AA72" s="218" t="s">
        <v>1443</v>
      </c>
      <c r="AB72" s="196" t="s">
        <v>218</v>
      </c>
      <c r="AC72" s="218" t="s">
        <v>1152</v>
      </c>
      <c r="AD72" s="197" t="s">
        <v>875</v>
      </c>
      <c r="AE72" s="196" t="s">
        <v>1453</v>
      </c>
      <c r="AF72" s="218"/>
      <c r="AG72" s="196"/>
      <c r="AH72" s="196"/>
      <c r="AI72" s="246">
        <v>0</v>
      </c>
      <c r="AJ72" s="246">
        <v>0</v>
      </c>
      <c r="AK72" s="218"/>
      <c r="AL72" s="218"/>
      <c r="AM72" s="196"/>
      <c r="AN72" s="196" t="s">
        <v>1332</v>
      </c>
      <c r="AO72" s="196" t="s">
        <v>656</v>
      </c>
      <c r="AP72" s="196" t="s">
        <v>1162</v>
      </c>
      <c r="AQ72" s="213" t="s">
        <v>586</v>
      </c>
      <c r="AR72" s="111" t="s">
        <v>305</v>
      </c>
      <c r="AS72" s="223"/>
      <c r="AT72" s="223"/>
      <c r="AU72" s="223"/>
      <c r="AV72" s="218">
        <v>0.29470000000000002</v>
      </c>
      <c r="AW72" s="230"/>
      <c r="AX72" s="217"/>
      <c r="AY72" s="217"/>
      <c r="AZ72" s="217"/>
      <c r="BA72" s="196"/>
      <c r="BB72" s="196"/>
      <c r="BC72" s="196"/>
      <c r="BD72" s="213"/>
      <c r="BE72" s="218" t="s">
        <v>1050</v>
      </c>
      <c r="BF72" s="196" t="s">
        <v>195</v>
      </c>
      <c r="BG72" s="196"/>
      <c r="BH72" s="196"/>
      <c r="BI72" s="197"/>
      <c r="BJ72" s="196"/>
      <c r="BK72" s="218" t="s">
        <v>1050</v>
      </c>
      <c r="BL72" s="220">
        <v>43998</v>
      </c>
      <c r="BM72" s="218"/>
      <c r="BN72" s="218"/>
      <c r="BO72" s="218"/>
      <c r="BP72" s="218"/>
      <c r="BQ72" s="196"/>
    </row>
    <row r="73" spans="1:69" x14ac:dyDescent="0.25">
      <c r="A73" s="196"/>
      <c r="B73" s="197"/>
      <c r="C73" s="196"/>
      <c r="D73" s="111" t="s">
        <v>305</v>
      </c>
      <c r="E73" s="217">
        <v>59659</v>
      </c>
      <c r="F73" s="210" t="s">
        <v>305</v>
      </c>
      <c r="G73" s="196"/>
      <c r="H73" s="196"/>
      <c r="I73" s="111" t="s">
        <v>12</v>
      </c>
      <c r="J73" s="218" t="s">
        <v>889</v>
      </c>
      <c r="K73" s="219">
        <v>44466</v>
      </c>
      <c r="L73" s="196"/>
      <c r="M73" s="245" t="s">
        <v>159</v>
      </c>
      <c r="N73" s="196"/>
      <c r="O73" s="218"/>
      <c r="P73" s="220">
        <v>43999</v>
      </c>
      <c r="Q73" s="218" t="s">
        <v>1178</v>
      </c>
      <c r="R73" s="196"/>
      <c r="S73" s="10">
        <v>156</v>
      </c>
      <c r="T73" s="247"/>
      <c r="U73" s="196" t="s">
        <v>1652</v>
      </c>
      <c r="V73" s="218" t="s">
        <v>1565</v>
      </c>
      <c r="W73" s="218" t="s">
        <v>1254</v>
      </c>
      <c r="X73" s="141">
        <v>1578.864</v>
      </c>
      <c r="Y73" s="218">
        <v>40.3033</v>
      </c>
      <c r="Z73" s="218">
        <v>-109.20614</v>
      </c>
      <c r="AA73" s="218" t="s">
        <v>1443</v>
      </c>
      <c r="AB73" s="196" t="s">
        <v>218</v>
      </c>
      <c r="AC73" s="218" t="s">
        <v>1152</v>
      </c>
      <c r="AD73" s="197" t="s">
        <v>875</v>
      </c>
      <c r="AE73" s="196" t="s">
        <v>1453</v>
      </c>
      <c r="AF73" s="218"/>
      <c r="AG73" s="196"/>
      <c r="AH73" s="196"/>
      <c r="AI73" s="246">
        <v>10</v>
      </c>
      <c r="AJ73" s="246">
        <v>10</v>
      </c>
      <c r="AK73" s="218" t="s">
        <v>467</v>
      </c>
      <c r="AL73" s="218" t="s">
        <v>11</v>
      </c>
      <c r="AM73" s="196"/>
      <c r="AN73" s="196" t="s">
        <v>1333</v>
      </c>
      <c r="AO73" s="196" t="s">
        <v>656</v>
      </c>
      <c r="AP73" s="196" t="s">
        <v>1162</v>
      </c>
      <c r="AQ73" s="213" t="s">
        <v>586</v>
      </c>
      <c r="AR73" s="111" t="s">
        <v>305</v>
      </c>
      <c r="AS73" s="223"/>
      <c r="AT73" s="223"/>
      <c r="AU73" s="223"/>
      <c r="AV73" s="218">
        <v>0.21590000000000001</v>
      </c>
      <c r="AW73" s="230"/>
      <c r="AX73" s="217"/>
      <c r="AY73" s="217"/>
      <c r="AZ73" s="217"/>
      <c r="BA73" s="196"/>
      <c r="BB73" s="196"/>
      <c r="BC73" s="196"/>
      <c r="BD73" s="213"/>
      <c r="BE73" s="218" t="s">
        <v>1051</v>
      </c>
      <c r="BF73" s="196" t="s">
        <v>195</v>
      </c>
      <c r="BG73" s="196"/>
      <c r="BH73" s="196"/>
      <c r="BI73" s="197"/>
      <c r="BJ73" s="196"/>
      <c r="BK73" s="218" t="s">
        <v>1051</v>
      </c>
      <c r="BL73" s="220">
        <v>43999</v>
      </c>
      <c r="BM73" s="218"/>
      <c r="BN73" s="218"/>
      <c r="BO73" s="218"/>
      <c r="BP73" s="218"/>
      <c r="BQ73" s="196"/>
    </row>
    <row r="74" spans="1:69" x14ac:dyDescent="0.25">
      <c r="A74" s="196"/>
      <c r="B74" s="196"/>
      <c r="C74" s="196"/>
      <c r="D74" s="111" t="s">
        <v>305</v>
      </c>
      <c r="E74" s="217">
        <v>59660</v>
      </c>
      <c r="F74" s="210" t="s">
        <v>305</v>
      </c>
      <c r="G74" s="196"/>
      <c r="H74" s="196"/>
      <c r="I74" s="111" t="s">
        <v>12</v>
      </c>
      <c r="J74" s="218" t="s">
        <v>1746</v>
      </c>
      <c r="K74" s="219">
        <v>44466</v>
      </c>
      <c r="L74" s="196"/>
      <c r="M74" s="245" t="s">
        <v>159</v>
      </c>
      <c r="N74" s="196"/>
      <c r="O74" s="218"/>
      <c r="P74" s="220">
        <v>44006</v>
      </c>
      <c r="Q74" s="218" t="s">
        <v>1178</v>
      </c>
      <c r="R74" s="196"/>
      <c r="S74" s="10">
        <v>50</v>
      </c>
      <c r="T74" s="247"/>
      <c r="U74" s="196" t="s">
        <v>1653</v>
      </c>
      <c r="V74" s="218" t="s">
        <v>1566</v>
      </c>
      <c r="W74" s="218" t="s">
        <v>1255</v>
      </c>
      <c r="X74" s="141">
        <v>1578.864</v>
      </c>
      <c r="Y74" s="218">
        <v>40.301259999999999</v>
      </c>
      <c r="Z74" s="218">
        <v>-109.19764000000001</v>
      </c>
      <c r="AA74" s="218" t="s">
        <v>1443</v>
      </c>
      <c r="AB74" s="196" t="s">
        <v>218</v>
      </c>
      <c r="AC74" s="218" t="s">
        <v>1152</v>
      </c>
      <c r="AD74" s="197" t="s">
        <v>875</v>
      </c>
      <c r="AE74" s="196" t="s">
        <v>1453</v>
      </c>
      <c r="AF74" s="218"/>
      <c r="AG74" s="196"/>
      <c r="AH74" s="196"/>
      <c r="AI74" s="246">
        <v>0</v>
      </c>
      <c r="AJ74" s="246">
        <v>0</v>
      </c>
      <c r="AK74" s="218" t="s">
        <v>467</v>
      </c>
      <c r="AL74" s="218" t="s">
        <v>11</v>
      </c>
      <c r="AM74" s="196"/>
      <c r="AN74" s="196" t="s">
        <v>1334</v>
      </c>
      <c r="AO74" s="196" t="s">
        <v>656</v>
      </c>
      <c r="AP74" s="196" t="s">
        <v>1162</v>
      </c>
      <c r="AQ74" s="213" t="s">
        <v>586</v>
      </c>
      <c r="AR74" s="111" t="s">
        <v>305</v>
      </c>
      <c r="AS74" s="223"/>
      <c r="AT74" s="223"/>
      <c r="AU74" s="223"/>
      <c r="AV74" s="218">
        <v>0.24349999999999999</v>
      </c>
      <c r="AW74" s="230"/>
      <c r="AX74" s="217"/>
      <c r="AY74" s="217"/>
      <c r="AZ74" s="217"/>
      <c r="BA74" s="196"/>
      <c r="BB74" s="196"/>
      <c r="BC74" s="196"/>
      <c r="BD74" s="213"/>
      <c r="BE74" s="218" t="s">
        <v>1052</v>
      </c>
      <c r="BF74" s="196" t="s">
        <v>195</v>
      </c>
      <c r="BG74" s="196"/>
      <c r="BH74" s="196"/>
      <c r="BI74" s="197"/>
      <c r="BJ74" s="196"/>
      <c r="BK74" s="218" t="s">
        <v>1052</v>
      </c>
      <c r="BL74" s="220">
        <v>44006</v>
      </c>
      <c r="BM74" s="218"/>
      <c r="BN74" s="218"/>
      <c r="BO74" s="218"/>
      <c r="BP74" s="218"/>
      <c r="BQ74" s="196"/>
    </row>
    <row r="75" spans="1:69" x14ac:dyDescent="0.25">
      <c r="A75" s="196"/>
      <c r="B75" s="196"/>
      <c r="C75" s="196"/>
      <c r="D75" s="111" t="s">
        <v>305</v>
      </c>
      <c r="E75" s="217">
        <v>59661</v>
      </c>
      <c r="F75" s="210" t="s">
        <v>305</v>
      </c>
      <c r="G75" s="196"/>
      <c r="H75" s="196"/>
      <c r="I75" s="111" t="s">
        <v>12</v>
      </c>
      <c r="J75" s="218" t="s">
        <v>968</v>
      </c>
      <c r="K75" s="219">
        <v>44466</v>
      </c>
      <c r="L75" s="196"/>
      <c r="M75" s="245" t="s">
        <v>159</v>
      </c>
      <c r="N75" s="196"/>
      <c r="O75" s="218"/>
      <c r="P75" s="220">
        <v>44006</v>
      </c>
      <c r="Q75" s="218" t="s">
        <v>1178</v>
      </c>
      <c r="R75" s="196"/>
      <c r="S75" s="10">
        <v>100</v>
      </c>
      <c r="T75" s="247"/>
      <c r="U75" s="196" t="s">
        <v>1644</v>
      </c>
      <c r="V75" s="218" t="s">
        <v>1567</v>
      </c>
      <c r="W75" s="218" t="s">
        <v>1256</v>
      </c>
      <c r="X75" s="141">
        <v>1533.144</v>
      </c>
      <c r="Y75" s="218">
        <v>40.265549999999998</v>
      </c>
      <c r="Z75" s="218">
        <v>-109.685</v>
      </c>
      <c r="AA75" s="218" t="s">
        <v>1443</v>
      </c>
      <c r="AB75" s="196" t="s">
        <v>218</v>
      </c>
      <c r="AC75" s="218" t="s">
        <v>1152</v>
      </c>
      <c r="AD75" s="197" t="s">
        <v>875</v>
      </c>
      <c r="AE75" s="196" t="s">
        <v>1453</v>
      </c>
      <c r="AF75" s="218"/>
      <c r="AG75" s="196"/>
      <c r="AH75" s="196"/>
      <c r="AI75" s="246">
        <v>10</v>
      </c>
      <c r="AJ75" s="246">
        <v>10</v>
      </c>
      <c r="AK75" s="218" t="s">
        <v>466</v>
      </c>
      <c r="AL75" s="218" t="s">
        <v>924</v>
      </c>
      <c r="AM75" s="196"/>
      <c r="AN75" s="196" t="s">
        <v>1335</v>
      </c>
      <c r="AO75" s="196" t="s">
        <v>656</v>
      </c>
      <c r="AP75" s="196" t="s">
        <v>1162</v>
      </c>
      <c r="AQ75" s="213" t="s">
        <v>586</v>
      </c>
      <c r="AR75" s="111" t="s">
        <v>305</v>
      </c>
      <c r="AS75" s="223"/>
      <c r="AT75" s="223"/>
      <c r="AU75" s="223"/>
      <c r="AV75" s="218">
        <v>0.115</v>
      </c>
      <c r="AW75" s="230"/>
      <c r="AX75" s="217"/>
      <c r="AY75" s="217"/>
      <c r="AZ75" s="217"/>
      <c r="BA75" s="196"/>
      <c r="BB75" s="196"/>
      <c r="BC75" s="196"/>
      <c r="BD75" s="213"/>
      <c r="BE75" s="218" t="s">
        <v>1053</v>
      </c>
      <c r="BF75" s="196" t="s">
        <v>195</v>
      </c>
      <c r="BG75" s="196"/>
      <c r="BH75" s="196"/>
      <c r="BI75" s="197"/>
      <c r="BJ75" s="196"/>
      <c r="BK75" s="218" t="s">
        <v>1053</v>
      </c>
      <c r="BL75" s="218">
        <v>44006</v>
      </c>
      <c r="BM75" s="218"/>
      <c r="BN75" s="218"/>
      <c r="BO75" s="218"/>
      <c r="BP75" s="218"/>
      <c r="BQ75" s="196"/>
    </row>
    <row r="76" spans="1:69" x14ac:dyDescent="0.25">
      <c r="A76" s="196"/>
      <c r="B76" s="196"/>
      <c r="C76" s="196"/>
      <c r="D76" s="111" t="s">
        <v>305</v>
      </c>
      <c r="E76" s="217">
        <v>59662</v>
      </c>
      <c r="F76" s="210" t="s">
        <v>305</v>
      </c>
      <c r="G76" s="196"/>
      <c r="H76" s="196"/>
      <c r="I76" s="111" t="s">
        <v>12</v>
      </c>
      <c r="J76" s="218" t="s">
        <v>968</v>
      </c>
      <c r="K76" s="219">
        <v>44466</v>
      </c>
      <c r="L76" s="196"/>
      <c r="M76" s="245" t="s">
        <v>159</v>
      </c>
      <c r="N76" s="196"/>
      <c r="O76" s="218"/>
      <c r="P76" s="220">
        <v>44013</v>
      </c>
      <c r="Q76" s="218" t="s">
        <v>1178</v>
      </c>
      <c r="R76" s="196"/>
      <c r="S76" s="10">
        <v>150</v>
      </c>
      <c r="T76" s="247"/>
      <c r="U76" s="196" t="s">
        <v>1644</v>
      </c>
      <c r="V76" s="218" t="s">
        <v>1568</v>
      </c>
      <c r="W76" s="218" t="s">
        <v>1257</v>
      </c>
      <c r="X76" s="141">
        <v>1533.144</v>
      </c>
      <c r="Y76" s="218">
        <v>40.248049999999999</v>
      </c>
      <c r="Z76" s="218">
        <v>-109.54777</v>
      </c>
      <c r="AA76" s="218" t="s">
        <v>1443</v>
      </c>
      <c r="AB76" s="196" t="s">
        <v>218</v>
      </c>
      <c r="AC76" s="218" t="s">
        <v>1152</v>
      </c>
      <c r="AD76" s="197" t="s">
        <v>875</v>
      </c>
      <c r="AE76" s="196" t="s">
        <v>1453</v>
      </c>
      <c r="AF76" s="218"/>
      <c r="AG76" s="196"/>
      <c r="AH76" s="196"/>
      <c r="AI76" s="246">
        <v>0</v>
      </c>
      <c r="AJ76" s="246">
        <v>0</v>
      </c>
      <c r="AK76" s="218" t="s">
        <v>435</v>
      </c>
      <c r="AL76" s="218" t="s">
        <v>927</v>
      </c>
      <c r="AM76" s="196"/>
      <c r="AN76" s="196" t="s">
        <v>452</v>
      </c>
      <c r="AO76" s="196" t="s">
        <v>656</v>
      </c>
      <c r="AP76" s="196" t="s">
        <v>1162</v>
      </c>
      <c r="AQ76" s="213" t="s">
        <v>586</v>
      </c>
      <c r="AR76" s="111" t="s">
        <v>305</v>
      </c>
      <c r="AS76" s="223"/>
      <c r="AT76" s="223"/>
      <c r="AU76" s="223"/>
      <c r="AV76" s="218">
        <v>0.17169999999999999</v>
      </c>
      <c r="AW76" s="230"/>
      <c r="AX76" s="217"/>
      <c r="AY76" s="217"/>
      <c r="AZ76" s="217"/>
      <c r="BA76" s="196"/>
      <c r="BB76" s="196"/>
      <c r="BC76" s="196"/>
      <c r="BD76" s="213"/>
      <c r="BE76" s="218" t="s">
        <v>1054</v>
      </c>
      <c r="BF76" s="196" t="s">
        <v>195</v>
      </c>
      <c r="BG76" s="196"/>
      <c r="BH76" s="196"/>
      <c r="BI76" s="197"/>
      <c r="BJ76" s="196"/>
      <c r="BK76" s="218" t="s">
        <v>1054</v>
      </c>
      <c r="BL76" s="220">
        <v>44007</v>
      </c>
      <c r="BM76" s="218"/>
      <c r="BN76" s="218"/>
      <c r="BO76" s="218"/>
      <c r="BP76" s="218"/>
      <c r="BQ76" s="196"/>
    </row>
    <row r="77" spans="1:69" x14ac:dyDescent="0.25">
      <c r="A77" s="196"/>
      <c r="B77" s="197"/>
      <c r="C77" s="196"/>
      <c r="D77" s="111" t="s">
        <v>305</v>
      </c>
      <c r="E77" s="217">
        <v>59663</v>
      </c>
      <c r="F77" s="210" t="s">
        <v>305</v>
      </c>
      <c r="G77" s="196"/>
      <c r="H77" s="196"/>
      <c r="I77" s="111" t="s">
        <v>12</v>
      </c>
      <c r="J77" s="218" t="s">
        <v>887</v>
      </c>
      <c r="K77" s="219">
        <v>44466</v>
      </c>
      <c r="L77" s="196"/>
      <c r="M77" s="245" t="s">
        <v>159</v>
      </c>
      <c r="N77" s="196"/>
      <c r="O77" s="218"/>
      <c r="P77" s="220">
        <v>44007</v>
      </c>
      <c r="Q77" s="218" t="s">
        <v>1178</v>
      </c>
      <c r="R77" s="196"/>
      <c r="S77" s="10">
        <v>200</v>
      </c>
      <c r="T77" s="247"/>
      <c r="U77" s="196" t="s">
        <v>1644</v>
      </c>
      <c r="V77" s="218" t="s">
        <v>1569</v>
      </c>
      <c r="W77" s="218" t="s">
        <v>1258</v>
      </c>
      <c r="X77" s="141">
        <v>1670.3040000000001</v>
      </c>
      <c r="Y77" s="218">
        <v>40.236660000000001</v>
      </c>
      <c r="Z77" s="218">
        <v>-109.15638</v>
      </c>
      <c r="AA77" s="218" t="s">
        <v>1443</v>
      </c>
      <c r="AB77" s="196" t="s">
        <v>218</v>
      </c>
      <c r="AC77" s="218" t="s">
        <v>1152</v>
      </c>
      <c r="AD77" s="197" t="s">
        <v>875</v>
      </c>
      <c r="AE77" s="196" t="s">
        <v>1453</v>
      </c>
      <c r="AF77" s="218"/>
      <c r="AG77" s="196"/>
      <c r="AH77" s="196"/>
      <c r="AI77" s="246">
        <v>30</v>
      </c>
      <c r="AJ77" s="246">
        <v>30</v>
      </c>
      <c r="AK77" s="218" t="s">
        <v>473</v>
      </c>
      <c r="AL77" s="218" t="s">
        <v>925</v>
      </c>
      <c r="AM77" s="196"/>
      <c r="AN77" s="196" t="s">
        <v>1336</v>
      </c>
      <c r="AO77" s="196" t="s">
        <v>656</v>
      </c>
      <c r="AP77" s="196" t="s">
        <v>1162</v>
      </c>
      <c r="AQ77" s="213" t="s">
        <v>586</v>
      </c>
      <c r="AR77" s="111" t="s">
        <v>305</v>
      </c>
      <c r="AS77" s="223"/>
      <c r="AT77" s="223"/>
      <c r="AU77" s="223"/>
      <c r="AV77" s="218">
        <v>0.34789999999999999</v>
      </c>
      <c r="AW77" s="230"/>
      <c r="AX77" s="217"/>
      <c r="AY77" s="217"/>
      <c r="AZ77" s="217"/>
      <c r="BA77" s="196"/>
      <c r="BB77" s="196"/>
      <c r="BC77" s="196"/>
      <c r="BD77" s="213"/>
      <c r="BE77" s="218" t="s">
        <v>1055</v>
      </c>
      <c r="BF77" s="196" t="s">
        <v>195</v>
      </c>
      <c r="BG77" s="196"/>
      <c r="BH77" s="196"/>
      <c r="BI77" s="197"/>
      <c r="BJ77" s="196"/>
      <c r="BK77" s="218" t="s">
        <v>1055</v>
      </c>
      <c r="BL77" s="220">
        <v>44007</v>
      </c>
      <c r="BM77" s="218"/>
      <c r="BN77" s="218"/>
      <c r="BO77" s="218"/>
      <c r="BP77" s="218"/>
      <c r="BQ77" s="196"/>
    </row>
    <row r="78" spans="1:69" x14ac:dyDescent="0.25">
      <c r="A78" s="196"/>
      <c r="B78" s="196"/>
      <c r="C78" s="196"/>
      <c r="D78" s="111" t="s">
        <v>305</v>
      </c>
      <c r="E78" s="217">
        <v>59664</v>
      </c>
      <c r="F78" s="210" t="s">
        <v>305</v>
      </c>
      <c r="G78" s="196"/>
      <c r="H78" s="196"/>
      <c r="I78" s="111" t="s">
        <v>12</v>
      </c>
      <c r="J78" s="218" t="s">
        <v>897</v>
      </c>
      <c r="K78" s="219">
        <v>44466</v>
      </c>
      <c r="L78" s="196"/>
      <c r="M78" s="245" t="s">
        <v>159</v>
      </c>
      <c r="N78" s="196"/>
      <c r="O78" s="218"/>
      <c r="P78" s="220">
        <v>44054</v>
      </c>
      <c r="Q78" s="218" t="s">
        <v>1178</v>
      </c>
      <c r="R78" s="196"/>
      <c r="S78" s="10">
        <v>250</v>
      </c>
      <c r="T78" s="247"/>
      <c r="U78" s="196" t="s">
        <v>1644</v>
      </c>
      <c r="V78" s="218" t="s">
        <v>1570</v>
      </c>
      <c r="W78" s="218" t="s">
        <v>1259</v>
      </c>
      <c r="X78" s="141">
        <v>2516.1240000000003</v>
      </c>
      <c r="Y78" s="218">
        <v>40.676409999999997</v>
      </c>
      <c r="Z78" s="218">
        <v>-109.48761</v>
      </c>
      <c r="AA78" s="218" t="s">
        <v>1443</v>
      </c>
      <c r="AB78" s="196" t="s">
        <v>218</v>
      </c>
      <c r="AC78" s="218" t="s">
        <v>1152</v>
      </c>
      <c r="AD78" s="197" t="s">
        <v>875</v>
      </c>
      <c r="AE78" s="196" t="s">
        <v>1453</v>
      </c>
      <c r="AF78" s="218"/>
      <c r="AG78" s="196"/>
      <c r="AH78" s="196"/>
      <c r="AI78" s="246">
        <v>10</v>
      </c>
      <c r="AJ78" s="246">
        <v>10</v>
      </c>
      <c r="AK78" s="218" t="s">
        <v>468</v>
      </c>
      <c r="AL78" s="218" t="s">
        <v>926</v>
      </c>
      <c r="AM78" s="196"/>
      <c r="AN78" s="196" t="s">
        <v>1337</v>
      </c>
      <c r="AO78" s="196" t="s">
        <v>656</v>
      </c>
      <c r="AP78" s="196" t="s">
        <v>1162</v>
      </c>
      <c r="AQ78" s="213" t="s">
        <v>586</v>
      </c>
      <c r="AR78" s="111" t="s">
        <v>305</v>
      </c>
      <c r="AS78" s="223"/>
      <c r="AT78" s="223"/>
      <c r="AU78" s="223"/>
      <c r="AV78" s="218">
        <v>0.26440000000000002</v>
      </c>
      <c r="AW78" s="230"/>
      <c r="AX78" s="217"/>
      <c r="AY78" s="217"/>
      <c r="AZ78" s="217"/>
      <c r="BA78" s="196"/>
      <c r="BB78" s="196"/>
      <c r="BC78" s="196"/>
      <c r="BD78" s="213"/>
      <c r="BE78" s="218" t="s">
        <v>1056</v>
      </c>
      <c r="BF78" s="196" t="s">
        <v>195</v>
      </c>
      <c r="BG78" s="196"/>
      <c r="BH78" s="196"/>
      <c r="BI78" s="197"/>
      <c r="BJ78" s="196"/>
      <c r="BK78" s="218" t="s">
        <v>1056</v>
      </c>
      <c r="BL78" s="220">
        <v>44075</v>
      </c>
      <c r="BM78" s="218"/>
      <c r="BN78" s="218"/>
      <c r="BO78" s="218"/>
      <c r="BP78" s="218"/>
      <c r="BQ78" s="196"/>
    </row>
    <row r="79" spans="1:69" x14ac:dyDescent="0.25">
      <c r="A79" s="196"/>
      <c r="B79" s="197"/>
      <c r="C79" s="196"/>
      <c r="D79" s="111" t="s">
        <v>305</v>
      </c>
      <c r="E79" s="217">
        <v>59665</v>
      </c>
      <c r="F79" s="210" t="s">
        <v>305</v>
      </c>
      <c r="G79" s="196"/>
      <c r="H79" s="196"/>
      <c r="I79" s="111" t="s">
        <v>12</v>
      </c>
      <c r="J79" s="218" t="s">
        <v>969</v>
      </c>
      <c r="K79" s="219">
        <v>44466</v>
      </c>
      <c r="L79" s="196"/>
      <c r="M79" s="245" t="s">
        <v>159</v>
      </c>
      <c r="N79" s="196"/>
      <c r="O79" s="218"/>
      <c r="P79" s="220">
        <v>44013</v>
      </c>
      <c r="Q79" s="218" t="s">
        <v>1178</v>
      </c>
      <c r="R79" s="196"/>
      <c r="S79" s="10">
        <v>200</v>
      </c>
      <c r="T79" s="247"/>
      <c r="U79" s="196" t="s">
        <v>1644</v>
      </c>
      <c r="V79" s="218" t="s">
        <v>1571</v>
      </c>
      <c r="W79" s="218" t="s">
        <v>1260</v>
      </c>
      <c r="X79" s="141">
        <v>1438.6560000000002</v>
      </c>
      <c r="Y79" s="218">
        <v>40.143329999999999</v>
      </c>
      <c r="Z79" s="218">
        <v>-109.66166</v>
      </c>
      <c r="AA79" s="218" t="s">
        <v>1443</v>
      </c>
      <c r="AB79" s="196" t="s">
        <v>218</v>
      </c>
      <c r="AC79" s="218" t="s">
        <v>1152</v>
      </c>
      <c r="AD79" s="197" t="s">
        <v>875</v>
      </c>
      <c r="AE79" s="196" t="s">
        <v>1453</v>
      </c>
      <c r="AF79" s="218"/>
      <c r="AG79" s="196"/>
      <c r="AH79" s="196"/>
      <c r="AI79" s="246">
        <v>10</v>
      </c>
      <c r="AJ79" s="246">
        <v>10</v>
      </c>
      <c r="AK79" s="218" t="s">
        <v>466</v>
      </c>
      <c r="AL79" s="218" t="s">
        <v>924</v>
      </c>
      <c r="AM79" s="196"/>
      <c r="AN79" s="196" t="s">
        <v>1332</v>
      </c>
      <c r="AO79" s="196" t="s">
        <v>656</v>
      </c>
      <c r="AP79" s="196" t="s">
        <v>1162</v>
      </c>
      <c r="AQ79" s="213" t="s">
        <v>586</v>
      </c>
      <c r="AR79" s="111" t="s">
        <v>305</v>
      </c>
      <c r="AS79" s="223"/>
      <c r="AT79" s="223"/>
      <c r="AU79" s="223"/>
      <c r="AV79" s="218">
        <v>1.8100000000000002E-2</v>
      </c>
      <c r="AW79" s="230"/>
      <c r="AX79" s="217"/>
      <c r="AY79" s="217"/>
      <c r="AZ79" s="217"/>
      <c r="BA79" s="196"/>
      <c r="BB79" s="196"/>
      <c r="BC79" s="196"/>
      <c r="BD79" s="213"/>
      <c r="BE79" s="218" t="s">
        <v>1057</v>
      </c>
      <c r="BF79" s="196" t="s">
        <v>195</v>
      </c>
      <c r="BG79" s="196"/>
      <c r="BH79" s="196"/>
      <c r="BI79" s="197"/>
      <c r="BJ79" s="196"/>
      <c r="BK79" s="218" t="s">
        <v>1057</v>
      </c>
      <c r="BL79" s="220">
        <v>44011</v>
      </c>
      <c r="BM79" s="218"/>
      <c r="BN79" s="218"/>
      <c r="BO79" s="218"/>
      <c r="BP79" s="218"/>
      <c r="BQ79" s="196"/>
    </row>
    <row r="80" spans="1:69" x14ac:dyDescent="0.25">
      <c r="A80" s="196"/>
      <c r="B80" s="196"/>
      <c r="C80" s="196"/>
      <c r="D80" s="111" t="s">
        <v>305</v>
      </c>
      <c r="E80" s="217">
        <v>59666</v>
      </c>
      <c r="F80" s="210" t="s">
        <v>305</v>
      </c>
      <c r="G80" s="196"/>
      <c r="H80" s="196"/>
      <c r="I80" s="111" t="s">
        <v>12</v>
      </c>
      <c r="J80" s="218" t="s">
        <v>969</v>
      </c>
      <c r="K80" s="219">
        <v>44466</v>
      </c>
      <c r="L80" s="196"/>
      <c r="M80" s="245" t="s">
        <v>159</v>
      </c>
      <c r="N80" s="196"/>
      <c r="O80" s="218"/>
      <c r="P80" s="220">
        <v>44011</v>
      </c>
      <c r="Q80" s="218" t="s">
        <v>1178</v>
      </c>
      <c r="R80" s="196"/>
      <c r="S80" s="10">
        <v>500</v>
      </c>
      <c r="T80" s="247"/>
      <c r="U80" s="196" t="s">
        <v>1644</v>
      </c>
      <c r="V80" s="218" t="s">
        <v>1572</v>
      </c>
      <c r="W80" s="218" t="s">
        <v>1261</v>
      </c>
      <c r="X80" s="141">
        <v>1560.576</v>
      </c>
      <c r="Y80" s="218">
        <v>40.261940000000003</v>
      </c>
      <c r="Z80" s="218">
        <v>-109.70305</v>
      </c>
      <c r="AA80" s="218" t="s">
        <v>1443</v>
      </c>
      <c r="AB80" s="196" t="s">
        <v>218</v>
      </c>
      <c r="AC80" s="218" t="s">
        <v>1152</v>
      </c>
      <c r="AD80" s="197" t="s">
        <v>875</v>
      </c>
      <c r="AE80" s="196" t="s">
        <v>1453</v>
      </c>
      <c r="AF80" s="218"/>
      <c r="AG80" s="196"/>
      <c r="AH80" s="196"/>
      <c r="AI80" s="246">
        <v>10</v>
      </c>
      <c r="AJ80" s="246">
        <v>10</v>
      </c>
      <c r="AK80" s="218" t="s">
        <v>469</v>
      </c>
      <c r="AL80" s="218" t="s">
        <v>923</v>
      </c>
      <c r="AM80" s="196"/>
      <c r="AN80" s="196" t="s">
        <v>1335</v>
      </c>
      <c r="AO80" s="196" t="s">
        <v>656</v>
      </c>
      <c r="AP80" s="196" t="s">
        <v>1162</v>
      </c>
      <c r="AQ80" s="213" t="s">
        <v>586</v>
      </c>
      <c r="AR80" s="111" t="s">
        <v>305</v>
      </c>
      <c r="AS80" s="223"/>
      <c r="AT80" s="223"/>
      <c r="AU80" s="223"/>
      <c r="AV80" s="218">
        <v>2.06E-2</v>
      </c>
      <c r="AW80" s="230"/>
      <c r="AX80" s="217"/>
      <c r="AY80" s="217"/>
      <c r="AZ80" s="217"/>
      <c r="BA80" s="196"/>
      <c r="BB80" s="196"/>
      <c r="BC80" s="196"/>
      <c r="BD80" s="213"/>
      <c r="BE80" s="218" t="s">
        <v>1058</v>
      </c>
      <c r="BF80" s="196" t="s">
        <v>195</v>
      </c>
      <c r="BG80" s="196"/>
      <c r="BH80" s="196"/>
      <c r="BI80" s="197"/>
      <c r="BJ80" s="196"/>
      <c r="BK80" s="218" t="s">
        <v>1058</v>
      </c>
      <c r="BL80" s="218">
        <v>44012</v>
      </c>
      <c r="BM80" s="218"/>
      <c r="BN80" s="218"/>
      <c r="BO80" s="218"/>
      <c r="BP80" s="218"/>
      <c r="BQ80" s="196"/>
    </row>
    <row r="81" spans="1:69" x14ac:dyDescent="0.25">
      <c r="A81" s="196"/>
      <c r="B81" s="196"/>
      <c r="C81" s="196"/>
      <c r="D81" s="111" t="s">
        <v>305</v>
      </c>
      <c r="E81" s="217">
        <v>59667</v>
      </c>
      <c r="F81" s="210" t="s">
        <v>305</v>
      </c>
      <c r="G81" s="196"/>
      <c r="H81" s="196"/>
      <c r="I81" s="111" t="s">
        <v>12</v>
      </c>
      <c r="J81" s="218" t="s">
        <v>970</v>
      </c>
      <c r="K81" s="219">
        <v>44466</v>
      </c>
      <c r="L81" s="196"/>
      <c r="M81" s="245" t="s">
        <v>159</v>
      </c>
      <c r="N81" s="196"/>
      <c r="O81" s="218"/>
      <c r="P81" s="220">
        <v>44011</v>
      </c>
      <c r="Q81" s="218" t="s">
        <v>1178</v>
      </c>
      <c r="R81" s="196"/>
      <c r="S81" s="10">
        <v>100</v>
      </c>
      <c r="T81" s="247"/>
      <c r="U81" s="196" t="s">
        <v>1644</v>
      </c>
      <c r="V81" s="218" t="s">
        <v>1573</v>
      </c>
      <c r="W81" s="218" t="s">
        <v>1262</v>
      </c>
      <c r="X81" s="141">
        <v>1533.144</v>
      </c>
      <c r="Y81" s="218">
        <v>40.335000000000001</v>
      </c>
      <c r="Z81" s="218">
        <v>-109.62833000000001</v>
      </c>
      <c r="AA81" s="218" t="s">
        <v>1443</v>
      </c>
      <c r="AB81" s="196" t="s">
        <v>218</v>
      </c>
      <c r="AC81" s="218" t="s">
        <v>1152</v>
      </c>
      <c r="AD81" s="197" t="s">
        <v>875</v>
      </c>
      <c r="AE81" s="196" t="s">
        <v>1453</v>
      </c>
      <c r="AF81" s="218"/>
      <c r="AG81" s="196"/>
      <c r="AH81" s="196"/>
      <c r="AI81" s="246">
        <v>30</v>
      </c>
      <c r="AJ81" s="246">
        <v>30</v>
      </c>
      <c r="AK81" s="218" t="s">
        <v>469</v>
      </c>
      <c r="AL81" s="218" t="s">
        <v>923</v>
      </c>
      <c r="AM81" s="196"/>
      <c r="AN81" s="196" t="s">
        <v>1338</v>
      </c>
      <c r="AO81" s="196" t="s">
        <v>656</v>
      </c>
      <c r="AP81" s="196" t="s">
        <v>1162</v>
      </c>
      <c r="AQ81" s="213" t="s">
        <v>586</v>
      </c>
      <c r="AR81" s="111" t="s">
        <v>305</v>
      </c>
      <c r="AS81" s="223"/>
      <c r="AT81" s="223"/>
      <c r="AU81" s="223"/>
      <c r="AV81" s="218">
        <v>0.34329999999999999</v>
      </c>
      <c r="AW81" s="230"/>
      <c r="AX81" s="217"/>
      <c r="AY81" s="217"/>
      <c r="AZ81" s="217"/>
      <c r="BA81" s="196"/>
      <c r="BB81" s="196"/>
      <c r="BC81" s="196"/>
      <c r="BD81" s="213"/>
      <c r="BE81" s="218" t="s">
        <v>1059</v>
      </c>
      <c r="BF81" s="196" t="s">
        <v>195</v>
      </c>
      <c r="BG81" s="196"/>
      <c r="BH81" s="196"/>
      <c r="BI81" s="197"/>
      <c r="BJ81" s="196"/>
      <c r="BK81" s="218" t="s">
        <v>1059</v>
      </c>
      <c r="BL81" s="218">
        <v>44012</v>
      </c>
      <c r="BM81" s="218"/>
      <c r="BN81" s="218"/>
      <c r="BO81" s="218"/>
      <c r="BP81" s="218"/>
      <c r="BQ81" s="196"/>
    </row>
    <row r="82" spans="1:69" x14ac:dyDescent="0.25">
      <c r="A82" s="196"/>
      <c r="B82" s="196"/>
      <c r="C82" s="196"/>
      <c r="D82" s="111" t="s">
        <v>305</v>
      </c>
      <c r="E82" s="217">
        <v>59668</v>
      </c>
      <c r="F82" s="210" t="s">
        <v>305</v>
      </c>
      <c r="G82" s="196"/>
      <c r="H82" s="196"/>
      <c r="I82" s="111" t="s">
        <v>12</v>
      </c>
      <c r="J82" s="218" t="s">
        <v>887</v>
      </c>
      <c r="K82" s="219">
        <v>44466</v>
      </c>
      <c r="L82" s="196"/>
      <c r="M82" s="245" t="s">
        <v>159</v>
      </c>
      <c r="N82" s="196"/>
      <c r="O82" s="218"/>
      <c r="P82" s="220">
        <v>44019</v>
      </c>
      <c r="Q82" s="218" t="s">
        <v>1178</v>
      </c>
      <c r="R82" s="196"/>
      <c r="S82" s="10">
        <v>100</v>
      </c>
      <c r="T82" s="247"/>
      <c r="U82" s="196" t="s">
        <v>1644</v>
      </c>
      <c r="V82" s="218" t="s">
        <v>1574</v>
      </c>
      <c r="W82" s="218" t="s">
        <v>1263</v>
      </c>
      <c r="X82" s="141">
        <v>1441.7040000000002</v>
      </c>
      <c r="Y82" s="218">
        <v>40.31138</v>
      </c>
      <c r="Z82" s="218">
        <v>-109.4825</v>
      </c>
      <c r="AA82" s="218" t="s">
        <v>1443</v>
      </c>
      <c r="AB82" s="196" t="s">
        <v>218</v>
      </c>
      <c r="AC82" s="218" t="s">
        <v>1152</v>
      </c>
      <c r="AD82" s="197" t="s">
        <v>875</v>
      </c>
      <c r="AE82" s="196" t="s">
        <v>1453</v>
      </c>
      <c r="AF82" s="218"/>
      <c r="AG82" s="196"/>
      <c r="AH82" s="196"/>
      <c r="AI82" s="246">
        <v>10</v>
      </c>
      <c r="AJ82" s="246">
        <v>10</v>
      </c>
      <c r="AK82" s="218" t="s">
        <v>466</v>
      </c>
      <c r="AL82" s="218" t="s">
        <v>924</v>
      </c>
      <c r="AM82" s="196"/>
      <c r="AN82" s="196" t="s">
        <v>1335</v>
      </c>
      <c r="AO82" s="196" t="s">
        <v>656</v>
      </c>
      <c r="AP82" s="196" t="s">
        <v>1162</v>
      </c>
      <c r="AQ82" s="213" t="s">
        <v>586</v>
      </c>
      <c r="AR82" s="111" t="s">
        <v>305</v>
      </c>
      <c r="AS82" s="223"/>
      <c r="AT82" s="223"/>
      <c r="AU82" s="223"/>
      <c r="AV82" s="218">
        <v>0.26729999999999998</v>
      </c>
      <c r="AW82" s="230"/>
      <c r="AX82" s="217"/>
      <c r="AY82" s="217"/>
      <c r="AZ82" s="217"/>
      <c r="BA82" s="196"/>
      <c r="BB82" s="196"/>
      <c r="BC82" s="196"/>
      <c r="BD82" s="213"/>
      <c r="BE82" s="218" t="s">
        <v>1060</v>
      </c>
      <c r="BF82" s="196" t="s">
        <v>195</v>
      </c>
      <c r="BG82" s="196"/>
      <c r="BH82" s="196"/>
      <c r="BI82" s="197"/>
      <c r="BJ82" s="196"/>
      <c r="BK82" s="218" t="s">
        <v>1060</v>
      </c>
      <c r="BL82" s="218">
        <v>44019</v>
      </c>
      <c r="BM82" s="218"/>
      <c r="BN82" s="218"/>
      <c r="BO82" s="218"/>
      <c r="BP82" s="218"/>
      <c r="BQ82" s="196"/>
    </row>
    <row r="83" spans="1:69" x14ac:dyDescent="0.25">
      <c r="A83" s="196"/>
      <c r="B83" s="197"/>
      <c r="C83" s="196"/>
      <c r="D83" s="111" t="s">
        <v>305</v>
      </c>
      <c r="E83" s="217">
        <v>59669</v>
      </c>
      <c r="F83" s="210" t="s">
        <v>305</v>
      </c>
      <c r="G83" s="196"/>
      <c r="H83" s="196"/>
      <c r="I83" s="111" t="s">
        <v>12</v>
      </c>
      <c r="J83" s="218" t="s">
        <v>971</v>
      </c>
      <c r="K83" s="219">
        <v>44466</v>
      </c>
      <c r="L83" s="196"/>
      <c r="M83" s="245" t="s">
        <v>159</v>
      </c>
      <c r="N83" s="196"/>
      <c r="O83" s="218"/>
      <c r="P83" s="220">
        <v>44053</v>
      </c>
      <c r="Q83" s="218" t="s">
        <v>1178</v>
      </c>
      <c r="R83" s="196"/>
      <c r="S83" s="10">
        <v>200</v>
      </c>
      <c r="T83" s="247"/>
      <c r="U83" s="196"/>
      <c r="V83" s="218" t="s">
        <v>1575</v>
      </c>
      <c r="W83" s="218" t="s">
        <v>1264</v>
      </c>
      <c r="X83" s="141">
        <v>1472.184</v>
      </c>
      <c r="Y83" s="218">
        <v>40.177500000000002</v>
      </c>
      <c r="Z83" s="218">
        <v>-109.69333</v>
      </c>
      <c r="AA83" s="218" t="s">
        <v>1443</v>
      </c>
      <c r="AB83" s="196" t="s">
        <v>218</v>
      </c>
      <c r="AC83" s="218" t="s">
        <v>1152</v>
      </c>
      <c r="AD83" s="197" t="s">
        <v>875</v>
      </c>
      <c r="AE83" s="196" t="s">
        <v>1453</v>
      </c>
      <c r="AF83" s="218"/>
      <c r="AG83" s="196"/>
      <c r="AH83" s="196"/>
      <c r="AI83" s="246">
        <v>10</v>
      </c>
      <c r="AJ83" s="246">
        <v>10</v>
      </c>
      <c r="AK83" s="218" t="s">
        <v>468</v>
      </c>
      <c r="AL83" s="218" t="s">
        <v>926</v>
      </c>
      <c r="AM83" s="196"/>
      <c r="AN83" s="196" t="s">
        <v>1335</v>
      </c>
      <c r="AO83" s="196" t="s">
        <v>656</v>
      </c>
      <c r="AP83" s="196" t="s">
        <v>1162</v>
      </c>
      <c r="AQ83" s="213" t="s">
        <v>586</v>
      </c>
      <c r="AR83" s="111" t="s">
        <v>305</v>
      </c>
      <c r="AS83" s="223"/>
      <c r="AT83" s="223"/>
      <c r="AU83" s="223"/>
      <c r="AV83" s="218">
        <v>3.8778000000000001</v>
      </c>
      <c r="AW83" s="230"/>
      <c r="AX83" s="217"/>
      <c r="AY83" s="217"/>
      <c r="AZ83" s="217"/>
      <c r="BA83" s="196"/>
      <c r="BB83" s="196"/>
      <c r="BC83" s="196"/>
      <c r="BD83" s="213"/>
      <c r="BE83" s="218" t="s">
        <v>1061</v>
      </c>
      <c r="BF83" s="196" t="s">
        <v>195</v>
      </c>
      <c r="BG83" s="196"/>
      <c r="BH83" s="196"/>
      <c r="BI83" s="197"/>
      <c r="BJ83" s="196"/>
      <c r="BK83" s="218" t="s">
        <v>1061</v>
      </c>
      <c r="BL83" s="218">
        <v>44053</v>
      </c>
      <c r="BM83" s="218"/>
      <c r="BN83" s="218"/>
      <c r="BO83" s="218"/>
      <c r="BP83" s="218"/>
      <c r="BQ83" s="196"/>
    </row>
    <row r="84" spans="1:69" x14ac:dyDescent="0.25">
      <c r="A84" s="196"/>
      <c r="B84" s="196"/>
      <c r="C84" s="196"/>
      <c r="D84" s="111" t="s">
        <v>305</v>
      </c>
      <c r="E84" s="217">
        <v>59670</v>
      </c>
      <c r="F84" s="210" t="s">
        <v>305</v>
      </c>
      <c r="G84" s="196"/>
      <c r="H84" s="196"/>
      <c r="I84" s="111" t="s">
        <v>12</v>
      </c>
      <c r="J84" s="218" t="s">
        <v>896</v>
      </c>
      <c r="K84" s="219">
        <v>44466</v>
      </c>
      <c r="L84" s="196"/>
      <c r="M84" s="245" t="s">
        <v>159</v>
      </c>
      <c r="N84" s="196"/>
      <c r="O84" s="218"/>
      <c r="P84" s="220">
        <v>44054</v>
      </c>
      <c r="Q84" s="218" t="s">
        <v>1178</v>
      </c>
      <c r="R84" s="196"/>
      <c r="S84" s="10">
        <v>250</v>
      </c>
      <c r="T84" s="247"/>
      <c r="U84" s="196" t="s">
        <v>1644</v>
      </c>
      <c r="V84" s="218" t="s">
        <v>1576</v>
      </c>
      <c r="W84" s="218" t="s">
        <v>1265</v>
      </c>
      <c r="X84" s="141">
        <v>2499.36</v>
      </c>
      <c r="Y84" s="218">
        <v>40.684899999999999</v>
      </c>
      <c r="Z84" s="218">
        <v>-109.49478000000001</v>
      </c>
      <c r="AA84" s="218" t="s">
        <v>1443</v>
      </c>
      <c r="AB84" s="196" t="s">
        <v>218</v>
      </c>
      <c r="AC84" s="218" t="s">
        <v>1152</v>
      </c>
      <c r="AD84" s="197" t="s">
        <v>875</v>
      </c>
      <c r="AE84" s="196" t="s">
        <v>1453</v>
      </c>
      <c r="AF84" s="218"/>
      <c r="AG84" s="196"/>
      <c r="AH84" s="196"/>
      <c r="AI84" s="246">
        <v>10</v>
      </c>
      <c r="AJ84" s="246" t="s">
        <v>932</v>
      </c>
      <c r="AK84" s="218" t="s">
        <v>471</v>
      </c>
      <c r="AL84" s="218" t="s">
        <v>922</v>
      </c>
      <c r="AM84" s="196"/>
      <c r="AN84" s="196" t="s">
        <v>917</v>
      </c>
      <c r="AO84" s="196" t="s">
        <v>656</v>
      </c>
      <c r="AP84" s="196" t="s">
        <v>1162</v>
      </c>
      <c r="AQ84" s="213" t="s">
        <v>586</v>
      </c>
      <c r="AR84" s="111" t="s">
        <v>305</v>
      </c>
      <c r="AS84" s="223"/>
      <c r="AT84" s="223"/>
      <c r="AU84" s="223"/>
      <c r="AV84" s="218">
        <v>1.0500000000000001E-2</v>
      </c>
      <c r="AW84" s="230"/>
      <c r="AX84" s="217"/>
      <c r="AY84" s="217"/>
      <c r="AZ84" s="217"/>
      <c r="BA84" s="196"/>
      <c r="BB84" s="196"/>
      <c r="BC84" s="196"/>
      <c r="BD84" s="213"/>
      <c r="BE84" s="218" t="s">
        <v>1062</v>
      </c>
      <c r="BF84" s="196" t="s">
        <v>195</v>
      </c>
      <c r="BG84" s="196"/>
      <c r="BH84" s="196"/>
      <c r="BI84" s="197"/>
      <c r="BJ84" s="196"/>
      <c r="BK84" s="218" t="s">
        <v>1062</v>
      </c>
      <c r="BL84" s="218">
        <v>44075</v>
      </c>
      <c r="BM84" s="218"/>
      <c r="BN84" s="218"/>
      <c r="BO84" s="218"/>
      <c r="BP84" s="218"/>
      <c r="BQ84" s="196"/>
    </row>
    <row r="85" spans="1:69" x14ac:dyDescent="0.25">
      <c r="A85" s="196"/>
      <c r="B85" s="197"/>
      <c r="C85" s="196"/>
      <c r="D85" s="111" t="s">
        <v>305</v>
      </c>
      <c r="E85" s="217">
        <v>59671</v>
      </c>
      <c r="F85" s="210" t="s">
        <v>305</v>
      </c>
      <c r="G85" s="196"/>
      <c r="H85" s="196"/>
      <c r="I85" s="111" t="s">
        <v>12</v>
      </c>
      <c r="J85" s="218" t="s">
        <v>896</v>
      </c>
      <c r="K85" s="219">
        <v>44466</v>
      </c>
      <c r="L85" s="196"/>
      <c r="M85" s="245" t="s">
        <v>159</v>
      </c>
      <c r="N85" s="196"/>
      <c r="O85" s="218"/>
      <c r="P85" s="220">
        <v>44060</v>
      </c>
      <c r="Q85" s="218" t="s">
        <v>1178</v>
      </c>
      <c r="R85" s="196"/>
      <c r="S85" s="10">
        <v>150</v>
      </c>
      <c r="T85" s="247"/>
      <c r="U85" s="196" t="s">
        <v>1644</v>
      </c>
      <c r="V85" s="218" t="s">
        <v>1577</v>
      </c>
      <c r="W85" s="218" t="s">
        <v>1266</v>
      </c>
      <c r="X85" s="141">
        <v>2444.4960000000001</v>
      </c>
      <c r="Y85" s="218">
        <v>40.718519999999998</v>
      </c>
      <c r="Z85" s="218">
        <v>-109.45286</v>
      </c>
      <c r="AA85" s="218" t="s">
        <v>1443</v>
      </c>
      <c r="AB85" s="196" t="s">
        <v>218</v>
      </c>
      <c r="AC85" s="218" t="s">
        <v>1152</v>
      </c>
      <c r="AD85" s="197" t="s">
        <v>875</v>
      </c>
      <c r="AE85" s="196" t="s">
        <v>1453</v>
      </c>
      <c r="AF85" s="218"/>
      <c r="AG85" s="196"/>
      <c r="AH85" s="196"/>
      <c r="AI85" s="246">
        <v>10</v>
      </c>
      <c r="AJ85" s="246">
        <v>10</v>
      </c>
      <c r="AK85" s="218" t="s">
        <v>471</v>
      </c>
      <c r="AL85" s="218" t="s">
        <v>922</v>
      </c>
      <c r="AM85" s="196"/>
      <c r="AN85" s="196" t="s">
        <v>917</v>
      </c>
      <c r="AO85" s="196" t="s">
        <v>656</v>
      </c>
      <c r="AP85" s="196" t="s">
        <v>1162</v>
      </c>
      <c r="AQ85" s="213" t="s">
        <v>586</v>
      </c>
      <c r="AR85" s="111" t="s">
        <v>305</v>
      </c>
      <c r="AS85" s="223"/>
      <c r="AT85" s="223"/>
      <c r="AU85" s="223"/>
      <c r="AV85" s="218">
        <v>9.9000000000000008E-3</v>
      </c>
      <c r="AW85" s="230"/>
      <c r="AX85" s="217"/>
      <c r="AY85" s="217"/>
      <c r="AZ85" s="217"/>
      <c r="BA85" s="196"/>
      <c r="BB85" s="196"/>
      <c r="BC85" s="196"/>
      <c r="BD85" s="213"/>
      <c r="BE85" s="218" t="s">
        <v>1063</v>
      </c>
      <c r="BF85" s="196" t="s">
        <v>195</v>
      </c>
      <c r="BG85" s="196"/>
      <c r="BH85" s="196"/>
      <c r="BI85" s="197"/>
      <c r="BJ85" s="196"/>
      <c r="BK85" s="218" t="s">
        <v>1063</v>
      </c>
      <c r="BL85" s="218">
        <v>44075</v>
      </c>
      <c r="BM85" s="218"/>
      <c r="BN85" s="218"/>
      <c r="BO85" s="218"/>
      <c r="BP85" s="218"/>
      <c r="BQ85" s="196"/>
    </row>
    <row r="86" spans="1:69" x14ac:dyDescent="0.25">
      <c r="A86" s="196"/>
      <c r="B86" s="196"/>
      <c r="C86" s="196"/>
      <c r="D86" s="111" t="s">
        <v>305</v>
      </c>
      <c r="E86" s="217">
        <v>59672</v>
      </c>
      <c r="F86" s="210" t="s">
        <v>305</v>
      </c>
      <c r="G86" s="196"/>
      <c r="H86" s="196"/>
      <c r="I86" s="111" t="s">
        <v>12</v>
      </c>
      <c r="J86" s="218" t="s">
        <v>887</v>
      </c>
      <c r="K86" s="219">
        <v>44466</v>
      </c>
      <c r="L86" s="196"/>
      <c r="M86" s="245" t="s">
        <v>159</v>
      </c>
      <c r="N86" s="196"/>
      <c r="O86" s="218"/>
      <c r="P86" s="220">
        <v>44028</v>
      </c>
      <c r="Q86" s="218" t="s">
        <v>1178</v>
      </c>
      <c r="R86" s="196"/>
      <c r="S86" s="10">
        <v>100</v>
      </c>
      <c r="T86" s="247"/>
      <c r="U86" s="196" t="s">
        <v>1644</v>
      </c>
      <c r="V86" s="218" t="s">
        <v>1578</v>
      </c>
      <c r="W86" s="218" t="s">
        <v>1267</v>
      </c>
      <c r="X86" s="141">
        <v>1533.144</v>
      </c>
      <c r="Y86" s="218">
        <v>40.248199999999997</v>
      </c>
      <c r="Z86" s="218">
        <v>-109.54794</v>
      </c>
      <c r="AA86" s="218" t="s">
        <v>1443</v>
      </c>
      <c r="AB86" s="196" t="s">
        <v>218</v>
      </c>
      <c r="AC86" s="218" t="s">
        <v>1152</v>
      </c>
      <c r="AD86" s="197" t="s">
        <v>875</v>
      </c>
      <c r="AE86" s="196" t="s">
        <v>1453</v>
      </c>
      <c r="AF86" s="218"/>
      <c r="AG86" s="196"/>
      <c r="AH86" s="196"/>
      <c r="AI86" s="246">
        <v>10</v>
      </c>
      <c r="AJ86" s="246">
        <v>10</v>
      </c>
      <c r="AK86" s="218" t="s">
        <v>435</v>
      </c>
      <c r="AL86" s="218" t="s">
        <v>927</v>
      </c>
      <c r="AM86" s="196"/>
      <c r="AN86" s="196" t="s">
        <v>452</v>
      </c>
      <c r="AO86" s="196" t="s">
        <v>656</v>
      </c>
      <c r="AP86" s="196" t="s">
        <v>1162</v>
      </c>
      <c r="AQ86" s="213" t="s">
        <v>586</v>
      </c>
      <c r="AR86" s="111" t="s">
        <v>305</v>
      </c>
      <c r="AS86" s="223"/>
      <c r="AT86" s="223"/>
      <c r="AU86" s="223"/>
      <c r="AV86" s="218">
        <v>0.20660000000000001</v>
      </c>
      <c r="AW86" s="230"/>
      <c r="AX86" s="217"/>
      <c r="AY86" s="217"/>
      <c r="AZ86" s="217"/>
      <c r="BA86" s="196"/>
      <c r="BB86" s="196"/>
      <c r="BC86" s="196"/>
      <c r="BD86" s="213"/>
      <c r="BE86" s="218" t="s">
        <v>1064</v>
      </c>
      <c r="BF86" s="196" t="s">
        <v>195</v>
      </c>
      <c r="BG86" s="196"/>
      <c r="BH86" s="196"/>
      <c r="BI86" s="197"/>
      <c r="BJ86" s="196"/>
      <c r="BK86" s="218" t="s">
        <v>1064</v>
      </c>
      <c r="BL86" s="220">
        <v>44028</v>
      </c>
      <c r="BM86" s="218"/>
      <c r="BN86" s="218"/>
      <c r="BO86" s="218"/>
      <c r="BP86" s="218"/>
      <c r="BQ86" s="196"/>
    </row>
    <row r="87" spans="1:69" x14ac:dyDescent="0.25">
      <c r="A87" s="196"/>
      <c r="B87" s="196"/>
      <c r="C87" s="196"/>
      <c r="D87" s="111" t="s">
        <v>305</v>
      </c>
      <c r="E87" s="217">
        <v>59673</v>
      </c>
      <c r="F87" s="210" t="s">
        <v>305</v>
      </c>
      <c r="G87" s="196"/>
      <c r="H87" s="196"/>
      <c r="I87" s="111" t="s">
        <v>12</v>
      </c>
      <c r="J87" s="218" t="s">
        <v>1746</v>
      </c>
      <c r="K87" s="219">
        <v>44466</v>
      </c>
      <c r="L87" s="196"/>
      <c r="M87" s="245" t="s">
        <v>159</v>
      </c>
      <c r="N87" s="196"/>
      <c r="O87" s="218"/>
      <c r="P87" s="220">
        <v>44028</v>
      </c>
      <c r="Q87" s="218" t="s">
        <v>1178</v>
      </c>
      <c r="R87" s="196"/>
      <c r="S87" s="10">
        <v>200</v>
      </c>
      <c r="T87" s="247"/>
      <c r="U87" s="196" t="s">
        <v>1644</v>
      </c>
      <c r="V87" s="218" t="s">
        <v>1579</v>
      </c>
      <c r="W87" s="218" t="s">
        <v>1268</v>
      </c>
      <c r="X87" s="141">
        <v>1743.4560000000001</v>
      </c>
      <c r="Y87" s="218">
        <v>40.206659999999999</v>
      </c>
      <c r="Z87" s="218">
        <v>-109.12582999999999</v>
      </c>
      <c r="AA87" s="218" t="s">
        <v>1443</v>
      </c>
      <c r="AB87" s="196" t="s">
        <v>218</v>
      </c>
      <c r="AC87" s="218" t="s">
        <v>1152</v>
      </c>
      <c r="AD87" s="197" t="s">
        <v>875</v>
      </c>
      <c r="AE87" s="196" t="s">
        <v>1453</v>
      </c>
      <c r="AF87" s="218"/>
      <c r="AG87" s="196"/>
      <c r="AH87" s="196"/>
      <c r="AI87" s="246">
        <v>10</v>
      </c>
      <c r="AJ87" s="246">
        <v>10</v>
      </c>
      <c r="AK87" s="218" t="s">
        <v>467</v>
      </c>
      <c r="AL87" s="218" t="s">
        <v>11</v>
      </c>
      <c r="AM87" s="196"/>
      <c r="AN87" s="196" t="s">
        <v>1332</v>
      </c>
      <c r="AO87" s="196" t="s">
        <v>656</v>
      </c>
      <c r="AP87" s="196" t="s">
        <v>1162</v>
      </c>
      <c r="AQ87" s="213" t="s">
        <v>586</v>
      </c>
      <c r="AR87" s="111" t="s">
        <v>305</v>
      </c>
      <c r="AS87" s="223"/>
      <c r="AT87" s="223"/>
      <c r="AU87" s="223"/>
      <c r="AV87" s="218">
        <v>0.29199999999999998</v>
      </c>
      <c r="AW87" s="230"/>
      <c r="AX87" s="217"/>
      <c r="AY87" s="217"/>
      <c r="AZ87" s="217"/>
      <c r="BA87" s="196"/>
      <c r="BB87" s="196"/>
      <c r="BC87" s="196"/>
      <c r="BD87" s="213"/>
      <c r="BE87" s="218" t="s">
        <v>1065</v>
      </c>
      <c r="BF87" s="196" t="s">
        <v>195</v>
      </c>
      <c r="BG87" s="196"/>
      <c r="BH87" s="196"/>
      <c r="BI87" s="197"/>
      <c r="BJ87" s="196"/>
      <c r="BK87" s="218" t="s">
        <v>1065</v>
      </c>
      <c r="BL87" s="220">
        <v>44063</v>
      </c>
      <c r="BM87" s="218"/>
      <c r="BN87" s="218"/>
      <c r="BO87" s="218"/>
      <c r="BP87" s="218"/>
      <c r="BQ87" s="196"/>
    </row>
    <row r="88" spans="1:69" x14ac:dyDescent="0.25">
      <c r="A88" s="196"/>
      <c r="B88" s="196"/>
      <c r="C88" s="196"/>
      <c r="D88" s="111" t="s">
        <v>305</v>
      </c>
      <c r="E88" s="217">
        <v>59674</v>
      </c>
      <c r="F88" s="210" t="s">
        <v>305</v>
      </c>
      <c r="G88" s="196"/>
      <c r="H88" s="196"/>
      <c r="I88" s="111" t="s">
        <v>12</v>
      </c>
      <c r="J88" s="218" t="s">
        <v>972</v>
      </c>
      <c r="K88" s="219">
        <v>44466</v>
      </c>
      <c r="L88" s="196"/>
      <c r="M88" s="245" t="s">
        <v>159</v>
      </c>
      <c r="N88" s="196"/>
      <c r="O88" s="218"/>
      <c r="P88" s="220">
        <v>44028</v>
      </c>
      <c r="Q88" s="218" t="s">
        <v>1178</v>
      </c>
      <c r="R88" s="196"/>
      <c r="S88" s="10">
        <v>150</v>
      </c>
      <c r="T88" s="247"/>
      <c r="U88" s="196" t="s">
        <v>1654</v>
      </c>
      <c r="V88" s="218" t="s">
        <v>1580</v>
      </c>
      <c r="W88" s="218" t="s">
        <v>1269</v>
      </c>
      <c r="X88" s="141">
        <v>1743.4560000000001</v>
      </c>
      <c r="Y88" s="218">
        <v>40.206659999999999</v>
      </c>
      <c r="Z88" s="218">
        <v>-109.12582999999999</v>
      </c>
      <c r="AA88" s="218" t="s">
        <v>1443</v>
      </c>
      <c r="AB88" s="196" t="s">
        <v>218</v>
      </c>
      <c r="AC88" s="218" t="s">
        <v>1152</v>
      </c>
      <c r="AD88" s="197" t="s">
        <v>875</v>
      </c>
      <c r="AE88" s="196" t="s">
        <v>1453</v>
      </c>
      <c r="AF88" s="218"/>
      <c r="AG88" s="196"/>
      <c r="AH88" s="196"/>
      <c r="AI88" s="246">
        <v>10</v>
      </c>
      <c r="AJ88" s="246">
        <v>10</v>
      </c>
      <c r="AK88" s="218" t="s">
        <v>469</v>
      </c>
      <c r="AL88" s="218" t="s">
        <v>923</v>
      </c>
      <c r="AM88" s="196"/>
      <c r="AN88" s="196" t="s">
        <v>452</v>
      </c>
      <c r="AO88" s="196" t="s">
        <v>656</v>
      </c>
      <c r="AP88" s="196" t="s">
        <v>1162</v>
      </c>
      <c r="AQ88" s="213" t="s">
        <v>586</v>
      </c>
      <c r="AR88" s="111" t="s">
        <v>305</v>
      </c>
      <c r="AS88" s="223"/>
      <c r="AT88" s="223"/>
      <c r="AU88" s="223"/>
      <c r="AV88" s="231">
        <v>0.54369999999999996</v>
      </c>
      <c r="AW88" s="230"/>
      <c r="AX88" s="217"/>
      <c r="AY88" s="217"/>
      <c r="AZ88" s="217"/>
      <c r="BA88" s="196"/>
      <c r="BB88" s="196"/>
      <c r="BC88" s="196"/>
      <c r="BD88" s="213"/>
      <c r="BE88" s="218" t="s">
        <v>1066</v>
      </c>
      <c r="BF88" s="196" t="s">
        <v>195</v>
      </c>
      <c r="BG88" s="196"/>
      <c r="BH88" s="196"/>
      <c r="BI88" s="197"/>
      <c r="BJ88" s="196"/>
      <c r="BK88" s="218" t="s">
        <v>1066</v>
      </c>
      <c r="BL88" s="220">
        <v>44040</v>
      </c>
      <c r="BM88" s="218"/>
      <c r="BN88" s="218"/>
      <c r="BO88" s="218"/>
      <c r="BP88" s="218"/>
      <c r="BQ88" s="196"/>
    </row>
    <row r="89" spans="1:69" x14ac:dyDescent="0.25">
      <c r="A89" s="196"/>
      <c r="B89" s="197"/>
      <c r="C89" s="196"/>
      <c r="D89" s="111" t="s">
        <v>305</v>
      </c>
      <c r="E89" s="217">
        <v>59675</v>
      </c>
      <c r="F89" s="210" t="s">
        <v>305</v>
      </c>
      <c r="G89" s="196"/>
      <c r="H89" s="196"/>
      <c r="I89" s="111" t="s">
        <v>12</v>
      </c>
      <c r="J89" s="218" t="s">
        <v>973</v>
      </c>
      <c r="K89" s="219">
        <v>44466</v>
      </c>
      <c r="L89" s="196"/>
      <c r="M89" s="245" t="s">
        <v>159</v>
      </c>
      <c r="N89" s="196"/>
      <c r="O89" s="218"/>
      <c r="P89" s="220">
        <v>44069</v>
      </c>
      <c r="Q89" s="218" t="s">
        <v>1178</v>
      </c>
      <c r="R89" s="196"/>
      <c r="S89" s="10">
        <v>75</v>
      </c>
      <c r="T89" s="247"/>
      <c r="U89" s="196"/>
      <c r="V89" s="218" t="s">
        <v>1581</v>
      </c>
      <c r="W89" s="218" t="s">
        <v>1270</v>
      </c>
      <c r="X89" s="141">
        <v>1743.4560000000001</v>
      </c>
      <c r="Y89" s="218">
        <v>40.206659999999999</v>
      </c>
      <c r="Z89" s="218">
        <v>-109.12582999999999</v>
      </c>
      <c r="AA89" s="218" t="s">
        <v>1443</v>
      </c>
      <c r="AB89" s="196" t="s">
        <v>218</v>
      </c>
      <c r="AC89" s="218" t="s">
        <v>1152</v>
      </c>
      <c r="AD89" s="197" t="s">
        <v>875</v>
      </c>
      <c r="AE89" s="196" t="s">
        <v>1453</v>
      </c>
      <c r="AF89" s="218"/>
      <c r="AG89" s="196"/>
      <c r="AH89" s="196"/>
      <c r="AI89" s="246">
        <v>20</v>
      </c>
      <c r="AJ89" s="246" t="s">
        <v>1345</v>
      </c>
      <c r="AK89" s="218" t="s">
        <v>473</v>
      </c>
      <c r="AL89" s="218" t="s">
        <v>925</v>
      </c>
      <c r="AM89" s="196"/>
      <c r="AN89" s="196" t="s">
        <v>1335</v>
      </c>
      <c r="AO89" s="196" t="s">
        <v>656</v>
      </c>
      <c r="AP89" s="196" t="s">
        <v>1162</v>
      </c>
      <c r="AQ89" s="213" t="s">
        <v>586</v>
      </c>
      <c r="AR89" s="111" t="s">
        <v>305</v>
      </c>
      <c r="AS89" s="223"/>
      <c r="AT89" s="223"/>
      <c r="AU89" s="223"/>
      <c r="AV89" s="218">
        <v>0.66239999999999999</v>
      </c>
      <c r="AW89" s="230"/>
      <c r="AX89" s="217"/>
      <c r="AY89" s="217"/>
      <c r="AZ89" s="217"/>
      <c r="BA89" s="196"/>
      <c r="BB89" s="196"/>
      <c r="BC89" s="196"/>
      <c r="BD89" s="213"/>
      <c r="BE89" s="218" t="s">
        <v>1067</v>
      </c>
      <c r="BF89" s="196" t="s">
        <v>195</v>
      </c>
      <c r="BG89" s="196"/>
      <c r="BH89" s="196"/>
      <c r="BI89" s="197"/>
      <c r="BJ89" s="196"/>
      <c r="BK89" s="218" t="s">
        <v>1067</v>
      </c>
      <c r="BL89" s="220">
        <v>44063</v>
      </c>
      <c r="BM89" s="218"/>
      <c r="BN89" s="218"/>
      <c r="BO89" s="218"/>
      <c r="BP89" s="218"/>
      <c r="BQ89" s="196"/>
    </row>
    <row r="90" spans="1:69" x14ac:dyDescent="0.25">
      <c r="A90" s="196"/>
      <c r="B90" s="196"/>
      <c r="C90" s="196"/>
      <c r="D90" s="111" t="s">
        <v>305</v>
      </c>
      <c r="E90" s="217">
        <v>59676</v>
      </c>
      <c r="F90" s="210" t="s">
        <v>305</v>
      </c>
      <c r="G90" s="196"/>
      <c r="H90" s="196"/>
      <c r="I90" s="111" t="s">
        <v>12</v>
      </c>
      <c r="J90" s="218" t="s">
        <v>895</v>
      </c>
      <c r="K90" s="219">
        <v>44466</v>
      </c>
      <c r="L90" s="196"/>
      <c r="M90" s="245" t="s">
        <v>159</v>
      </c>
      <c r="N90" s="196"/>
      <c r="O90" s="218"/>
      <c r="P90" s="220">
        <v>44063</v>
      </c>
      <c r="Q90" s="218" t="s">
        <v>1178</v>
      </c>
      <c r="R90" s="196"/>
      <c r="S90" s="10">
        <v>100</v>
      </c>
      <c r="T90" s="247"/>
      <c r="U90" s="196"/>
      <c r="V90" s="218" t="s">
        <v>1582</v>
      </c>
      <c r="W90" s="218" t="s">
        <v>1271</v>
      </c>
      <c r="X90" s="141">
        <v>1441.7040000000002</v>
      </c>
      <c r="Y90" s="218">
        <v>40.299160000000001</v>
      </c>
      <c r="Z90" s="218">
        <v>-109.40443999999999</v>
      </c>
      <c r="AA90" s="218" t="s">
        <v>1443</v>
      </c>
      <c r="AB90" s="196" t="s">
        <v>218</v>
      </c>
      <c r="AC90" s="218" t="s">
        <v>1152</v>
      </c>
      <c r="AD90" s="197" t="s">
        <v>875</v>
      </c>
      <c r="AE90" s="196" t="s">
        <v>1453</v>
      </c>
      <c r="AF90" s="218"/>
      <c r="AG90" s="196"/>
      <c r="AH90" s="196"/>
      <c r="AI90" s="246">
        <v>10</v>
      </c>
      <c r="AJ90" s="246">
        <v>10</v>
      </c>
      <c r="AK90" s="218" t="s">
        <v>467</v>
      </c>
      <c r="AL90" s="218" t="s">
        <v>11</v>
      </c>
      <c r="AM90" s="196"/>
      <c r="AN90" s="196" t="s">
        <v>1337</v>
      </c>
      <c r="AO90" s="196" t="s">
        <v>656</v>
      </c>
      <c r="AP90" s="196" t="s">
        <v>1162</v>
      </c>
      <c r="AQ90" s="213" t="s">
        <v>586</v>
      </c>
      <c r="AR90" s="111" t="s">
        <v>305</v>
      </c>
      <c r="AS90" s="223"/>
      <c r="AT90" s="223"/>
      <c r="AU90" s="223"/>
      <c r="AV90" s="218">
        <v>0.61870000000000003</v>
      </c>
      <c r="AW90" s="230"/>
      <c r="AX90" s="217"/>
      <c r="AY90" s="217"/>
      <c r="AZ90" s="217"/>
      <c r="BA90" s="196"/>
      <c r="BB90" s="196"/>
      <c r="BC90" s="196"/>
      <c r="BD90" s="213"/>
      <c r="BE90" s="218" t="s">
        <v>1068</v>
      </c>
      <c r="BF90" s="196" t="s">
        <v>195</v>
      </c>
      <c r="BG90" s="196"/>
      <c r="BH90" s="196"/>
      <c r="BI90" s="197"/>
      <c r="BJ90" s="196"/>
      <c r="BK90" s="218" t="s">
        <v>1068</v>
      </c>
      <c r="BL90" s="220">
        <v>44063</v>
      </c>
      <c r="BM90" s="218"/>
      <c r="BN90" s="218"/>
      <c r="BO90" s="218"/>
      <c r="BP90" s="218"/>
      <c r="BQ90" s="196"/>
    </row>
    <row r="91" spans="1:69" x14ac:dyDescent="0.25">
      <c r="A91" s="196"/>
      <c r="B91" s="197"/>
      <c r="C91" s="196"/>
      <c r="D91" s="111" t="s">
        <v>305</v>
      </c>
      <c r="E91" s="217">
        <v>59677</v>
      </c>
      <c r="F91" s="210" t="s">
        <v>305</v>
      </c>
      <c r="G91" s="196"/>
      <c r="H91" s="196"/>
      <c r="I91" s="111" t="s">
        <v>12</v>
      </c>
      <c r="J91" s="218" t="s">
        <v>895</v>
      </c>
      <c r="K91" s="219">
        <v>44466</v>
      </c>
      <c r="L91" s="196"/>
      <c r="M91" s="245" t="s">
        <v>159</v>
      </c>
      <c r="N91" s="196"/>
      <c r="O91" s="218"/>
      <c r="P91" s="220">
        <v>44063</v>
      </c>
      <c r="Q91" s="218" t="s">
        <v>1178</v>
      </c>
      <c r="R91" s="196"/>
      <c r="S91" s="10">
        <v>100</v>
      </c>
      <c r="T91" s="247"/>
      <c r="U91" s="196"/>
      <c r="V91" s="218" t="s">
        <v>1582</v>
      </c>
      <c r="W91" s="218" t="s">
        <v>1272</v>
      </c>
      <c r="X91" s="141">
        <v>1441.7040000000002</v>
      </c>
      <c r="Y91" s="218">
        <v>40.299160000000001</v>
      </c>
      <c r="Z91" s="218">
        <v>-109.40443999999999</v>
      </c>
      <c r="AA91" s="218" t="s">
        <v>1443</v>
      </c>
      <c r="AB91" s="196" t="s">
        <v>218</v>
      </c>
      <c r="AC91" s="218" t="s">
        <v>1152</v>
      </c>
      <c r="AD91" s="197" t="s">
        <v>875</v>
      </c>
      <c r="AE91" s="196" t="s">
        <v>1453</v>
      </c>
      <c r="AF91" s="218"/>
      <c r="AG91" s="196"/>
      <c r="AH91" s="196"/>
      <c r="AI91" s="246">
        <v>10</v>
      </c>
      <c r="AJ91" s="246">
        <v>10</v>
      </c>
      <c r="AK91" s="218" t="s">
        <v>467</v>
      </c>
      <c r="AL91" s="218" t="s">
        <v>11</v>
      </c>
      <c r="AM91" s="196"/>
      <c r="AN91" s="196" t="s">
        <v>1339</v>
      </c>
      <c r="AO91" s="196" t="s">
        <v>656</v>
      </c>
      <c r="AP91" s="196" t="s">
        <v>1162</v>
      </c>
      <c r="AQ91" s="213" t="s">
        <v>586</v>
      </c>
      <c r="AR91" s="111" t="s">
        <v>305</v>
      </c>
      <c r="AS91" s="223"/>
      <c r="AT91" s="223"/>
      <c r="AU91" s="223"/>
      <c r="AV91" s="218">
        <v>0.66169999999999995</v>
      </c>
      <c r="AW91" s="230"/>
      <c r="AX91" s="217"/>
      <c r="AY91" s="217"/>
      <c r="AZ91" s="217"/>
      <c r="BA91" s="196"/>
      <c r="BB91" s="196"/>
      <c r="BC91" s="196"/>
      <c r="BD91" s="213"/>
      <c r="BE91" s="218" t="s">
        <v>1069</v>
      </c>
      <c r="BF91" s="196" t="s">
        <v>195</v>
      </c>
      <c r="BG91" s="196"/>
      <c r="BH91" s="196"/>
      <c r="BI91" s="197"/>
      <c r="BJ91" s="196"/>
      <c r="BK91" s="218" t="s">
        <v>1069</v>
      </c>
      <c r="BL91" s="220">
        <v>44063</v>
      </c>
      <c r="BM91" s="218"/>
      <c r="BN91" s="218"/>
      <c r="BO91" s="218"/>
      <c r="BP91" s="218"/>
      <c r="BQ91" s="196"/>
    </row>
    <row r="92" spans="1:69" x14ac:dyDescent="0.25">
      <c r="A92" s="196"/>
      <c r="B92" s="196"/>
      <c r="C92" s="196"/>
      <c r="D92" s="111" t="s">
        <v>305</v>
      </c>
      <c r="E92" s="217">
        <v>59678</v>
      </c>
      <c r="F92" s="210" t="s">
        <v>305</v>
      </c>
      <c r="G92" s="196"/>
      <c r="H92" s="196"/>
      <c r="I92" s="111" t="s">
        <v>12</v>
      </c>
      <c r="J92" s="218" t="s">
        <v>958</v>
      </c>
      <c r="K92" s="219">
        <v>44466</v>
      </c>
      <c r="L92" s="196"/>
      <c r="M92" s="245" t="s">
        <v>159</v>
      </c>
      <c r="N92" s="196"/>
      <c r="O92" s="218"/>
      <c r="P92" s="220">
        <v>44105</v>
      </c>
      <c r="Q92" s="218" t="s">
        <v>1178</v>
      </c>
      <c r="R92" s="196"/>
      <c r="S92" s="10">
        <v>50</v>
      </c>
      <c r="T92" s="247"/>
      <c r="U92" s="196"/>
      <c r="V92" s="218" t="s">
        <v>1583</v>
      </c>
      <c r="W92" s="218" t="s">
        <v>1273</v>
      </c>
      <c r="X92" s="141">
        <v>1481.328</v>
      </c>
      <c r="Y92" s="218">
        <v>40.182969999999997</v>
      </c>
      <c r="Z92" s="218">
        <v>-109.70644</v>
      </c>
      <c r="AA92" s="218" t="s">
        <v>1443</v>
      </c>
      <c r="AB92" s="196" t="s">
        <v>218</v>
      </c>
      <c r="AC92" s="218" t="s">
        <v>1152</v>
      </c>
      <c r="AD92" s="197" t="s">
        <v>875</v>
      </c>
      <c r="AE92" s="196" t="s">
        <v>1453</v>
      </c>
      <c r="AF92" s="218"/>
      <c r="AG92" s="196"/>
      <c r="AH92" s="196"/>
      <c r="AI92" s="246">
        <v>0</v>
      </c>
      <c r="AJ92" s="246">
        <v>0</v>
      </c>
      <c r="AK92" s="218" t="s">
        <v>466</v>
      </c>
      <c r="AL92" s="218" t="s">
        <v>924</v>
      </c>
      <c r="AM92" s="196"/>
      <c r="AN92" s="196" t="s">
        <v>452</v>
      </c>
      <c r="AO92" s="196" t="s">
        <v>656</v>
      </c>
      <c r="AP92" s="196" t="s">
        <v>1162</v>
      </c>
      <c r="AQ92" s="213" t="s">
        <v>586</v>
      </c>
      <c r="AR92" s="111" t="s">
        <v>305</v>
      </c>
      <c r="AS92" s="223"/>
      <c r="AT92" s="223"/>
      <c r="AU92" s="223"/>
      <c r="AV92" s="218">
        <v>1.2361</v>
      </c>
      <c r="AW92" s="230"/>
      <c r="AX92" s="217"/>
      <c r="AY92" s="217"/>
      <c r="AZ92" s="217"/>
      <c r="BA92" s="196"/>
      <c r="BB92" s="196"/>
      <c r="BC92" s="196"/>
      <c r="BD92" s="213"/>
      <c r="BE92" s="218" t="s">
        <v>1070</v>
      </c>
      <c r="BF92" s="196" t="s">
        <v>195</v>
      </c>
      <c r="BG92" s="196"/>
      <c r="BH92" s="196"/>
      <c r="BI92" s="197"/>
      <c r="BJ92" s="196"/>
      <c r="BK92" s="218" t="s">
        <v>1070</v>
      </c>
      <c r="BL92" s="220">
        <v>44109</v>
      </c>
      <c r="BM92" s="218"/>
      <c r="BN92" s="218"/>
      <c r="BO92" s="218"/>
      <c r="BP92" s="218"/>
      <c r="BQ92" s="196"/>
    </row>
    <row r="93" spans="1:69" x14ac:dyDescent="0.25">
      <c r="A93" s="196"/>
      <c r="B93" s="196"/>
      <c r="C93" s="196"/>
      <c r="D93" s="111" t="s">
        <v>305</v>
      </c>
      <c r="E93" s="217">
        <v>59679</v>
      </c>
      <c r="F93" s="210" t="s">
        <v>305</v>
      </c>
      <c r="G93" s="196"/>
      <c r="H93" s="196"/>
      <c r="I93" s="111" t="s">
        <v>12</v>
      </c>
      <c r="J93" s="218" t="s">
        <v>899</v>
      </c>
      <c r="K93" s="219">
        <v>44466</v>
      </c>
      <c r="L93" s="196"/>
      <c r="M93" s="245" t="s">
        <v>159</v>
      </c>
      <c r="N93" s="196"/>
      <c r="O93" s="218"/>
      <c r="P93" s="220">
        <v>44104</v>
      </c>
      <c r="Q93" s="218" t="s">
        <v>1178</v>
      </c>
      <c r="R93" s="196"/>
      <c r="S93" s="10">
        <v>300</v>
      </c>
      <c r="T93" s="247"/>
      <c r="U93" s="196" t="s">
        <v>1644</v>
      </c>
      <c r="V93" s="218" t="s">
        <v>1584</v>
      </c>
      <c r="W93" s="218" t="s">
        <v>1274</v>
      </c>
      <c r="X93" s="141">
        <v>1694.6880000000001</v>
      </c>
      <c r="Y93" s="218">
        <v>40.27722</v>
      </c>
      <c r="Z93" s="218">
        <v>-109.05694</v>
      </c>
      <c r="AA93" s="218" t="s">
        <v>1443</v>
      </c>
      <c r="AB93" s="196" t="s">
        <v>218</v>
      </c>
      <c r="AC93" s="218" t="s">
        <v>1152</v>
      </c>
      <c r="AD93" s="197" t="s">
        <v>875</v>
      </c>
      <c r="AE93" s="196" t="s">
        <v>1453</v>
      </c>
      <c r="AF93" s="218"/>
      <c r="AG93" s="196"/>
      <c r="AH93" s="196"/>
      <c r="AI93" s="246">
        <v>0</v>
      </c>
      <c r="AJ93" s="246">
        <v>0</v>
      </c>
      <c r="AK93" s="218" t="s">
        <v>473</v>
      </c>
      <c r="AL93" s="218" t="s">
        <v>925</v>
      </c>
      <c r="AM93" s="196"/>
      <c r="AN93" s="196" t="s">
        <v>1340</v>
      </c>
      <c r="AO93" s="196" t="s">
        <v>656</v>
      </c>
      <c r="AP93" s="196" t="s">
        <v>1162</v>
      </c>
      <c r="AQ93" s="213" t="s">
        <v>586</v>
      </c>
      <c r="AR93" s="111" t="s">
        <v>305</v>
      </c>
      <c r="AS93" s="223"/>
      <c r="AT93" s="223"/>
      <c r="AU93" s="223"/>
      <c r="AV93" s="218">
        <v>2.47E-2</v>
      </c>
      <c r="AW93" s="230"/>
      <c r="AX93" s="217"/>
      <c r="AY93" s="217"/>
      <c r="AZ93" s="217"/>
      <c r="BA93" s="196"/>
      <c r="BB93" s="196"/>
      <c r="BC93" s="196"/>
      <c r="BD93" s="213"/>
      <c r="BE93" s="218" t="s">
        <v>1071</v>
      </c>
      <c r="BF93" s="196" t="s">
        <v>195</v>
      </c>
      <c r="BG93" s="196"/>
      <c r="BH93" s="196"/>
      <c r="BI93" s="197"/>
      <c r="BJ93" s="196"/>
      <c r="BK93" s="218" t="s">
        <v>1071</v>
      </c>
      <c r="BL93" s="220">
        <v>44085</v>
      </c>
      <c r="BM93" s="218"/>
      <c r="BN93" s="218"/>
      <c r="BO93" s="218"/>
      <c r="BP93" s="218"/>
      <c r="BQ93" s="196"/>
    </row>
    <row r="94" spans="1:69" x14ac:dyDescent="0.25">
      <c r="A94" s="196"/>
      <c r="B94" s="196"/>
      <c r="C94" s="196"/>
      <c r="D94" s="111" t="s">
        <v>305</v>
      </c>
      <c r="E94" s="217">
        <v>59680</v>
      </c>
      <c r="F94" s="210" t="s">
        <v>305</v>
      </c>
      <c r="G94" s="196"/>
      <c r="H94" s="196"/>
      <c r="I94" s="111" t="s">
        <v>12</v>
      </c>
      <c r="J94" s="218" t="s">
        <v>899</v>
      </c>
      <c r="K94" s="219">
        <v>44466</v>
      </c>
      <c r="L94" s="196"/>
      <c r="M94" s="245" t="s">
        <v>159</v>
      </c>
      <c r="N94" s="196"/>
      <c r="O94" s="218"/>
      <c r="P94" s="220">
        <v>44105</v>
      </c>
      <c r="Q94" s="218" t="s">
        <v>1178</v>
      </c>
      <c r="R94" s="196"/>
      <c r="S94" s="10">
        <v>50</v>
      </c>
      <c r="T94" s="247"/>
      <c r="U94" s="196"/>
      <c r="V94" s="218" t="s">
        <v>1585</v>
      </c>
      <c r="W94" s="218" t="s">
        <v>1275</v>
      </c>
      <c r="X94" s="141">
        <v>1545.0312000000001</v>
      </c>
      <c r="Y94" s="218">
        <v>40.1205</v>
      </c>
      <c r="Z94" s="218">
        <v>-109.42469</v>
      </c>
      <c r="AA94" s="218" t="s">
        <v>1443</v>
      </c>
      <c r="AB94" s="196" t="s">
        <v>218</v>
      </c>
      <c r="AC94" s="218" t="s">
        <v>1153</v>
      </c>
      <c r="AD94" s="197" t="s">
        <v>875</v>
      </c>
      <c r="AE94" s="196" t="s">
        <v>1453</v>
      </c>
      <c r="AF94" s="218"/>
      <c r="AG94" s="196"/>
      <c r="AH94" s="196"/>
      <c r="AI94" s="246">
        <v>20</v>
      </c>
      <c r="AJ94" s="246" t="s">
        <v>1345</v>
      </c>
      <c r="AK94" s="218" t="s">
        <v>471</v>
      </c>
      <c r="AL94" s="218" t="s">
        <v>922</v>
      </c>
      <c r="AM94" s="196"/>
      <c r="AN94" s="196" t="s">
        <v>1332</v>
      </c>
      <c r="AO94" s="196" t="s">
        <v>656</v>
      </c>
      <c r="AP94" s="196" t="s">
        <v>1162</v>
      </c>
      <c r="AQ94" s="213" t="s">
        <v>586</v>
      </c>
      <c r="AR94" s="111" t="s">
        <v>305</v>
      </c>
      <c r="AS94" s="223"/>
      <c r="AT94" s="223"/>
      <c r="AU94" s="223"/>
      <c r="AV94" s="218">
        <v>2.5899999999999999E-2</v>
      </c>
      <c r="AW94" s="230"/>
      <c r="AX94" s="217"/>
      <c r="AY94" s="217"/>
      <c r="AZ94" s="217"/>
      <c r="BA94" s="196"/>
      <c r="BB94" s="196"/>
      <c r="BC94" s="196"/>
      <c r="BD94" s="213"/>
      <c r="BE94" s="218" t="s">
        <v>1072</v>
      </c>
      <c r="BF94" s="196" t="s">
        <v>195</v>
      </c>
      <c r="BG94" s="196"/>
      <c r="BH94" s="196"/>
      <c r="BI94" s="197"/>
      <c r="BJ94" s="196"/>
      <c r="BK94" s="218" t="s">
        <v>1072</v>
      </c>
      <c r="BL94" s="220">
        <v>44089</v>
      </c>
      <c r="BM94" s="218"/>
      <c r="BN94" s="218"/>
      <c r="BO94" s="218"/>
      <c r="BP94" s="218"/>
      <c r="BQ94" s="196"/>
    </row>
    <row r="95" spans="1:69" x14ac:dyDescent="0.25">
      <c r="A95" s="196"/>
      <c r="B95" s="197"/>
      <c r="C95" s="196"/>
      <c r="D95" s="111" t="s">
        <v>305</v>
      </c>
      <c r="E95" s="217">
        <v>59681</v>
      </c>
      <c r="F95" s="210" t="s">
        <v>305</v>
      </c>
      <c r="G95" s="196"/>
      <c r="H95" s="196"/>
      <c r="I95" s="111" t="s">
        <v>12</v>
      </c>
      <c r="J95" s="218" t="s">
        <v>973</v>
      </c>
      <c r="K95" s="219">
        <v>44466</v>
      </c>
      <c r="L95" s="196"/>
      <c r="M95" s="245" t="s">
        <v>159</v>
      </c>
      <c r="N95" s="196"/>
      <c r="O95" s="218"/>
      <c r="P95" s="220">
        <v>44058</v>
      </c>
      <c r="Q95" s="218" t="s">
        <v>1178</v>
      </c>
      <c r="R95" s="196"/>
      <c r="S95" s="10">
        <v>50</v>
      </c>
      <c r="T95" s="247"/>
      <c r="U95" s="196"/>
      <c r="V95" s="218" t="s">
        <v>1586</v>
      </c>
      <c r="W95" s="218" t="s">
        <v>1276</v>
      </c>
      <c r="X95" s="141">
        <v>1758.6960000000001</v>
      </c>
      <c r="Y95" s="218">
        <v>39.837020000000003</v>
      </c>
      <c r="Z95" s="218">
        <v>-109.59516000000001</v>
      </c>
      <c r="AA95" s="218" t="s">
        <v>1443</v>
      </c>
      <c r="AB95" s="196" t="s">
        <v>218</v>
      </c>
      <c r="AC95" s="218" t="s">
        <v>1152</v>
      </c>
      <c r="AD95" s="197" t="s">
        <v>875</v>
      </c>
      <c r="AE95" s="196" t="s">
        <v>1453</v>
      </c>
      <c r="AF95" s="218"/>
      <c r="AG95" s="196"/>
      <c r="AH95" s="196"/>
      <c r="AI95" s="246">
        <v>10</v>
      </c>
      <c r="AJ95" s="246">
        <v>10</v>
      </c>
      <c r="AK95" s="218" t="s">
        <v>466</v>
      </c>
      <c r="AL95" s="218" t="s">
        <v>924</v>
      </c>
      <c r="AM95" s="196"/>
      <c r="AN95" s="196" t="s">
        <v>1341</v>
      </c>
      <c r="AO95" s="196" t="s">
        <v>656</v>
      </c>
      <c r="AP95" s="196" t="s">
        <v>1162</v>
      </c>
      <c r="AQ95" s="213" t="s">
        <v>586</v>
      </c>
      <c r="AR95" s="111" t="s">
        <v>305</v>
      </c>
      <c r="AS95" s="223"/>
      <c r="AT95" s="223"/>
      <c r="AU95" s="223"/>
      <c r="AV95" s="218">
        <v>0.62260000000000004</v>
      </c>
      <c r="AW95" s="230"/>
      <c r="AX95" s="217"/>
      <c r="AY95" s="217"/>
      <c r="AZ95" s="217"/>
      <c r="BA95" s="196"/>
      <c r="BB95" s="196"/>
      <c r="BC95" s="196"/>
      <c r="BD95" s="213"/>
      <c r="BE95" s="218" t="s">
        <v>1073</v>
      </c>
      <c r="BF95" s="196" t="s">
        <v>195</v>
      </c>
      <c r="BG95" s="196"/>
      <c r="BH95" s="196"/>
      <c r="BI95" s="197"/>
      <c r="BJ95" s="196"/>
      <c r="BK95" s="218" t="s">
        <v>1073</v>
      </c>
      <c r="BL95" s="220">
        <v>44063</v>
      </c>
      <c r="BM95" s="218"/>
      <c r="BN95" s="218"/>
      <c r="BO95" s="218"/>
      <c r="BP95" s="218"/>
      <c r="BQ95" s="196"/>
    </row>
    <row r="96" spans="1:69" x14ac:dyDescent="0.25">
      <c r="A96" s="196"/>
      <c r="B96" s="196"/>
      <c r="C96" s="196"/>
      <c r="D96" s="111" t="s">
        <v>305</v>
      </c>
      <c r="E96" s="217">
        <v>59682</v>
      </c>
      <c r="F96" s="210" t="s">
        <v>305</v>
      </c>
      <c r="G96" s="196"/>
      <c r="H96" s="196"/>
      <c r="I96" s="111" t="s">
        <v>12</v>
      </c>
      <c r="J96" s="218" t="s">
        <v>952</v>
      </c>
      <c r="K96" s="219">
        <v>44466</v>
      </c>
      <c r="L96" s="196"/>
      <c r="M96" s="245" t="s">
        <v>159</v>
      </c>
      <c r="N96" s="196"/>
      <c r="O96" s="218"/>
      <c r="P96" s="220">
        <v>44104</v>
      </c>
      <c r="Q96" s="218" t="s">
        <v>1178</v>
      </c>
      <c r="R96" s="196"/>
      <c r="S96" s="10">
        <v>150</v>
      </c>
      <c r="T96" s="247"/>
      <c r="U96" s="196"/>
      <c r="V96" s="218" t="s">
        <v>1587</v>
      </c>
      <c r="W96" s="218" t="s">
        <v>1277</v>
      </c>
      <c r="X96" s="141">
        <v>1557.528</v>
      </c>
      <c r="Y96" s="218">
        <v>40.316110000000002</v>
      </c>
      <c r="Z96" s="218">
        <v>-109.23138</v>
      </c>
      <c r="AA96" s="218" t="s">
        <v>1443</v>
      </c>
      <c r="AB96" s="196" t="s">
        <v>218</v>
      </c>
      <c r="AC96" s="218" t="s">
        <v>1152</v>
      </c>
      <c r="AD96" s="197" t="s">
        <v>875</v>
      </c>
      <c r="AE96" s="196" t="s">
        <v>1453</v>
      </c>
      <c r="AF96" s="218"/>
      <c r="AG96" s="196"/>
      <c r="AH96" s="196"/>
      <c r="AI96" s="246">
        <v>0</v>
      </c>
      <c r="AJ96" s="246">
        <v>0</v>
      </c>
      <c r="AK96" s="218" t="s">
        <v>467</v>
      </c>
      <c r="AL96" s="218" t="s">
        <v>11</v>
      </c>
      <c r="AM96" s="196"/>
      <c r="AN96" s="196" t="s">
        <v>1342</v>
      </c>
      <c r="AO96" s="196" t="s">
        <v>656</v>
      </c>
      <c r="AP96" s="196" t="s">
        <v>1162</v>
      </c>
      <c r="AQ96" s="213" t="s">
        <v>586</v>
      </c>
      <c r="AR96" s="111" t="s">
        <v>305</v>
      </c>
      <c r="AS96" s="223"/>
      <c r="AT96" s="223"/>
      <c r="AU96" s="223"/>
      <c r="AV96" s="218">
        <v>8.5800000000000001E-2</v>
      </c>
      <c r="AW96" s="230"/>
      <c r="AX96" s="217"/>
      <c r="AY96" s="217"/>
      <c r="AZ96" s="217"/>
      <c r="BA96" s="196"/>
      <c r="BB96" s="196"/>
      <c r="BC96" s="196"/>
      <c r="BD96" s="213"/>
      <c r="BE96" s="218" t="s">
        <v>1074</v>
      </c>
      <c r="BF96" s="196" t="s">
        <v>195</v>
      </c>
      <c r="BG96" s="196"/>
      <c r="BH96" s="196"/>
      <c r="BI96" s="197"/>
      <c r="BJ96" s="196"/>
      <c r="BK96" s="218" t="s">
        <v>1074</v>
      </c>
      <c r="BL96" s="220">
        <v>44104</v>
      </c>
      <c r="BM96" s="218"/>
      <c r="BN96" s="218"/>
      <c r="BO96" s="218"/>
      <c r="BP96" s="218"/>
      <c r="BQ96" s="196"/>
    </row>
    <row r="97" spans="1:69" x14ac:dyDescent="0.25">
      <c r="A97" s="196"/>
      <c r="B97" s="197"/>
      <c r="C97" s="196"/>
      <c r="D97" s="111" t="s">
        <v>305</v>
      </c>
      <c r="E97" s="217">
        <v>59683</v>
      </c>
      <c r="F97" s="210" t="s">
        <v>305</v>
      </c>
      <c r="G97" s="196"/>
      <c r="H97" s="196"/>
      <c r="I97" s="111" t="s">
        <v>12</v>
      </c>
      <c r="J97" s="218" t="s">
        <v>974</v>
      </c>
      <c r="K97" s="219">
        <v>44466</v>
      </c>
      <c r="L97" s="196"/>
      <c r="M97" s="245" t="s">
        <v>159</v>
      </c>
      <c r="N97" s="196"/>
      <c r="O97" s="218" t="s">
        <v>1404</v>
      </c>
      <c r="P97" s="220">
        <v>44020</v>
      </c>
      <c r="Q97" s="218" t="s">
        <v>869</v>
      </c>
      <c r="R97" s="196"/>
      <c r="S97" s="10">
        <v>1000</v>
      </c>
      <c r="T97" s="247"/>
      <c r="U97" s="196"/>
      <c r="V97" s="218" t="s">
        <v>1588</v>
      </c>
      <c r="W97" s="218" t="s">
        <v>1278</v>
      </c>
      <c r="X97" s="141">
        <v>2500</v>
      </c>
      <c r="Y97" s="218">
        <v>42.61309</v>
      </c>
      <c r="Z97" s="218">
        <v>-108.7028</v>
      </c>
      <c r="AA97" s="218" t="s">
        <v>1443</v>
      </c>
      <c r="AB97" s="196" t="s">
        <v>218</v>
      </c>
      <c r="AC97" s="218" t="s">
        <v>1154</v>
      </c>
      <c r="AD97" s="197" t="s">
        <v>875</v>
      </c>
      <c r="AE97" s="196" t="s">
        <v>1454</v>
      </c>
      <c r="AF97" s="218"/>
      <c r="AG97" s="196"/>
      <c r="AH97" s="196"/>
      <c r="AI97" s="246">
        <v>15</v>
      </c>
      <c r="AJ97" s="246">
        <v>15</v>
      </c>
      <c r="AK97" s="218" t="s">
        <v>470</v>
      </c>
      <c r="AL97" s="218" t="s">
        <v>928</v>
      </c>
      <c r="AM97" s="196"/>
      <c r="AN97" s="196" t="s">
        <v>912</v>
      </c>
      <c r="AO97" s="196" t="s">
        <v>604</v>
      </c>
      <c r="AP97" s="196" t="s">
        <v>1163</v>
      </c>
      <c r="AQ97" s="213" t="s">
        <v>586</v>
      </c>
      <c r="AR97" s="111" t="s">
        <v>305</v>
      </c>
      <c r="AS97" s="223"/>
      <c r="AT97" s="223"/>
      <c r="AU97" s="223"/>
      <c r="AV97" s="218">
        <v>0.57289999999999996</v>
      </c>
      <c r="AW97" s="230"/>
      <c r="AX97" s="217"/>
      <c r="AY97" s="217"/>
      <c r="AZ97" s="217"/>
      <c r="BA97" s="196"/>
      <c r="BB97" s="196"/>
      <c r="BC97" s="196"/>
      <c r="BD97" s="213"/>
      <c r="BE97" s="218" t="s">
        <v>1075</v>
      </c>
      <c r="BF97" s="196" t="s">
        <v>195</v>
      </c>
      <c r="BG97" s="196"/>
      <c r="BH97" s="196"/>
      <c r="BI97" s="197"/>
      <c r="BJ97" s="196"/>
      <c r="BK97" s="218" t="s">
        <v>1075</v>
      </c>
      <c r="BL97" s="220"/>
      <c r="BM97" s="218"/>
      <c r="BN97" s="218"/>
      <c r="BO97" s="218"/>
      <c r="BP97" s="218" t="s">
        <v>1699</v>
      </c>
      <c r="BQ97" s="196"/>
    </row>
    <row r="98" spans="1:69" x14ac:dyDescent="0.25">
      <c r="A98" s="196"/>
      <c r="B98" s="196"/>
      <c r="C98" s="196"/>
      <c r="D98" s="111" t="s">
        <v>305</v>
      </c>
      <c r="E98" s="217">
        <v>59684</v>
      </c>
      <c r="F98" s="210" t="s">
        <v>305</v>
      </c>
      <c r="G98" s="196"/>
      <c r="H98" s="196"/>
      <c r="I98" s="111" t="s">
        <v>12</v>
      </c>
      <c r="J98" s="218" t="s">
        <v>975</v>
      </c>
      <c r="K98" s="219">
        <v>44466</v>
      </c>
      <c r="L98" s="196"/>
      <c r="M98" s="245" t="s">
        <v>159</v>
      </c>
      <c r="N98" s="196"/>
      <c r="O98" s="218" t="s">
        <v>1405</v>
      </c>
      <c r="P98" s="220">
        <v>43997</v>
      </c>
      <c r="Q98" s="218" t="s">
        <v>1179</v>
      </c>
      <c r="R98" s="196"/>
      <c r="S98" s="10">
        <v>606</v>
      </c>
      <c r="T98" s="247"/>
      <c r="U98" s="196"/>
      <c r="V98" s="218" t="s">
        <v>1589</v>
      </c>
      <c r="W98" s="218" t="s">
        <v>1279</v>
      </c>
      <c r="X98" s="141">
        <v>2419.8072000000002</v>
      </c>
      <c r="Y98" s="218">
        <v>44.289879999999997</v>
      </c>
      <c r="Z98" s="218">
        <v>-106.95376</v>
      </c>
      <c r="AA98" s="218" t="s">
        <v>599</v>
      </c>
      <c r="AB98" s="196" t="s">
        <v>218</v>
      </c>
      <c r="AC98" s="218" t="s">
        <v>1155</v>
      </c>
      <c r="AD98" s="197" t="s">
        <v>875</v>
      </c>
      <c r="AE98" s="196" t="s">
        <v>1455</v>
      </c>
      <c r="AF98" s="218"/>
      <c r="AG98" s="196"/>
      <c r="AH98" s="196"/>
      <c r="AI98" s="246">
        <v>8</v>
      </c>
      <c r="AJ98" s="246" t="s">
        <v>1346</v>
      </c>
      <c r="AK98" s="218" t="s">
        <v>470</v>
      </c>
      <c r="AL98" s="218" t="s">
        <v>928</v>
      </c>
      <c r="AM98" s="196"/>
      <c r="AN98" s="196" t="s">
        <v>910</v>
      </c>
      <c r="AO98" s="196" t="s">
        <v>604</v>
      </c>
      <c r="AP98" s="196" t="s">
        <v>1163</v>
      </c>
      <c r="AQ98" s="213" t="s">
        <v>586</v>
      </c>
      <c r="AR98" s="111" t="s">
        <v>305</v>
      </c>
      <c r="AS98" s="223"/>
      <c r="AT98" s="223"/>
      <c r="AU98" s="223"/>
      <c r="AV98" s="218">
        <v>0.1143</v>
      </c>
      <c r="AW98" s="230"/>
      <c r="AX98" s="217"/>
      <c r="AY98" s="217"/>
      <c r="AZ98" s="217"/>
      <c r="BA98" s="196"/>
      <c r="BB98" s="196"/>
      <c r="BC98" s="196"/>
      <c r="BD98" s="213"/>
      <c r="BE98" s="218" t="s">
        <v>1076</v>
      </c>
      <c r="BF98" s="196" t="s">
        <v>195</v>
      </c>
      <c r="BG98" s="196"/>
      <c r="BH98" s="196"/>
      <c r="BI98" s="197"/>
      <c r="BJ98" s="196"/>
      <c r="BK98" s="218" t="s">
        <v>1076</v>
      </c>
      <c r="BL98" s="220">
        <v>43997</v>
      </c>
      <c r="BM98" s="218" t="s">
        <v>1486</v>
      </c>
      <c r="BN98" s="218" t="s">
        <v>1491</v>
      </c>
      <c r="BO98" s="218" t="s">
        <v>1492</v>
      </c>
      <c r="BP98" s="218" t="s">
        <v>1700</v>
      </c>
      <c r="BQ98" s="196"/>
    </row>
    <row r="99" spans="1:69" x14ac:dyDescent="0.25">
      <c r="A99" s="196"/>
      <c r="B99" s="196"/>
      <c r="C99" s="196"/>
      <c r="D99" s="111" t="s">
        <v>305</v>
      </c>
      <c r="E99" s="217">
        <v>59685</v>
      </c>
      <c r="F99" s="210" t="s">
        <v>305</v>
      </c>
      <c r="G99" s="196"/>
      <c r="H99" s="196"/>
      <c r="I99" s="111" t="s">
        <v>12</v>
      </c>
      <c r="J99" s="218" t="s">
        <v>976</v>
      </c>
      <c r="K99" s="219">
        <v>44466</v>
      </c>
      <c r="L99" s="196"/>
      <c r="M99" s="245" t="s">
        <v>159</v>
      </c>
      <c r="N99" s="196"/>
      <c r="O99" s="218" t="s">
        <v>1406</v>
      </c>
      <c r="P99" s="220">
        <v>43998</v>
      </c>
      <c r="Q99" s="218" t="s">
        <v>1180</v>
      </c>
      <c r="R99" s="196"/>
      <c r="S99" s="10">
        <v>147</v>
      </c>
      <c r="T99" s="247"/>
      <c r="U99" s="196" t="s">
        <v>1644</v>
      </c>
      <c r="V99" s="218" t="s">
        <v>1590</v>
      </c>
      <c r="W99" s="218" t="s">
        <v>1280</v>
      </c>
      <c r="X99" s="141">
        <v>1247.8512000000001</v>
      </c>
      <c r="Y99" s="218">
        <v>44.517339999999997</v>
      </c>
      <c r="Z99" s="218">
        <v>-105.44013</v>
      </c>
      <c r="AA99" s="218" t="s">
        <v>599</v>
      </c>
      <c r="AB99" s="196" t="s">
        <v>218</v>
      </c>
      <c r="AC99" s="218" t="s">
        <v>1155</v>
      </c>
      <c r="AD99" s="197" t="s">
        <v>875</v>
      </c>
      <c r="AE99" s="196" t="s">
        <v>1455</v>
      </c>
      <c r="AF99" s="218"/>
      <c r="AG99" s="196"/>
      <c r="AH99" s="196"/>
      <c r="AI99" s="246">
        <v>4</v>
      </c>
      <c r="AJ99" s="246">
        <v>4</v>
      </c>
      <c r="AK99" s="218" t="s">
        <v>473</v>
      </c>
      <c r="AL99" s="218" t="s">
        <v>1364</v>
      </c>
      <c r="AM99" s="196"/>
      <c r="AN99" s="196" t="s">
        <v>441</v>
      </c>
      <c r="AO99" s="196" t="s">
        <v>726</v>
      </c>
      <c r="AP99" s="196" t="s">
        <v>1164</v>
      </c>
      <c r="AQ99" s="213" t="s">
        <v>586</v>
      </c>
      <c r="AR99" s="111" t="s">
        <v>305</v>
      </c>
      <c r="AS99" s="223"/>
      <c r="AT99" s="223"/>
      <c r="AU99" s="223"/>
      <c r="AV99" s="218">
        <v>1.09E-2</v>
      </c>
      <c r="AW99" s="230"/>
      <c r="AX99" s="217"/>
      <c r="AY99" s="217"/>
      <c r="AZ99" s="217"/>
      <c r="BA99" s="196"/>
      <c r="BB99" s="196"/>
      <c r="BC99" s="196"/>
      <c r="BD99" s="213"/>
      <c r="BE99" s="218" t="s">
        <v>1077</v>
      </c>
      <c r="BF99" s="196" t="s">
        <v>195</v>
      </c>
      <c r="BG99" s="196"/>
      <c r="BH99" s="196"/>
      <c r="BI99" s="197"/>
      <c r="BJ99" s="196"/>
      <c r="BK99" s="218" t="s">
        <v>1077</v>
      </c>
      <c r="BL99" s="220">
        <v>43998</v>
      </c>
      <c r="BM99" s="218" t="s">
        <v>1486</v>
      </c>
      <c r="BN99" s="218" t="s">
        <v>1491</v>
      </c>
      <c r="BO99" s="218" t="s">
        <v>1492</v>
      </c>
      <c r="BP99" s="218" t="s">
        <v>1701</v>
      </c>
      <c r="BQ99" s="196"/>
    </row>
    <row r="100" spans="1:69" x14ac:dyDescent="0.25">
      <c r="A100" s="196"/>
      <c r="B100" s="196"/>
      <c r="C100" s="196"/>
      <c r="D100" s="111" t="s">
        <v>305</v>
      </c>
      <c r="E100" s="217">
        <v>59686</v>
      </c>
      <c r="F100" s="210" t="s">
        <v>305</v>
      </c>
      <c r="G100" s="196"/>
      <c r="H100" s="196"/>
      <c r="I100" s="111" t="s">
        <v>12</v>
      </c>
      <c r="J100" s="218" t="s">
        <v>976</v>
      </c>
      <c r="K100" s="219">
        <v>44466</v>
      </c>
      <c r="L100" s="196"/>
      <c r="M100" s="245" t="s">
        <v>159</v>
      </c>
      <c r="N100" s="196"/>
      <c r="O100" s="218" t="s">
        <v>1407</v>
      </c>
      <c r="P100" s="220">
        <v>43999</v>
      </c>
      <c r="Q100" s="218" t="s">
        <v>1180</v>
      </c>
      <c r="R100" s="196"/>
      <c r="S100" s="10">
        <v>58</v>
      </c>
      <c r="T100" s="247"/>
      <c r="U100" s="196" t="s">
        <v>1644</v>
      </c>
      <c r="V100" s="218" t="s">
        <v>1591</v>
      </c>
      <c r="W100" s="218" t="s">
        <v>1281</v>
      </c>
      <c r="X100" s="141">
        <v>1381.3536000000001</v>
      </c>
      <c r="Y100" s="218">
        <v>44.128050000000002</v>
      </c>
      <c r="Z100" s="218">
        <v>-105.96939999999999</v>
      </c>
      <c r="AA100" s="218" t="s">
        <v>599</v>
      </c>
      <c r="AB100" s="196" t="s">
        <v>218</v>
      </c>
      <c r="AC100" s="218" t="s">
        <v>1155</v>
      </c>
      <c r="AD100" s="197" t="s">
        <v>875</v>
      </c>
      <c r="AE100" s="196" t="s">
        <v>1455</v>
      </c>
      <c r="AF100" s="218"/>
      <c r="AG100" s="196"/>
      <c r="AH100" s="196"/>
      <c r="AI100" s="246"/>
      <c r="AJ100" s="246"/>
      <c r="AK100" s="218"/>
      <c r="AL100" s="218"/>
      <c r="AM100" s="196"/>
      <c r="AN100" s="196" t="s">
        <v>910</v>
      </c>
      <c r="AO100" s="196" t="s">
        <v>726</v>
      </c>
      <c r="AP100" s="196" t="s">
        <v>1164</v>
      </c>
      <c r="AQ100" s="213" t="s">
        <v>586</v>
      </c>
      <c r="AR100" s="111" t="s">
        <v>305</v>
      </c>
      <c r="AS100" s="223"/>
      <c r="AT100" s="223"/>
      <c r="AU100" s="223"/>
      <c r="AV100" s="218">
        <v>8.2000000000000007E-3</v>
      </c>
      <c r="AW100" s="230"/>
      <c r="AX100" s="217"/>
      <c r="AY100" s="217"/>
      <c r="AZ100" s="217"/>
      <c r="BA100" s="196"/>
      <c r="BB100" s="196"/>
      <c r="BC100" s="196"/>
      <c r="BD100" s="213"/>
      <c r="BE100" s="218" t="s">
        <v>1078</v>
      </c>
      <c r="BF100" s="196" t="s">
        <v>195</v>
      </c>
      <c r="BG100" s="196"/>
      <c r="BH100" s="196"/>
      <c r="BI100" s="197"/>
      <c r="BJ100" s="196"/>
      <c r="BK100" s="218" t="s">
        <v>1078</v>
      </c>
      <c r="BL100" s="220">
        <v>43991</v>
      </c>
      <c r="BM100" s="218" t="s">
        <v>1486</v>
      </c>
      <c r="BN100" s="218" t="s">
        <v>1491</v>
      </c>
      <c r="BO100" s="218" t="s">
        <v>1492</v>
      </c>
      <c r="BP100" s="218" t="s">
        <v>1702</v>
      </c>
      <c r="BQ100" s="196"/>
    </row>
    <row r="101" spans="1:69" x14ac:dyDescent="0.25">
      <c r="A101" s="196"/>
      <c r="B101" s="197"/>
      <c r="C101" s="196"/>
      <c r="D101" s="111" t="s">
        <v>305</v>
      </c>
      <c r="E101" s="217">
        <v>59687</v>
      </c>
      <c r="F101" s="210" t="s">
        <v>305</v>
      </c>
      <c r="G101" s="196"/>
      <c r="H101" s="196"/>
      <c r="I101" s="111" t="s">
        <v>12</v>
      </c>
      <c r="J101" s="218" t="s">
        <v>976</v>
      </c>
      <c r="K101" s="219">
        <v>44466</v>
      </c>
      <c r="L101" s="196"/>
      <c r="M101" s="245" t="s">
        <v>159</v>
      </c>
      <c r="N101" s="196"/>
      <c r="O101" s="218" t="s">
        <v>1408</v>
      </c>
      <c r="P101" s="220">
        <v>44005</v>
      </c>
      <c r="Q101" s="218" t="s">
        <v>1180</v>
      </c>
      <c r="R101" s="196"/>
      <c r="S101" s="10">
        <v>122</v>
      </c>
      <c r="T101" s="247"/>
      <c r="U101" s="196" t="s">
        <v>1644</v>
      </c>
      <c r="V101" s="218" t="s">
        <v>1592</v>
      </c>
      <c r="W101" s="218" t="s">
        <v>1282</v>
      </c>
      <c r="X101" s="141">
        <v>1516.6848</v>
      </c>
      <c r="Y101" s="218">
        <v>43.603189999999998</v>
      </c>
      <c r="Z101" s="218">
        <v>-105.15515000000001</v>
      </c>
      <c r="AA101" s="218" t="s">
        <v>599</v>
      </c>
      <c r="AB101" s="196" t="s">
        <v>218</v>
      </c>
      <c r="AC101" s="218" t="s">
        <v>1155</v>
      </c>
      <c r="AD101" s="197" t="s">
        <v>875</v>
      </c>
      <c r="AE101" s="196" t="s">
        <v>1455</v>
      </c>
      <c r="AF101" s="218"/>
      <c r="AG101" s="196"/>
      <c r="AH101" s="196"/>
      <c r="AI101" s="246">
        <v>7.5</v>
      </c>
      <c r="AJ101" s="246" t="s">
        <v>931</v>
      </c>
      <c r="AK101" s="218" t="s">
        <v>472</v>
      </c>
      <c r="AL101" s="218" t="s">
        <v>1366</v>
      </c>
      <c r="AM101" s="196"/>
      <c r="AN101" s="196" t="s">
        <v>912</v>
      </c>
      <c r="AO101" s="196" t="s">
        <v>726</v>
      </c>
      <c r="AP101" s="196" t="s">
        <v>1164</v>
      </c>
      <c r="AQ101" s="213" t="s">
        <v>586</v>
      </c>
      <c r="AR101" s="111" t="s">
        <v>305</v>
      </c>
      <c r="AS101" s="223"/>
      <c r="AT101" s="223"/>
      <c r="AU101" s="223"/>
      <c r="AV101" s="218">
        <v>7.1999999999999998E-3</v>
      </c>
      <c r="AW101" s="230"/>
      <c r="AX101" s="217"/>
      <c r="AY101" s="217"/>
      <c r="AZ101" s="217"/>
      <c r="BA101" s="196"/>
      <c r="BB101" s="196"/>
      <c r="BC101" s="196"/>
      <c r="BD101" s="213"/>
      <c r="BE101" s="218" t="s">
        <v>1079</v>
      </c>
      <c r="BF101" s="196" t="s">
        <v>195</v>
      </c>
      <c r="BG101" s="196"/>
      <c r="BH101" s="196"/>
      <c r="BI101" s="197"/>
      <c r="BJ101" s="196"/>
      <c r="BK101" s="218" t="s">
        <v>1079</v>
      </c>
      <c r="BL101" s="220">
        <v>44005</v>
      </c>
      <c r="BM101" s="218" t="s">
        <v>1486</v>
      </c>
      <c r="BN101" s="218" t="s">
        <v>1491</v>
      </c>
      <c r="BO101" s="218" t="s">
        <v>1492</v>
      </c>
      <c r="BP101" s="218" t="s">
        <v>1703</v>
      </c>
      <c r="BQ101" s="196"/>
    </row>
    <row r="102" spans="1:69" x14ac:dyDescent="0.25">
      <c r="A102" s="196"/>
      <c r="B102" s="196"/>
      <c r="C102" s="196"/>
      <c r="D102" s="111" t="s">
        <v>305</v>
      </c>
      <c r="E102" s="217">
        <v>59688</v>
      </c>
      <c r="F102" s="210" t="s">
        <v>305</v>
      </c>
      <c r="G102" s="196"/>
      <c r="H102" s="196"/>
      <c r="I102" s="111" t="s">
        <v>12</v>
      </c>
      <c r="J102" s="218" t="s">
        <v>976</v>
      </c>
      <c r="K102" s="219">
        <v>44466</v>
      </c>
      <c r="L102" s="196"/>
      <c r="M102" s="245" t="s">
        <v>159</v>
      </c>
      <c r="N102" s="196"/>
      <c r="O102" s="218" t="s">
        <v>1406</v>
      </c>
      <c r="P102" s="220">
        <v>44007</v>
      </c>
      <c r="Q102" s="218" t="s">
        <v>1179</v>
      </c>
      <c r="R102" s="196"/>
      <c r="S102" s="10">
        <v>116</v>
      </c>
      <c r="T102" s="247"/>
      <c r="U102" s="196" t="s">
        <v>1644</v>
      </c>
      <c r="V102" s="218" t="s">
        <v>1593</v>
      </c>
      <c r="W102" s="218" t="s">
        <v>1283</v>
      </c>
      <c r="X102" s="141">
        <v>1405.1280000000002</v>
      </c>
      <c r="Y102" s="218">
        <v>44.35022</v>
      </c>
      <c r="Z102" s="218">
        <v>-106.53149999999999</v>
      </c>
      <c r="AA102" s="218" t="s">
        <v>599</v>
      </c>
      <c r="AB102" s="196" t="s">
        <v>218</v>
      </c>
      <c r="AC102" s="218" t="s">
        <v>1155</v>
      </c>
      <c r="AD102" s="197" t="s">
        <v>875</v>
      </c>
      <c r="AE102" s="196" t="s">
        <v>1455</v>
      </c>
      <c r="AF102" s="218"/>
      <c r="AG102" s="196"/>
      <c r="AH102" s="196"/>
      <c r="AI102" s="246">
        <v>9</v>
      </c>
      <c r="AJ102" s="246">
        <v>9</v>
      </c>
      <c r="AK102" s="218" t="s">
        <v>470</v>
      </c>
      <c r="AL102" s="218" t="s">
        <v>928</v>
      </c>
      <c r="AM102" s="196"/>
      <c r="AN102" s="196" t="s">
        <v>910</v>
      </c>
      <c r="AO102" s="196" t="s">
        <v>726</v>
      </c>
      <c r="AP102" s="196" t="s">
        <v>1164</v>
      </c>
      <c r="AQ102" s="213" t="s">
        <v>586</v>
      </c>
      <c r="AR102" s="111" t="s">
        <v>305</v>
      </c>
      <c r="AS102" s="223"/>
      <c r="AT102" s="223"/>
      <c r="AU102" s="223"/>
      <c r="AV102" s="218">
        <v>7.7999999999999996E-3</v>
      </c>
      <c r="AW102" s="230"/>
      <c r="AX102" s="217"/>
      <c r="AY102" s="217"/>
      <c r="AZ102" s="217"/>
      <c r="BA102" s="196"/>
      <c r="BB102" s="196"/>
      <c r="BC102" s="196"/>
      <c r="BD102" s="213"/>
      <c r="BE102" s="218" t="s">
        <v>1080</v>
      </c>
      <c r="BF102" s="196" t="s">
        <v>195</v>
      </c>
      <c r="BG102" s="196"/>
      <c r="BH102" s="196"/>
      <c r="BI102" s="197"/>
      <c r="BJ102" s="196"/>
      <c r="BK102" s="218" t="s">
        <v>1080</v>
      </c>
      <c r="BL102" s="220">
        <v>43986</v>
      </c>
      <c r="BM102" s="218" t="s">
        <v>1486</v>
      </c>
      <c r="BN102" s="218" t="s">
        <v>1491</v>
      </c>
      <c r="BO102" s="218" t="s">
        <v>1492</v>
      </c>
      <c r="BP102" s="218" t="s">
        <v>1704</v>
      </c>
      <c r="BQ102" s="196"/>
    </row>
    <row r="103" spans="1:69" x14ac:dyDescent="0.25">
      <c r="A103" s="196"/>
      <c r="B103" s="197"/>
      <c r="C103" s="196"/>
      <c r="D103" s="111" t="s">
        <v>305</v>
      </c>
      <c r="E103" s="217">
        <v>59689</v>
      </c>
      <c r="F103" s="210" t="s">
        <v>305</v>
      </c>
      <c r="G103" s="196"/>
      <c r="H103" s="196"/>
      <c r="I103" s="111" t="s">
        <v>12</v>
      </c>
      <c r="J103" s="218" t="s">
        <v>885</v>
      </c>
      <c r="K103" s="219">
        <v>44466</v>
      </c>
      <c r="L103" s="196"/>
      <c r="M103" s="245" t="s">
        <v>159</v>
      </c>
      <c r="N103" s="196"/>
      <c r="O103" s="218" t="s">
        <v>1409</v>
      </c>
      <c r="P103" s="220">
        <v>44012</v>
      </c>
      <c r="Q103" s="218" t="s">
        <v>1179</v>
      </c>
      <c r="R103" s="196"/>
      <c r="S103" s="10">
        <v>870</v>
      </c>
      <c r="T103" s="247"/>
      <c r="U103" s="196" t="s">
        <v>1644</v>
      </c>
      <c r="V103" s="218" t="s">
        <v>1594</v>
      </c>
      <c r="W103" s="218" t="s">
        <v>1284</v>
      </c>
      <c r="X103" s="141">
        <v>1384.4016000000001</v>
      </c>
      <c r="Y103" s="218">
        <v>44.118580000000001</v>
      </c>
      <c r="Z103" s="218">
        <v>-106.2422</v>
      </c>
      <c r="AA103" s="218" t="s">
        <v>599</v>
      </c>
      <c r="AB103" s="196" t="s">
        <v>218</v>
      </c>
      <c r="AC103" s="218" t="s">
        <v>1155</v>
      </c>
      <c r="AD103" s="197" t="s">
        <v>875</v>
      </c>
      <c r="AE103" s="196" t="s">
        <v>1455</v>
      </c>
      <c r="AF103" s="218"/>
      <c r="AG103" s="196"/>
      <c r="AH103" s="196"/>
      <c r="AI103" s="246">
        <v>9</v>
      </c>
      <c r="AJ103" s="246" t="s">
        <v>1347</v>
      </c>
      <c r="AK103" s="218" t="s">
        <v>472</v>
      </c>
      <c r="AL103" s="218" t="s">
        <v>1367</v>
      </c>
      <c r="AM103" s="196"/>
      <c r="AN103" s="196" t="s">
        <v>919</v>
      </c>
      <c r="AO103" s="196" t="s">
        <v>726</v>
      </c>
      <c r="AP103" s="196" t="s">
        <v>1164</v>
      </c>
      <c r="AQ103" s="213" t="s">
        <v>586</v>
      </c>
      <c r="AR103" s="111" t="s">
        <v>305</v>
      </c>
      <c r="AS103" s="223"/>
      <c r="AT103" s="223"/>
      <c r="AU103" s="223"/>
      <c r="AV103" s="218">
        <v>2.8899999999999999E-2</v>
      </c>
      <c r="AW103" s="230"/>
      <c r="AX103" s="217"/>
      <c r="AY103" s="217"/>
      <c r="AZ103" s="217"/>
      <c r="BA103" s="196"/>
      <c r="BB103" s="196"/>
      <c r="BC103" s="196"/>
      <c r="BD103" s="213"/>
      <c r="BE103" s="218" t="s">
        <v>1081</v>
      </c>
      <c r="BF103" s="196" t="s">
        <v>195</v>
      </c>
      <c r="BG103" s="196"/>
      <c r="BH103" s="196"/>
      <c r="BI103" s="197"/>
      <c r="BJ103" s="196"/>
      <c r="BK103" s="218" t="s">
        <v>1081</v>
      </c>
      <c r="BL103" s="220">
        <v>43991</v>
      </c>
      <c r="BM103" s="218" t="s">
        <v>1486</v>
      </c>
      <c r="BN103" s="218" t="s">
        <v>1491</v>
      </c>
      <c r="BO103" s="218" t="s">
        <v>1492</v>
      </c>
      <c r="BP103" s="218" t="s">
        <v>1705</v>
      </c>
      <c r="BQ103" s="196"/>
    </row>
    <row r="104" spans="1:69" x14ac:dyDescent="0.25">
      <c r="A104" s="196"/>
      <c r="B104" s="196"/>
      <c r="C104" s="196"/>
      <c r="D104" s="111" t="s">
        <v>305</v>
      </c>
      <c r="E104" s="217">
        <v>59690</v>
      </c>
      <c r="F104" s="210" t="s">
        <v>305</v>
      </c>
      <c r="G104" s="196"/>
      <c r="H104" s="196"/>
      <c r="I104" s="111" t="s">
        <v>12</v>
      </c>
      <c r="J104" s="218" t="s">
        <v>885</v>
      </c>
      <c r="K104" s="219">
        <v>44466</v>
      </c>
      <c r="L104" s="196"/>
      <c r="M104" s="245" t="s">
        <v>159</v>
      </c>
      <c r="N104" s="196"/>
      <c r="O104" s="218" t="s">
        <v>1410</v>
      </c>
      <c r="P104" s="220">
        <v>44012</v>
      </c>
      <c r="Q104" s="218" t="s">
        <v>1179</v>
      </c>
      <c r="R104" s="196"/>
      <c r="S104" s="10">
        <v>1150</v>
      </c>
      <c r="T104" s="247"/>
      <c r="U104" s="196" t="s">
        <v>1644</v>
      </c>
      <c r="V104" s="218" t="s">
        <v>1595</v>
      </c>
      <c r="W104" s="218" t="s">
        <v>1285</v>
      </c>
      <c r="X104" s="141">
        <v>1392.6312</v>
      </c>
      <c r="Y104" s="218">
        <v>44.240299999999998</v>
      </c>
      <c r="Z104" s="218">
        <v>-106.38482</v>
      </c>
      <c r="AA104" s="218" t="s">
        <v>599</v>
      </c>
      <c r="AB104" s="196" t="s">
        <v>218</v>
      </c>
      <c r="AC104" s="218" t="s">
        <v>1155</v>
      </c>
      <c r="AD104" s="197" t="s">
        <v>875</v>
      </c>
      <c r="AE104" s="196" t="s">
        <v>1455</v>
      </c>
      <c r="AF104" s="218"/>
      <c r="AG104" s="196"/>
      <c r="AH104" s="196"/>
      <c r="AI104" s="246">
        <v>9.5</v>
      </c>
      <c r="AJ104" s="246" t="s">
        <v>1348</v>
      </c>
      <c r="AK104" s="218" t="s">
        <v>472</v>
      </c>
      <c r="AL104" s="218" t="s">
        <v>1368</v>
      </c>
      <c r="AM104" s="196"/>
      <c r="AN104" s="196" t="s">
        <v>1343</v>
      </c>
      <c r="AO104" s="196" t="s">
        <v>726</v>
      </c>
      <c r="AP104" s="196" t="s">
        <v>1164</v>
      </c>
      <c r="AQ104" s="213" t="s">
        <v>586</v>
      </c>
      <c r="AR104" s="111" t="s">
        <v>305</v>
      </c>
      <c r="AS104" s="223"/>
      <c r="AT104" s="223"/>
      <c r="AU104" s="223"/>
      <c r="AV104" s="218">
        <v>3.3000000000000002E-2</v>
      </c>
      <c r="AW104" s="230"/>
      <c r="AX104" s="217"/>
      <c r="AY104" s="217"/>
      <c r="AZ104" s="217"/>
      <c r="BA104" s="196"/>
      <c r="BB104" s="196"/>
      <c r="BC104" s="196"/>
      <c r="BD104" s="213"/>
      <c r="BE104" s="218" t="s">
        <v>1082</v>
      </c>
      <c r="BF104" s="196" t="s">
        <v>195</v>
      </c>
      <c r="BG104" s="196"/>
      <c r="BH104" s="196"/>
      <c r="BI104" s="197"/>
      <c r="BJ104" s="196"/>
      <c r="BK104" s="218" t="s">
        <v>1082</v>
      </c>
      <c r="BL104" s="220">
        <v>43991</v>
      </c>
      <c r="BM104" s="218" t="s">
        <v>1486</v>
      </c>
      <c r="BN104" s="218" t="s">
        <v>1491</v>
      </c>
      <c r="BO104" s="218" t="s">
        <v>1492</v>
      </c>
      <c r="BP104" s="218" t="s">
        <v>1706</v>
      </c>
      <c r="BQ104" s="196"/>
    </row>
    <row r="105" spans="1:69" x14ac:dyDescent="0.25">
      <c r="A105" s="196"/>
      <c r="B105" s="196"/>
      <c r="C105" s="196"/>
      <c r="D105" s="111" t="s">
        <v>305</v>
      </c>
      <c r="E105" s="217">
        <v>59691</v>
      </c>
      <c r="F105" s="210" t="s">
        <v>305</v>
      </c>
      <c r="G105" s="196"/>
      <c r="H105" s="196"/>
      <c r="I105" s="111" t="s">
        <v>12</v>
      </c>
      <c r="J105" s="218" t="s">
        <v>885</v>
      </c>
      <c r="K105" s="219">
        <v>44466</v>
      </c>
      <c r="L105" s="196"/>
      <c r="M105" s="245" t="s">
        <v>159</v>
      </c>
      <c r="N105" s="196"/>
      <c r="O105" s="218" t="s">
        <v>1409</v>
      </c>
      <c r="P105" s="220">
        <v>44019</v>
      </c>
      <c r="Q105" s="218" t="s">
        <v>1179</v>
      </c>
      <c r="R105" s="196"/>
      <c r="S105" s="10">
        <v>837</v>
      </c>
      <c r="T105" s="247"/>
      <c r="U105" s="196" t="s">
        <v>1644</v>
      </c>
      <c r="V105" s="218" t="s">
        <v>1596</v>
      </c>
      <c r="W105" s="218" t="s">
        <v>1286</v>
      </c>
      <c r="X105" s="141">
        <v>1423.7208000000001</v>
      </c>
      <c r="Y105" s="218">
        <v>44.308410000000002</v>
      </c>
      <c r="Z105" s="218">
        <v>-106.49035000000001</v>
      </c>
      <c r="AA105" s="218" t="s">
        <v>599</v>
      </c>
      <c r="AB105" s="196" t="s">
        <v>218</v>
      </c>
      <c r="AC105" s="218" t="s">
        <v>1155</v>
      </c>
      <c r="AD105" s="197" t="s">
        <v>875</v>
      </c>
      <c r="AE105" s="196" t="s">
        <v>1455</v>
      </c>
      <c r="AF105" s="218"/>
      <c r="AG105" s="196"/>
      <c r="AH105" s="196"/>
      <c r="AI105" s="246">
        <v>3</v>
      </c>
      <c r="AJ105" s="246">
        <v>3</v>
      </c>
      <c r="AK105" s="218" t="s">
        <v>470</v>
      </c>
      <c r="AL105" s="218" t="s">
        <v>928</v>
      </c>
      <c r="AM105" s="196"/>
      <c r="AN105" s="196" t="s">
        <v>912</v>
      </c>
      <c r="AO105" s="196" t="s">
        <v>726</v>
      </c>
      <c r="AP105" s="196" t="s">
        <v>1164</v>
      </c>
      <c r="AQ105" s="213" t="s">
        <v>586</v>
      </c>
      <c r="AR105" s="111" t="s">
        <v>305</v>
      </c>
      <c r="AS105" s="223"/>
      <c r="AT105" s="223"/>
      <c r="AU105" s="223"/>
      <c r="AV105" s="218">
        <v>3.1300000000000001E-2</v>
      </c>
      <c r="AW105" s="230"/>
      <c r="AX105" s="217"/>
      <c r="AY105" s="217"/>
      <c r="AZ105" s="217"/>
      <c r="BA105" s="196"/>
      <c r="BB105" s="196"/>
      <c r="BC105" s="196"/>
      <c r="BD105" s="213"/>
      <c r="BE105" s="218" t="s">
        <v>1083</v>
      </c>
      <c r="BF105" s="196" t="s">
        <v>195</v>
      </c>
      <c r="BG105" s="196"/>
      <c r="BH105" s="196"/>
      <c r="BI105" s="197"/>
      <c r="BJ105" s="196"/>
      <c r="BK105" s="218" t="s">
        <v>1083</v>
      </c>
      <c r="BL105" s="220">
        <v>43999</v>
      </c>
      <c r="BM105" s="218" t="s">
        <v>1486</v>
      </c>
      <c r="BN105" s="218" t="s">
        <v>1491</v>
      </c>
      <c r="BO105" s="218" t="s">
        <v>1492</v>
      </c>
      <c r="BP105" s="218" t="s">
        <v>1707</v>
      </c>
      <c r="BQ105" s="196"/>
    </row>
    <row r="106" spans="1:69" x14ac:dyDescent="0.25">
      <c r="A106" s="196"/>
      <c r="B106" s="196"/>
      <c r="C106" s="196"/>
      <c r="D106" s="111" t="s">
        <v>305</v>
      </c>
      <c r="E106" s="217">
        <v>59692</v>
      </c>
      <c r="F106" s="210" t="s">
        <v>305</v>
      </c>
      <c r="G106" s="196"/>
      <c r="H106" s="196"/>
      <c r="I106" s="111" t="s">
        <v>12</v>
      </c>
      <c r="J106" s="218" t="s">
        <v>885</v>
      </c>
      <c r="K106" s="219">
        <v>44466</v>
      </c>
      <c r="L106" s="196"/>
      <c r="M106" s="245" t="s">
        <v>159</v>
      </c>
      <c r="N106" s="196"/>
      <c r="O106" s="218"/>
      <c r="P106" s="220">
        <v>44020</v>
      </c>
      <c r="Q106" s="218" t="s">
        <v>1179</v>
      </c>
      <c r="R106" s="196"/>
      <c r="S106" s="10">
        <v>1565</v>
      </c>
      <c r="T106" s="247"/>
      <c r="U106" s="196" t="s">
        <v>598</v>
      </c>
      <c r="V106" s="218" t="s">
        <v>1597</v>
      </c>
      <c r="W106" s="218" t="s">
        <v>1287</v>
      </c>
      <c r="X106" s="141">
        <v>1614.8304000000001</v>
      </c>
      <c r="Y106" s="218">
        <v>43.59693</v>
      </c>
      <c r="Z106" s="218">
        <v>-106.89928</v>
      </c>
      <c r="AA106" s="218" t="s">
        <v>599</v>
      </c>
      <c r="AB106" s="196" t="s">
        <v>218</v>
      </c>
      <c r="AC106" s="218" t="s">
        <v>1155</v>
      </c>
      <c r="AD106" s="197" t="s">
        <v>875</v>
      </c>
      <c r="AE106" s="196" t="s">
        <v>1455</v>
      </c>
      <c r="AF106" s="218"/>
      <c r="AG106" s="196"/>
      <c r="AH106" s="196"/>
      <c r="AI106" s="246">
        <v>11.5</v>
      </c>
      <c r="AJ106" s="246" t="s">
        <v>1349</v>
      </c>
      <c r="AK106" s="218" t="s">
        <v>466</v>
      </c>
      <c r="AL106" s="218" t="s">
        <v>924</v>
      </c>
      <c r="AM106" s="196"/>
      <c r="AN106" s="196" t="s">
        <v>920</v>
      </c>
      <c r="AO106" s="196" t="s">
        <v>726</v>
      </c>
      <c r="AP106" s="196" t="s">
        <v>1164</v>
      </c>
      <c r="AQ106" s="213" t="s">
        <v>586</v>
      </c>
      <c r="AR106" s="111" t="s">
        <v>305</v>
      </c>
      <c r="AS106" s="223"/>
      <c r="AT106" s="223"/>
      <c r="AU106" s="223"/>
      <c r="AV106" s="218">
        <v>2.8199999999999999E-2</v>
      </c>
      <c r="AW106" s="230"/>
      <c r="AX106" s="217"/>
      <c r="AY106" s="217"/>
      <c r="AZ106" s="217"/>
      <c r="BA106" s="196"/>
      <c r="BB106" s="196"/>
      <c r="BC106" s="196"/>
      <c r="BD106" s="213"/>
      <c r="BE106" s="218" t="s">
        <v>1084</v>
      </c>
      <c r="BF106" s="196" t="s">
        <v>195</v>
      </c>
      <c r="BG106" s="196"/>
      <c r="BH106" s="196"/>
      <c r="BI106" s="197"/>
      <c r="BJ106" s="196"/>
      <c r="BK106" s="218" t="s">
        <v>1084</v>
      </c>
      <c r="BL106" s="220">
        <v>43992</v>
      </c>
      <c r="BM106" s="218" t="s">
        <v>1486</v>
      </c>
      <c r="BN106" s="218" t="s">
        <v>1491</v>
      </c>
      <c r="BO106" s="218" t="s">
        <v>1492</v>
      </c>
      <c r="BP106" s="218" t="s">
        <v>1708</v>
      </c>
      <c r="BQ106" s="196"/>
    </row>
    <row r="107" spans="1:69" x14ac:dyDescent="0.25">
      <c r="A107" s="196"/>
      <c r="B107" s="197"/>
      <c r="C107" s="196"/>
      <c r="D107" s="111" t="s">
        <v>305</v>
      </c>
      <c r="E107" s="217">
        <v>59693</v>
      </c>
      <c r="F107" s="210" t="s">
        <v>305</v>
      </c>
      <c r="G107" s="196"/>
      <c r="H107" s="196"/>
      <c r="I107" s="111" t="s">
        <v>12</v>
      </c>
      <c r="J107" s="218" t="s">
        <v>885</v>
      </c>
      <c r="K107" s="219">
        <v>44466</v>
      </c>
      <c r="L107" s="196"/>
      <c r="M107" s="245" t="s">
        <v>159</v>
      </c>
      <c r="N107" s="196"/>
      <c r="O107" s="218" t="s">
        <v>1409</v>
      </c>
      <c r="P107" s="220">
        <v>44021</v>
      </c>
      <c r="Q107" s="218" t="s">
        <v>1179</v>
      </c>
      <c r="R107" s="196"/>
      <c r="S107" s="10">
        <v>720</v>
      </c>
      <c r="T107" s="247"/>
      <c r="U107" s="196" t="s">
        <v>1644</v>
      </c>
      <c r="V107" s="218" t="s">
        <v>1598</v>
      </c>
      <c r="W107" s="218" t="s">
        <v>1283</v>
      </c>
      <c r="X107" s="141">
        <v>1405.1280000000002</v>
      </c>
      <c r="Y107" s="218">
        <v>44.350610000000003</v>
      </c>
      <c r="Z107" s="218">
        <v>-106.5326</v>
      </c>
      <c r="AA107" s="218" t="s">
        <v>599</v>
      </c>
      <c r="AB107" s="196" t="s">
        <v>218</v>
      </c>
      <c r="AC107" s="218" t="s">
        <v>1155</v>
      </c>
      <c r="AD107" s="197" t="s">
        <v>875</v>
      </c>
      <c r="AE107" s="196" t="s">
        <v>1455</v>
      </c>
      <c r="AF107" s="218"/>
      <c r="AG107" s="196"/>
      <c r="AH107" s="196"/>
      <c r="AI107" s="246">
        <v>9</v>
      </c>
      <c r="AJ107" s="246">
        <v>9</v>
      </c>
      <c r="AK107" s="218" t="s">
        <v>470</v>
      </c>
      <c r="AL107" s="218" t="s">
        <v>928</v>
      </c>
      <c r="AM107" s="196"/>
      <c r="AN107" s="196" t="s">
        <v>910</v>
      </c>
      <c r="AO107" s="196" t="s">
        <v>726</v>
      </c>
      <c r="AP107" s="196" t="s">
        <v>1164</v>
      </c>
      <c r="AQ107" s="213" t="s">
        <v>586</v>
      </c>
      <c r="AR107" s="111" t="s">
        <v>305</v>
      </c>
      <c r="AS107" s="223"/>
      <c r="AT107" s="223"/>
      <c r="AU107" s="223"/>
      <c r="AV107" s="231">
        <v>3.0200000000000001E-2</v>
      </c>
      <c r="AW107" s="230"/>
      <c r="AX107" s="217"/>
      <c r="AY107" s="217"/>
      <c r="AZ107" s="217"/>
      <c r="BA107" s="196"/>
      <c r="BB107" s="196"/>
      <c r="BC107" s="196"/>
      <c r="BD107" s="213"/>
      <c r="BE107" s="218" t="s">
        <v>1085</v>
      </c>
      <c r="BF107" s="196" t="s">
        <v>195</v>
      </c>
      <c r="BG107" s="196"/>
      <c r="BH107" s="196"/>
      <c r="BI107" s="197"/>
      <c r="BJ107" s="196"/>
      <c r="BK107" s="218" t="s">
        <v>1085</v>
      </c>
      <c r="BL107" s="220">
        <v>43986</v>
      </c>
      <c r="BM107" s="218" t="s">
        <v>1486</v>
      </c>
      <c r="BN107" s="218" t="s">
        <v>1491</v>
      </c>
      <c r="BO107" s="218" t="s">
        <v>1492</v>
      </c>
      <c r="BP107" s="218" t="s">
        <v>1704</v>
      </c>
      <c r="BQ107" s="196"/>
    </row>
    <row r="108" spans="1:69" x14ac:dyDescent="0.25">
      <c r="A108" s="196"/>
      <c r="B108" s="196"/>
      <c r="C108" s="196"/>
      <c r="D108" s="111" t="s">
        <v>305</v>
      </c>
      <c r="E108" s="217">
        <v>59694</v>
      </c>
      <c r="F108" s="210" t="s">
        <v>305</v>
      </c>
      <c r="G108" s="196"/>
      <c r="H108" s="196"/>
      <c r="I108" s="111" t="s">
        <v>12</v>
      </c>
      <c r="J108" s="218" t="s">
        <v>885</v>
      </c>
      <c r="K108" s="219">
        <v>44466</v>
      </c>
      <c r="L108" s="196"/>
      <c r="M108" s="245" t="s">
        <v>159</v>
      </c>
      <c r="N108" s="196"/>
      <c r="O108" s="218" t="s">
        <v>1409</v>
      </c>
      <c r="P108" s="220">
        <v>44025</v>
      </c>
      <c r="Q108" s="218" t="s">
        <v>1179</v>
      </c>
      <c r="R108" s="196"/>
      <c r="S108" s="10">
        <v>715</v>
      </c>
      <c r="T108" s="247"/>
      <c r="U108" s="196"/>
      <c r="V108" s="218" t="s">
        <v>1599</v>
      </c>
      <c r="W108" s="218" t="s">
        <v>1288</v>
      </c>
      <c r="X108" s="141">
        <v>1338.9864</v>
      </c>
      <c r="Y108" s="218">
        <v>44.14734</v>
      </c>
      <c r="Z108" s="218">
        <v>-106.18277999999999</v>
      </c>
      <c r="AA108" s="218" t="s">
        <v>599</v>
      </c>
      <c r="AB108" s="196" t="s">
        <v>218</v>
      </c>
      <c r="AC108" s="218" t="s">
        <v>1155</v>
      </c>
      <c r="AD108" s="197" t="s">
        <v>875</v>
      </c>
      <c r="AE108" s="196" t="s">
        <v>1455</v>
      </c>
      <c r="AF108" s="218"/>
      <c r="AG108" s="196"/>
      <c r="AH108" s="196"/>
      <c r="AI108" s="246">
        <v>6</v>
      </c>
      <c r="AJ108" s="246" t="s">
        <v>1350</v>
      </c>
      <c r="AK108" s="218" t="s">
        <v>472</v>
      </c>
      <c r="AL108" s="218"/>
      <c r="AM108" s="196"/>
      <c r="AN108" s="196" t="s">
        <v>912</v>
      </c>
      <c r="AO108" s="196" t="s">
        <v>726</v>
      </c>
      <c r="AP108" s="196" t="s">
        <v>1164</v>
      </c>
      <c r="AQ108" s="213" t="s">
        <v>586</v>
      </c>
      <c r="AR108" s="111" t="s">
        <v>305</v>
      </c>
      <c r="AS108" s="223"/>
      <c r="AT108" s="223"/>
      <c r="AU108" s="223"/>
      <c r="AV108" s="231">
        <v>2.2800000000000001E-2</v>
      </c>
      <c r="AW108" s="230"/>
      <c r="AX108" s="217"/>
      <c r="AY108" s="217"/>
      <c r="AZ108" s="217"/>
      <c r="BA108" s="196"/>
      <c r="BB108" s="196"/>
      <c r="BC108" s="196"/>
      <c r="BD108" s="213"/>
      <c r="BE108" s="218" t="s">
        <v>1086</v>
      </c>
      <c r="BF108" s="196" t="s">
        <v>195</v>
      </c>
      <c r="BG108" s="196"/>
      <c r="BH108" s="196"/>
      <c r="BI108" s="197"/>
      <c r="BJ108" s="196"/>
      <c r="BK108" s="218" t="s">
        <v>1086</v>
      </c>
      <c r="BL108" s="220">
        <v>44012</v>
      </c>
      <c r="BM108" s="218" t="s">
        <v>1486</v>
      </c>
      <c r="BN108" s="218" t="s">
        <v>1491</v>
      </c>
      <c r="BO108" s="218" t="s">
        <v>1492</v>
      </c>
      <c r="BP108" s="218" t="s">
        <v>1709</v>
      </c>
      <c r="BQ108" s="196"/>
    </row>
    <row r="109" spans="1:69" x14ac:dyDescent="0.25">
      <c r="A109" s="196"/>
      <c r="B109" s="197"/>
      <c r="C109" s="196"/>
      <c r="D109" s="111" t="s">
        <v>305</v>
      </c>
      <c r="E109" s="217">
        <v>59695</v>
      </c>
      <c r="F109" s="210" t="s">
        <v>305</v>
      </c>
      <c r="G109" s="196"/>
      <c r="H109" s="196"/>
      <c r="I109" s="111" t="s">
        <v>12</v>
      </c>
      <c r="J109" s="218" t="s">
        <v>885</v>
      </c>
      <c r="K109" s="219">
        <v>44466</v>
      </c>
      <c r="L109" s="196"/>
      <c r="M109" s="245" t="s">
        <v>159</v>
      </c>
      <c r="N109" s="196"/>
      <c r="O109" s="218" t="s">
        <v>1411</v>
      </c>
      <c r="P109" s="220">
        <v>44026</v>
      </c>
      <c r="Q109" s="218" t="s">
        <v>1180</v>
      </c>
      <c r="R109" s="196"/>
      <c r="S109" s="10">
        <v>964</v>
      </c>
      <c r="T109" s="247"/>
      <c r="U109" s="196" t="s">
        <v>1644</v>
      </c>
      <c r="V109" s="218" t="s">
        <v>1600</v>
      </c>
      <c r="W109" s="218" t="s">
        <v>1289</v>
      </c>
      <c r="X109" s="141">
        <v>1493.2152000000001</v>
      </c>
      <c r="Y109" s="218">
        <v>43.572519999999997</v>
      </c>
      <c r="Z109" s="218">
        <v>-105.16502</v>
      </c>
      <c r="AA109" s="218" t="s">
        <v>599</v>
      </c>
      <c r="AB109" s="196" t="s">
        <v>218</v>
      </c>
      <c r="AC109" s="218" t="s">
        <v>1155</v>
      </c>
      <c r="AD109" s="197" t="s">
        <v>875</v>
      </c>
      <c r="AE109" s="196" t="s">
        <v>1455</v>
      </c>
      <c r="AF109" s="218"/>
      <c r="AG109" s="196"/>
      <c r="AH109" s="196"/>
      <c r="AI109" s="246">
        <v>6</v>
      </c>
      <c r="AJ109" s="246" t="s">
        <v>1351</v>
      </c>
      <c r="AK109" s="218" t="s">
        <v>435</v>
      </c>
      <c r="AL109" s="218" t="s">
        <v>927</v>
      </c>
      <c r="AM109" s="196"/>
      <c r="AN109" s="196" t="s">
        <v>912</v>
      </c>
      <c r="AO109" s="196" t="s">
        <v>726</v>
      </c>
      <c r="AP109" s="196" t="s">
        <v>1164</v>
      </c>
      <c r="AQ109" s="213" t="s">
        <v>586</v>
      </c>
      <c r="AR109" s="111" t="s">
        <v>305</v>
      </c>
      <c r="AS109" s="223"/>
      <c r="AT109" s="223"/>
      <c r="AU109" s="223"/>
      <c r="AV109" s="231">
        <v>2.4400000000000002E-2</v>
      </c>
      <c r="AW109" s="230"/>
      <c r="AX109" s="217"/>
      <c r="AY109" s="217"/>
      <c r="AZ109" s="217"/>
      <c r="BA109" s="196"/>
      <c r="BB109" s="196"/>
      <c r="BC109" s="196"/>
      <c r="BD109" s="213"/>
      <c r="BE109" s="218" t="s">
        <v>1087</v>
      </c>
      <c r="BF109" s="196" t="s">
        <v>195</v>
      </c>
      <c r="BG109" s="196"/>
      <c r="BH109" s="196"/>
      <c r="BI109" s="197"/>
      <c r="BJ109" s="196"/>
      <c r="BK109" s="218" t="s">
        <v>1087</v>
      </c>
      <c r="BL109" s="220">
        <v>44005</v>
      </c>
      <c r="BM109" s="218" t="s">
        <v>1486</v>
      </c>
      <c r="BN109" s="218" t="s">
        <v>1491</v>
      </c>
      <c r="BO109" s="218" t="s">
        <v>1492</v>
      </c>
      <c r="BP109" s="218" t="s">
        <v>1703</v>
      </c>
      <c r="BQ109" s="196"/>
    </row>
    <row r="110" spans="1:69" x14ac:dyDescent="0.25">
      <c r="A110" s="196"/>
      <c r="B110" s="196"/>
      <c r="C110" s="196"/>
      <c r="D110" s="111" t="s">
        <v>305</v>
      </c>
      <c r="E110" s="217">
        <v>59696</v>
      </c>
      <c r="F110" s="210" t="s">
        <v>305</v>
      </c>
      <c r="G110" s="196"/>
      <c r="H110" s="196"/>
      <c r="I110" s="111" t="s">
        <v>12</v>
      </c>
      <c r="J110" s="218" t="s">
        <v>885</v>
      </c>
      <c r="K110" s="219">
        <v>44466</v>
      </c>
      <c r="L110" s="196"/>
      <c r="M110" s="245" t="s">
        <v>159</v>
      </c>
      <c r="N110" s="196"/>
      <c r="O110" s="218" t="s">
        <v>1409</v>
      </c>
      <c r="P110" s="220">
        <v>44027</v>
      </c>
      <c r="Q110" s="218" t="s">
        <v>1181</v>
      </c>
      <c r="R110" s="196"/>
      <c r="S110" s="10">
        <v>624</v>
      </c>
      <c r="T110" s="247"/>
      <c r="U110" s="196" t="s">
        <v>1644</v>
      </c>
      <c r="V110" s="218" t="s">
        <v>1601</v>
      </c>
      <c r="W110" s="218" t="s">
        <v>1290</v>
      </c>
      <c r="X110" s="141">
        <v>2086.6608000000001</v>
      </c>
      <c r="Y110" s="218">
        <v>42.700060000000001</v>
      </c>
      <c r="Z110" s="218">
        <v>-107.3147</v>
      </c>
      <c r="AA110" s="218" t="s">
        <v>599</v>
      </c>
      <c r="AB110" s="196" t="s">
        <v>218</v>
      </c>
      <c r="AC110" s="218" t="s">
        <v>1155</v>
      </c>
      <c r="AD110" s="197" t="s">
        <v>875</v>
      </c>
      <c r="AE110" s="196" t="s">
        <v>1455</v>
      </c>
      <c r="AF110" s="218"/>
      <c r="AG110" s="196"/>
      <c r="AH110" s="196"/>
      <c r="AI110" s="246">
        <v>12.5</v>
      </c>
      <c r="AJ110" s="246" t="s">
        <v>1352</v>
      </c>
      <c r="AK110" s="218" t="s">
        <v>472</v>
      </c>
      <c r="AL110" s="218" t="s">
        <v>929</v>
      </c>
      <c r="AM110" s="196"/>
      <c r="AN110" s="196" t="s">
        <v>910</v>
      </c>
      <c r="AO110" s="196" t="s">
        <v>780</v>
      </c>
      <c r="AP110" s="196" t="s">
        <v>1165</v>
      </c>
      <c r="AQ110" s="213" t="s">
        <v>586</v>
      </c>
      <c r="AR110" s="111" t="s">
        <v>305</v>
      </c>
      <c r="AS110" s="223"/>
      <c r="AT110" s="223"/>
      <c r="AU110" s="223"/>
      <c r="AV110" s="231">
        <v>2.8199999999999999E-2</v>
      </c>
      <c r="AW110" s="230"/>
      <c r="AX110" s="217"/>
      <c r="AY110" s="217"/>
      <c r="AZ110" s="217"/>
      <c r="BA110" s="196"/>
      <c r="BB110" s="196"/>
      <c r="BC110" s="196"/>
      <c r="BD110" s="213"/>
      <c r="BE110" s="218" t="s">
        <v>1088</v>
      </c>
      <c r="BF110" s="196" t="s">
        <v>195</v>
      </c>
      <c r="BG110" s="196"/>
      <c r="BH110" s="196"/>
      <c r="BI110" s="197"/>
      <c r="BJ110" s="196"/>
      <c r="BK110" s="218" t="s">
        <v>1088</v>
      </c>
      <c r="BL110" s="220">
        <v>44006</v>
      </c>
      <c r="BM110" s="218" t="s">
        <v>1486</v>
      </c>
      <c r="BN110" s="218" t="s">
        <v>1491</v>
      </c>
      <c r="BO110" s="218" t="s">
        <v>1492</v>
      </c>
      <c r="BP110" s="218" t="s">
        <v>1710</v>
      </c>
      <c r="BQ110" s="196"/>
    </row>
    <row r="111" spans="1:69" x14ac:dyDescent="0.25">
      <c r="A111" s="196"/>
      <c r="B111" s="196"/>
      <c r="C111" s="196"/>
      <c r="D111" s="111" t="s">
        <v>305</v>
      </c>
      <c r="E111" s="217">
        <v>59697</v>
      </c>
      <c r="F111" s="210" t="s">
        <v>305</v>
      </c>
      <c r="G111" s="196"/>
      <c r="H111" s="196"/>
      <c r="I111" s="111" t="s">
        <v>12</v>
      </c>
      <c r="J111" s="218" t="s">
        <v>977</v>
      </c>
      <c r="K111" s="219">
        <v>44466</v>
      </c>
      <c r="L111" s="196"/>
      <c r="M111" s="245" t="s">
        <v>159</v>
      </c>
      <c r="N111" s="196"/>
      <c r="O111" s="218" t="s">
        <v>1412</v>
      </c>
      <c r="P111" s="220">
        <v>44027</v>
      </c>
      <c r="Q111" s="218" t="s">
        <v>1182</v>
      </c>
      <c r="R111" s="196"/>
      <c r="S111" s="10">
        <v>659</v>
      </c>
      <c r="T111" s="247"/>
      <c r="U111" s="196" t="s">
        <v>598</v>
      </c>
      <c r="V111" s="218" t="s">
        <v>1602</v>
      </c>
      <c r="W111" s="218" t="s">
        <v>1291</v>
      </c>
      <c r="X111" s="141">
        <v>1984.8576</v>
      </c>
      <c r="Y111" s="218">
        <v>43.614460000000001</v>
      </c>
      <c r="Z111" s="218">
        <v>-107.18858</v>
      </c>
      <c r="AA111" s="218" t="s">
        <v>599</v>
      </c>
      <c r="AB111" s="196" t="s">
        <v>218</v>
      </c>
      <c r="AC111" s="218" t="s">
        <v>1155</v>
      </c>
      <c r="AD111" s="197" t="s">
        <v>875</v>
      </c>
      <c r="AE111" s="196" t="s">
        <v>1455</v>
      </c>
      <c r="AF111" s="218"/>
      <c r="AG111" s="196"/>
      <c r="AH111" s="196"/>
      <c r="AI111" s="246">
        <v>12</v>
      </c>
      <c r="AJ111" s="246" t="s">
        <v>1353</v>
      </c>
      <c r="AK111" s="218" t="s">
        <v>466</v>
      </c>
      <c r="AL111" s="218" t="s">
        <v>924</v>
      </c>
      <c r="AM111" s="196"/>
      <c r="AN111" s="196" t="s">
        <v>910</v>
      </c>
      <c r="AO111" s="196" t="s">
        <v>780</v>
      </c>
      <c r="AP111" s="196" t="s">
        <v>1165</v>
      </c>
      <c r="AQ111" s="213" t="s">
        <v>586</v>
      </c>
      <c r="AR111" s="111" t="s">
        <v>305</v>
      </c>
      <c r="AS111" s="223"/>
      <c r="AT111" s="223"/>
      <c r="AU111" s="223"/>
      <c r="AV111" s="231">
        <v>3.5400000000000001E-2</v>
      </c>
      <c r="AW111" s="230"/>
      <c r="AX111" s="217"/>
      <c r="AY111" s="217"/>
      <c r="AZ111" s="217"/>
      <c r="BA111" s="196"/>
      <c r="BB111" s="196"/>
      <c r="BC111" s="196"/>
      <c r="BD111" s="213"/>
      <c r="BE111" s="218" t="s">
        <v>1089</v>
      </c>
      <c r="BF111" s="196" t="s">
        <v>195</v>
      </c>
      <c r="BG111" s="196"/>
      <c r="BH111" s="196"/>
      <c r="BI111" s="197"/>
      <c r="BJ111" s="196"/>
      <c r="BK111" s="218" t="s">
        <v>1089</v>
      </c>
      <c r="BL111" s="220">
        <v>44006</v>
      </c>
      <c r="BM111" s="218" t="s">
        <v>1486</v>
      </c>
      <c r="BN111" s="218" t="s">
        <v>1491</v>
      </c>
      <c r="BO111" s="218" t="s">
        <v>1492</v>
      </c>
      <c r="BP111" s="218" t="s">
        <v>1711</v>
      </c>
      <c r="BQ111" s="196"/>
    </row>
    <row r="112" spans="1:69" x14ac:dyDescent="0.25">
      <c r="A112" s="196"/>
      <c r="B112" s="196"/>
      <c r="C112" s="196"/>
      <c r="D112" s="111" t="s">
        <v>305</v>
      </c>
      <c r="E112" s="217">
        <v>59698</v>
      </c>
      <c r="F112" s="210" t="s">
        <v>305</v>
      </c>
      <c r="G112" s="196"/>
      <c r="H112" s="196"/>
      <c r="I112" s="111" t="s">
        <v>12</v>
      </c>
      <c r="J112" s="218" t="s">
        <v>978</v>
      </c>
      <c r="K112" s="219">
        <v>44466</v>
      </c>
      <c r="L112" s="196"/>
      <c r="M112" s="245" t="s">
        <v>159</v>
      </c>
      <c r="N112" s="196"/>
      <c r="O112" s="218" t="s">
        <v>1413</v>
      </c>
      <c r="P112" s="220">
        <v>44028</v>
      </c>
      <c r="Q112" s="218" t="s">
        <v>1181</v>
      </c>
      <c r="R112" s="196"/>
      <c r="S112" s="10">
        <v>507</v>
      </c>
      <c r="T112" s="247"/>
      <c r="U112" s="196" t="s">
        <v>1644</v>
      </c>
      <c r="V112" s="218" t="s">
        <v>1603</v>
      </c>
      <c r="W112" s="218" t="s">
        <v>1292</v>
      </c>
      <c r="X112" s="141">
        <v>1516.9896000000001</v>
      </c>
      <c r="Y112" s="218">
        <v>43.459600000000002</v>
      </c>
      <c r="Z112" s="218">
        <v>-106.46531</v>
      </c>
      <c r="AA112" s="218" t="s">
        <v>599</v>
      </c>
      <c r="AB112" s="196" t="s">
        <v>218</v>
      </c>
      <c r="AC112" s="218" t="s">
        <v>1155</v>
      </c>
      <c r="AD112" s="197" t="s">
        <v>875</v>
      </c>
      <c r="AE112" s="196" t="s">
        <v>1455</v>
      </c>
      <c r="AF112" s="218"/>
      <c r="AG112" s="196"/>
      <c r="AH112" s="196"/>
      <c r="AI112" s="246">
        <v>0.5</v>
      </c>
      <c r="AJ112" s="246" t="s">
        <v>1354</v>
      </c>
      <c r="AK112" s="218" t="s">
        <v>468</v>
      </c>
      <c r="AL112" s="218" t="s">
        <v>926</v>
      </c>
      <c r="AM112" s="196"/>
      <c r="AN112" s="196" t="s">
        <v>912</v>
      </c>
      <c r="AO112" s="196" t="s">
        <v>726</v>
      </c>
      <c r="AP112" s="196" t="s">
        <v>1164</v>
      </c>
      <c r="AQ112" s="213" t="s">
        <v>586</v>
      </c>
      <c r="AR112" s="111" t="s">
        <v>305</v>
      </c>
      <c r="AS112" s="223"/>
      <c r="AT112" s="223"/>
      <c r="AU112" s="223"/>
      <c r="AV112" s="231">
        <v>0.36820000000000003</v>
      </c>
      <c r="AW112" s="230"/>
      <c r="AX112" s="217"/>
      <c r="AY112" s="217"/>
      <c r="AZ112" s="217"/>
      <c r="BA112" s="196"/>
      <c r="BB112" s="196"/>
      <c r="BC112" s="196"/>
      <c r="BD112" s="213"/>
      <c r="BE112" s="218" t="s">
        <v>1090</v>
      </c>
      <c r="BF112" s="196" t="s">
        <v>195</v>
      </c>
      <c r="BG112" s="196"/>
      <c r="BH112" s="196"/>
      <c r="BI112" s="197"/>
      <c r="BJ112" s="196"/>
      <c r="BK112" s="218" t="s">
        <v>1090</v>
      </c>
      <c r="BL112" s="220">
        <v>43992</v>
      </c>
      <c r="BM112" s="218" t="s">
        <v>1486</v>
      </c>
      <c r="BN112" s="218" t="s">
        <v>1491</v>
      </c>
      <c r="BO112" s="218" t="s">
        <v>1492</v>
      </c>
      <c r="BP112" s="218" t="s">
        <v>1712</v>
      </c>
      <c r="BQ112" s="196"/>
    </row>
    <row r="113" spans="1:69" x14ac:dyDescent="0.25">
      <c r="A113" s="196"/>
      <c r="B113" s="197"/>
      <c r="C113" s="196"/>
      <c r="D113" s="111" t="s">
        <v>305</v>
      </c>
      <c r="E113" s="217">
        <v>59699</v>
      </c>
      <c r="F113" s="210" t="s">
        <v>305</v>
      </c>
      <c r="G113" s="196"/>
      <c r="H113" s="196"/>
      <c r="I113" s="111" t="s">
        <v>12</v>
      </c>
      <c r="J113" s="218" t="s">
        <v>885</v>
      </c>
      <c r="K113" s="219">
        <v>44466</v>
      </c>
      <c r="L113" s="196"/>
      <c r="M113" s="245" t="s">
        <v>159</v>
      </c>
      <c r="N113" s="196"/>
      <c r="O113" s="218" t="s">
        <v>1414</v>
      </c>
      <c r="P113" s="220">
        <v>44039</v>
      </c>
      <c r="Q113" s="218" t="s">
        <v>1179</v>
      </c>
      <c r="R113" s="196"/>
      <c r="S113" s="10">
        <v>1037</v>
      </c>
      <c r="T113" s="247"/>
      <c r="U113" s="196" t="s">
        <v>598</v>
      </c>
      <c r="V113" s="218" t="s">
        <v>1604</v>
      </c>
      <c r="W113" s="218" t="s">
        <v>1293</v>
      </c>
      <c r="X113" s="141">
        <v>1747.7232000000001</v>
      </c>
      <c r="Y113" s="218">
        <v>43.837730000000001</v>
      </c>
      <c r="Z113" s="218">
        <v>-106.86485</v>
      </c>
      <c r="AA113" s="218" t="s">
        <v>599</v>
      </c>
      <c r="AB113" s="196" t="s">
        <v>218</v>
      </c>
      <c r="AC113" s="218" t="s">
        <v>1155</v>
      </c>
      <c r="AD113" s="197" t="s">
        <v>875</v>
      </c>
      <c r="AE113" s="196" t="s">
        <v>1455</v>
      </c>
      <c r="AF113" s="218"/>
      <c r="AG113" s="196"/>
      <c r="AH113" s="196"/>
      <c r="AI113" s="246">
        <v>10</v>
      </c>
      <c r="AJ113" s="246" t="s">
        <v>1355</v>
      </c>
      <c r="AK113" s="218" t="s">
        <v>435</v>
      </c>
      <c r="AL113" s="218" t="s">
        <v>927</v>
      </c>
      <c r="AM113" s="196"/>
      <c r="AN113" s="196" t="s">
        <v>912</v>
      </c>
      <c r="AO113" s="196" t="s">
        <v>780</v>
      </c>
      <c r="AP113" s="196" t="s">
        <v>1165</v>
      </c>
      <c r="AQ113" s="213" t="s">
        <v>586</v>
      </c>
      <c r="AR113" s="111" t="s">
        <v>305</v>
      </c>
      <c r="AS113" s="223"/>
      <c r="AT113" s="223"/>
      <c r="AU113" s="223"/>
      <c r="AV113" s="231">
        <v>2.58E-2</v>
      </c>
      <c r="AW113" s="230"/>
      <c r="AX113" s="217"/>
      <c r="AY113" s="217"/>
      <c r="AZ113" s="217"/>
      <c r="BA113" s="196"/>
      <c r="BB113" s="196"/>
      <c r="BC113" s="196"/>
      <c r="BD113" s="213"/>
      <c r="BE113" s="218" t="s">
        <v>1091</v>
      </c>
      <c r="BF113" s="196" t="s">
        <v>195</v>
      </c>
      <c r="BG113" s="196"/>
      <c r="BH113" s="196"/>
      <c r="BI113" s="197"/>
      <c r="BJ113" s="196"/>
      <c r="BK113" s="218" t="s">
        <v>1091</v>
      </c>
      <c r="BL113" s="220"/>
      <c r="BM113" s="218"/>
      <c r="BN113" s="218"/>
      <c r="BO113" s="218"/>
      <c r="BP113" s="218" t="s">
        <v>1713</v>
      </c>
      <c r="BQ113" s="196"/>
    </row>
    <row r="114" spans="1:69" x14ac:dyDescent="0.25">
      <c r="A114" s="196"/>
      <c r="B114" s="196"/>
      <c r="C114" s="196"/>
      <c r="D114" s="111" t="s">
        <v>305</v>
      </c>
      <c r="E114" s="217">
        <v>59700</v>
      </c>
      <c r="F114" s="210" t="s">
        <v>305</v>
      </c>
      <c r="G114" s="196"/>
      <c r="H114" s="196"/>
      <c r="I114" s="111" t="s">
        <v>12</v>
      </c>
      <c r="J114" s="218" t="s">
        <v>979</v>
      </c>
      <c r="K114" s="219">
        <v>44466</v>
      </c>
      <c r="L114" s="196"/>
      <c r="M114" s="245" t="s">
        <v>159</v>
      </c>
      <c r="N114" s="196"/>
      <c r="O114" s="218" t="s">
        <v>1415</v>
      </c>
      <c r="P114" s="220">
        <v>44046</v>
      </c>
      <c r="Q114" s="218" t="s">
        <v>1179</v>
      </c>
      <c r="R114" s="196"/>
      <c r="S114" s="10">
        <v>1582</v>
      </c>
      <c r="T114" s="247"/>
      <c r="U114" s="196" t="s">
        <v>1650</v>
      </c>
      <c r="V114" s="218" t="s">
        <v>1605</v>
      </c>
      <c r="W114" s="218" t="s">
        <v>1294</v>
      </c>
      <c r="X114" s="141">
        <v>2291.4864000000002</v>
      </c>
      <c r="Y114" s="218">
        <v>44.091619999999999</v>
      </c>
      <c r="Z114" s="218">
        <v>-106.84506</v>
      </c>
      <c r="AA114" s="218" t="s">
        <v>599</v>
      </c>
      <c r="AB114" s="196" t="s">
        <v>218</v>
      </c>
      <c r="AC114" s="218" t="s">
        <v>1155</v>
      </c>
      <c r="AD114" s="197" t="s">
        <v>875</v>
      </c>
      <c r="AE114" s="196" t="s">
        <v>1455</v>
      </c>
      <c r="AF114" s="218"/>
      <c r="AG114" s="196"/>
      <c r="AH114" s="196"/>
      <c r="AI114" s="246">
        <v>8.5</v>
      </c>
      <c r="AJ114" s="246" t="s">
        <v>1356</v>
      </c>
      <c r="AK114" s="218" t="s">
        <v>471</v>
      </c>
      <c r="AL114" s="218" t="s">
        <v>922</v>
      </c>
      <c r="AM114" s="196"/>
      <c r="AN114" s="196" t="s">
        <v>915</v>
      </c>
      <c r="AO114" s="196" t="s">
        <v>604</v>
      </c>
      <c r="AP114" s="196" t="s">
        <v>1163</v>
      </c>
      <c r="AQ114" s="213" t="s">
        <v>586</v>
      </c>
      <c r="AR114" s="111" t="s">
        <v>305</v>
      </c>
      <c r="AS114" s="223"/>
      <c r="AT114" s="223"/>
      <c r="AU114" s="223"/>
      <c r="AV114" s="231">
        <v>0.83430000000000004</v>
      </c>
      <c r="AW114" s="230"/>
      <c r="AX114" s="217"/>
      <c r="AY114" s="217"/>
      <c r="AZ114" s="217"/>
      <c r="BA114" s="196"/>
      <c r="BB114" s="196"/>
      <c r="BC114" s="196"/>
      <c r="BD114" s="213"/>
      <c r="BE114" s="218" t="s">
        <v>1092</v>
      </c>
      <c r="BF114" s="196" t="s">
        <v>195</v>
      </c>
      <c r="BG114" s="196"/>
      <c r="BH114" s="196"/>
      <c r="BI114" s="197"/>
      <c r="BJ114" s="196"/>
      <c r="BK114" s="218" t="s">
        <v>1092</v>
      </c>
      <c r="BL114" s="220"/>
      <c r="BM114" s="218"/>
      <c r="BN114" s="218"/>
      <c r="BO114" s="218"/>
      <c r="BP114" s="218" t="s">
        <v>1714</v>
      </c>
      <c r="BQ114" s="196"/>
    </row>
    <row r="115" spans="1:69" x14ac:dyDescent="0.25">
      <c r="A115" s="196"/>
      <c r="B115" s="197"/>
      <c r="C115" s="196"/>
      <c r="D115" s="111" t="s">
        <v>305</v>
      </c>
      <c r="E115" s="217">
        <v>59701</v>
      </c>
      <c r="F115" s="210" t="s">
        <v>305</v>
      </c>
      <c r="G115" s="196"/>
      <c r="H115" s="196"/>
      <c r="I115" s="111" t="s">
        <v>12</v>
      </c>
      <c r="J115" s="218" t="s">
        <v>886</v>
      </c>
      <c r="K115" s="219">
        <v>44466</v>
      </c>
      <c r="L115" s="196"/>
      <c r="M115" s="245" t="s">
        <v>159</v>
      </c>
      <c r="N115" s="196"/>
      <c r="O115" s="218" t="s">
        <v>1416</v>
      </c>
      <c r="P115" s="220">
        <v>44048</v>
      </c>
      <c r="Q115" s="218" t="s">
        <v>1180</v>
      </c>
      <c r="R115" s="196"/>
      <c r="S115" s="10">
        <v>1133</v>
      </c>
      <c r="T115" s="247"/>
      <c r="U115" s="196" t="s">
        <v>1644</v>
      </c>
      <c r="V115" s="218" t="s">
        <v>1606</v>
      </c>
      <c r="W115" s="218" t="s">
        <v>1295</v>
      </c>
      <c r="X115" s="141">
        <v>1263.396</v>
      </c>
      <c r="Y115" s="218">
        <v>44.635289999999998</v>
      </c>
      <c r="Z115" s="218">
        <v>-105.35576</v>
      </c>
      <c r="AA115" s="218" t="s">
        <v>599</v>
      </c>
      <c r="AB115" s="196" t="s">
        <v>218</v>
      </c>
      <c r="AC115" s="218" t="s">
        <v>1155</v>
      </c>
      <c r="AD115" s="197" t="s">
        <v>875</v>
      </c>
      <c r="AE115" s="196" t="s">
        <v>1455</v>
      </c>
      <c r="AF115" s="218"/>
      <c r="AG115" s="196"/>
      <c r="AH115" s="196"/>
      <c r="AI115" s="246">
        <v>2</v>
      </c>
      <c r="AJ115" s="246" t="s">
        <v>1357</v>
      </c>
      <c r="AK115" s="218" t="s">
        <v>467</v>
      </c>
      <c r="AL115" s="218" t="s">
        <v>11</v>
      </c>
      <c r="AM115" s="196"/>
      <c r="AN115" s="196" t="s">
        <v>910</v>
      </c>
      <c r="AO115" s="196" t="s">
        <v>726</v>
      </c>
      <c r="AP115" s="196" t="s">
        <v>1164</v>
      </c>
      <c r="AQ115" s="213" t="s">
        <v>586</v>
      </c>
      <c r="AR115" s="111" t="s">
        <v>305</v>
      </c>
      <c r="AS115" s="223"/>
      <c r="AT115" s="223"/>
      <c r="AU115" s="223"/>
      <c r="AV115" s="231">
        <v>6.25E-2</v>
      </c>
      <c r="AW115" s="230"/>
      <c r="AX115" s="217"/>
      <c r="AY115" s="217"/>
      <c r="AZ115" s="217"/>
      <c r="BA115" s="196"/>
      <c r="BB115" s="196"/>
      <c r="BC115" s="196"/>
      <c r="BD115" s="213"/>
      <c r="BE115" s="218" t="s">
        <v>1093</v>
      </c>
      <c r="BF115" s="196" t="s">
        <v>195</v>
      </c>
      <c r="BG115" s="196"/>
      <c r="BH115" s="196"/>
      <c r="BI115" s="197"/>
      <c r="BJ115" s="196"/>
      <c r="BK115" s="218" t="s">
        <v>1093</v>
      </c>
      <c r="BL115" s="220">
        <v>44048</v>
      </c>
      <c r="BM115" s="218" t="s">
        <v>1486</v>
      </c>
      <c r="BN115" s="218" t="s">
        <v>1491</v>
      </c>
      <c r="BO115" s="218" t="s">
        <v>1492</v>
      </c>
      <c r="BP115" s="218" t="s">
        <v>1715</v>
      </c>
      <c r="BQ115" s="196"/>
    </row>
    <row r="116" spans="1:69" x14ac:dyDescent="0.25">
      <c r="A116" s="196"/>
      <c r="B116" s="196"/>
      <c r="C116" s="196"/>
      <c r="D116" s="111" t="s">
        <v>305</v>
      </c>
      <c r="E116" s="217">
        <v>59702</v>
      </c>
      <c r="F116" s="210" t="s">
        <v>305</v>
      </c>
      <c r="G116" s="196"/>
      <c r="H116" s="196"/>
      <c r="I116" s="111" t="s">
        <v>12</v>
      </c>
      <c r="J116" s="218" t="s">
        <v>886</v>
      </c>
      <c r="K116" s="219">
        <v>44466</v>
      </c>
      <c r="L116" s="196"/>
      <c r="M116" s="245" t="s">
        <v>159</v>
      </c>
      <c r="N116" s="196"/>
      <c r="O116" s="218" t="s">
        <v>1416</v>
      </c>
      <c r="P116" s="220">
        <v>44048</v>
      </c>
      <c r="Q116" s="218" t="s">
        <v>1180</v>
      </c>
      <c r="R116" s="196"/>
      <c r="S116" s="10">
        <v>1065</v>
      </c>
      <c r="T116" s="247"/>
      <c r="U116" s="196" t="s">
        <v>1644</v>
      </c>
      <c r="V116" s="218" t="s">
        <v>1607</v>
      </c>
      <c r="W116" s="218" t="s">
        <v>1296</v>
      </c>
      <c r="X116" s="141">
        <v>1247.8512000000001</v>
      </c>
      <c r="Y116" s="218">
        <v>44.516919999999999</v>
      </c>
      <c r="Z116" s="218">
        <v>-105.44336</v>
      </c>
      <c r="AA116" s="218" t="s">
        <v>599</v>
      </c>
      <c r="AB116" s="196" t="s">
        <v>218</v>
      </c>
      <c r="AC116" s="218" t="s">
        <v>1155</v>
      </c>
      <c r="AD116" s="197" t="s">
        <v>875</v>
      </c>
      <c r="AE116" s="196" t="s">
        <v>1455</v>
      </c>
      <c r="AF116" s="218"/>
      <c r="AG116" s="196"/>
      <c r="AH116" s="196"/>
      <c r="AI116" s="246">
        <v>2</v>
      </c>
      <c r="AJ116" s="246" t="s">
        <v>1357</v>
      </c>
      <c r="AK116" s="218" t="s">
        <v>472</v>
      </c>
      <c r="AL116" s="218" t="s">
        <v>929</v>
      </c>
      <c r="AM116" s="196"/>
      <c r="AN116" s="196" t="s">
        <v>441</v>
      </c>
      <c r="AO116" s="196" t="s">
        <v>726</v>
      </c>
      <c r="AP116" s="196" t="s">
        <v>1164</v>
      </c>
      <c r="AQ116" s="213" t="s">
        <v>586</v>
      </c>
      <c r="AR116" s="111" t="s">
        <v>305</v>
      </c>
      <c r="AS116" s="223"/>
      <c r="AT116" s="223"/>
      <c r="AU116" s="223"/>
      <c r="AV116" s="231">
        <v>7.0099999999999996E-2</v>
      </c>
      <c r="AW116" s="230"/>
      <c r="AX116" s="217"/>
      <c r="AY116" s="217"/>
      <c r="AZ116" s="217"/>
      <c r="BA116" s="196"/>
      <c r="BB116" s="196"/>
      <c r="BC116" s="196"/>
      <c r="BD116" s="213"/>
      <c r="BE116" s="218" t="s">
        <v>1094</v>
      </c>
      <c r="BF116" s="196" t="s">
        <v>195</v>
      </c>
      <c r="BG116" s="196"/>
      <c r="BH116" s="196"/>
      <c r="BI116" s="197"/>
      <c r="BJ116" s="196"/>
      <c r="BK116" s="218" t="s">
        <v>1094</v>
      </c>
      <c r="BL116" s="220"/>
      <c r="BM116" s="218"/>
      <c r="BN116" s="218"/>
      <c r="BO116" s="218"/>
      <c r="BP116" s="218" t="s">
        <v>1715</v>
      </c>
      <c r="BQ116" s="196"/>
    </row>
    <row r="117" spans="1:69" x14ac:dyDescent="0.25">
      <c r="A117" s="196"/>
      <c r="B117" s="196"/>
      <c r="C117" s="196"/>
      <c r="D117" s="111" t="s">
        <v>305</v>
      </c>
      <c r="E117" s="217">
        <v>59703</v>
      </c>
      <c r="F117" s="210" t="s">
        <v>305</v>
      </c>
      <c r="G117" s="196"/>
      <c r="H117" s="196"/>
      <c r="I117" s="111" t="s">
        <v>12</v>
      </c>
      <c r="J117" s="218" t="s">
        <v>886</v>
      </c>
      <c r="K117" s="219">
        <v>44466</v>
      </c>
      <c r="L117" s="196"/>
      <c r="M117" s="245" t="s">
        <v>159</v>
      </c>
      <c r="N117" s="196"/>
      <c r="O117" s="218" t="s">
        <v>1416</v>
      </c>
      <c r="P117" s="220">
        <v>44049</v>
      </c>
      <c r="Q117" s="218" t="s">
        <v>1179</v>
      </c>
      <c r="R117" s="196"/>
      <c r="S117" s="10">
        <v>1197</v>
      </c>
      <c r="T117" s="247"/>
      <c r="U117" s="196" t="s">
        <v>1644</v>
      </c>
      <c r="V117" s="218" t="s">
        <v>1608</v>
      </c>
      <c r="W117" s="218" t="s">
        <v>1297</v>
      </c>
      <c r="X117" s="141">
        <v>1906.2192</v>
      </c>
      <c r="Y117" s="218">
        <v>43.586930000000002</v>
      </c>
      <c r="Z117" s="218">
        <v>-106.93411999999999</v>
      </c>
      <c r="AA117" s="218"/>
      <c r="AB117" s="196"/>
      <c r="AC117" s="218" t="s">
        <v>1155</v>
      </c>
      <c r="AD117" s="197" t="s">
        <v>875</v>
      </c>
      <c r="AE117" s="196" t="s">
        <v>1455</v>
      </c>
      <c r="AF117" s="218"/>
      <c r="AG117" s="196"/>
      <c r="AH117" s="196"/>
      <c r="AI117" s="246">
        <v>7.5</v>
      </c>
      <c r="AJ117" s="246" t="s">
        <v>1358</v>
      </c>
      <c r="AK117" s="218" t="s">
        <v>472</v>
      </c>
      <c r="AL117" s="218"/>
      <c r="AM117" s="196"/>
      <c r="AN117" s="196" t="s">
        <v>909</v>
      </c>
      <c r="AO117" s="196" t="s">
        <v>726</v>
      </c>
      <c r="AP117" s="196" t="s">
        <v>1164</v>
      </c>
      <c r="AQ117" s="213" t="s">
        <v>586</v>
      </c>
      <c r="AR117" s="111" t="s">
        <v>305</v>
      </c>
      <c r="AS117" s="223"/>
      <c r="AT117" s="223"/>
      <c r="AU117" s="223"/>
      <c r="AV117" s="231">
        <v>6.9099999999999995E-2</v>
      </c>
      <c r="AW117" s="230"/>
      <c r="AX117" s="217"/>
      <c r="AY117" s="217"/>
      <c r="AZ117" s="217"/>
      <c r="BA117" s="196"/>
      <c r="BB117" s="196"/>
      <c r="BC117" s="196"/>
      <c r="BD117" s="213"/>
      <c r="BE117" s="218" t="s">
        <v>1095</v>
      </c>
      <c r="BF117" s="196" t="s">
        <v>195</v>
      </c>
      <c r="BG117" s="196"/>
      <c r="BH117" s="196"/>
      <c r="BI117" s="197"/>
      <c r="BJ117" s="196"/>
      <c r="BK117" s="218" t="s">
        <v>1095</v>
      </c>
      <c r="BL117" s="220">
        <v>44049</v>
      </c>
      <c r="BM117" s="218" t="s">
        <v>1486</v>
      </c>
      <c r="BN117" s="218" t="s">
        <v>1491</v>
      </c>
      <c r="BO117" s="218" t="s">
        <v>1492</v>
      </c>
      <c r="BP117" s="218" t="s">
        <v>1716</v>
      </c>
      <c r="BQ117" s="196"/>
    </row>
    <row r="118" spans="1:69" x14ac:dyDescent="0.25">
      <c r="A118" s="196"/>
      <c r="B118" s="196"/>
      <c r="C118" s="196"/>
      <c r="D118" s="111" t="s">
        <v>305</v>
      </c>
      <c r="E118" s="217">
        <v>59704</v>
      </c>
      <c r="F118" s="210" t="s">
        <v>305</v>
      </c>
      <c r="G118" s="196"/>
      <c r="H118" s="196"/>
      <c r="I118" s="111" t="s">
        <v>12</v>
      </c>
      <c r="J118" s="218" t="s">
        <v>977</v>
      </c>
      <c r="K118" s="219">
        <v>44466</v>
      </c>
      <c r="L118" s="196"/>
      <c r="M118" s="245" t="s">
        <v>159</v>
      </c>
      <c r="N118" s="196"/>
      <c r="O118" s="218" t="s">
        <v>1412</v>
      </c>
      <c r="P118" s="220">
        <v>44053</v>
      </c>
      <c r="Q118" s="218" t="s">
        <v>1179</v>
      </c>
      <c r="R118" s="196"/>
      <c r="S118" s="10">
        <v>1763</v>
      </c>
      <c r="T118" s="247"/>
      <c r="U118" s="196" t="s">
        <v>1650</v>
      </c>
      <c r="V118" s="218" t="s">
        <v>1609</v>
      </c>
      <c r="W118" s="218" t="s">
        <v>1298</v>
      </c>
      <c r="X118" s="141">
        <v>2291.4864000000002</v>
      </c>
      <c r="Y118" s="218">
        <v>44.091619999999999</v>
      </c>
      <c r="Z118" s="218">
        <v>-106.84506</v>
      </c>
      <c r="AA118" s="218" t="s">
        <v>599</v>
      </c>
      <c r="AB118" s="196" t="s">
        <v>218</v>
      </c>
      <c r="AC118" s="218" t="s">
        <v>1155</v>
      </c>
      <c r="AD118" s="197" t="s">
        <v>875</v>
      </c>
      <c r="AE118" s="196" t="s">
        <v>1455</v>
      </c>
      <c r="AF118" s="218"/>
      <c r="AG118" s="196"/>
      <c r="AH118" s="196"/>
      <c r="AI118" s="246">
        <v>13.5</v>
      </c>
      <c r="AJ118" s="246" t="s">
        <v>1359</v>
      </c>
      <c r="AK118" s="218" t="s">
        <v>472</v>
      </c>
      <c r="AL118" s="218"/>
      <c r="AM118" s="196"/>
      <c r="AN118" s="196" t="s">
        <v>915</v>
      </c>
      <c r="AO118" s="196" t="s">
        <v>604</v>
      </c>
      <c r="AP118" s="196" t="s">
        <v>1163</v>
      </c>
      <c r="AQ118" s="213" t="s">
        <v>586</v>
      </c>
      <c r="AR118" s="111" t="s">
        <v>305</v>
      </c>
      <c r="AS118" s="223"/>
      <c r="AT118" s="223"/>
      <c r="AU118" s="223"/>
      <c r="AV118" s="231">
        <v>6.0100000000000001E-2</v>
      </c>
      <c r="AW118" s="230"/>
      <c r="AX118" s="217"/>
      <c r="AY118" s="217"/>
      <c r="AZ118" s="217"/>
      <c r="BA118" s="196"/>
      <c r="BB118" s="196"/>
      <c r="BC118" s="196"/>
      <c r="BD118" s="213"/>
      <c r="BE118" s="218" t="s">
        <v>1096</v>
      </c>
      <c r="BF118" s="196" t="s">
        <v>195</v>
      </c>
      <c r="BG118" s="196"/>
      <c r="BH118" s="196"/>
      <c r="BI118" s="197"/>
      <c r="BJ118" s="196"/>
      <c r="BK118" s="218" t="s">
        <v>1096</v>
      </c>
      <c r="BL118" s="220">
        <v>44042</v>
      </c>
      <c r="BM118" s="218" t="s">
        <v>1486</v>
      </c>
      <c r="BN118" s="218" t="s">
        <v>1491</v>
      </c>
      <c r="BO118" s="218" t="s">
        <v>1492</v>
      </c>
      <c r="BP118" s="218" t="s">
        <v>1717</v>
      </c>
      <c r="BQ118" s="196"/>
    </row>
    <row r="119" spans="1:69" x14ac:dyDescent="0.25">
      <c r="A119" s="196"/>
      <c r="B119" s="197"/>
      <c r="C119" s="196"/>
      <c r="D119" s="111" t="s">
        <v>305</v>
      </c>
      <c r="E119" s="217">
        <v>59705</v>
      </c>
      <c r="F119" s="210" t="s">
        <v>305</v>
      </c>
      <c r="G119" s="196"/>
      <c r="H119" s="196"/>
      <c r="I119" s="111" t="s">
        <v>12</v>
      </c>
      <c r="J119" s="218" t="s">
        <v>977</v>
      </c>
      <c r="K119" s="219">
        <v>44466</v>
      </c>
      <c r="L119" s="196"/>
      <c r="M119" s="245" t="s">
        <v>159</v>
      </c>
      <c r="N119" s="196"/>
      <c r="O119" s="218" t="s">
        <v>1417</v>
      </c>
      <c r="P119" s="220">
        <v>44056</v>
      </c>
      <c r="Q119" s="218" t="s">
        <v>1179</v>
      </c>
      <c r="R119" s="196"/>
      <c r="S119" s="10">
        <v>1509</v>
      </c>
      <c r="T119" s="247"/>
      <c r="U119" s="196" t="s">
        <v>1644</v>
      </c>
      <c r="V119" s="218" t="s">
        <v>1610</v>
      </c>
      <c r="W119" s="218" t="s">
        <v>1299</v>
      </c>
      <c r="X119" s="141">
        <v>2438.0952000000002</v>
      </c>
      <c r="Y119" s="218">
        <v>43.841180000000001</v>
      </c>
      <c r="Z119" s="218">
        <v>-106.93975</v>
      </c>
      <c r="AA119" s="218" t="s">
        <v>599</v>
      </c>
      <c r="AB119" s="196" t="s">
        <v>218</v>
      </c>
      <c r="AC119" s="218" t="s">
        <v>1155</v>
      </c>
      <c r="AD119" s="197" t="s">
        <v>875</v>
      </c>
      <c r="AE119" s="196" t="s">
        <v>1455</v>
      </c>
      <c r="AF119" s="218"/>
      <c r="AG119" s="196"/>
      <c r="AH119" s="196"/>
      <c r="AI119" s="246">
        <v>11.5</v>
      </c>
      <c r="AJ119" s="246" t="s">
        <v>1360</v>
      </c>
      <c r="AK119" s="218" t="s">
        <v>467</v>
      </c>
      <c r="AL119" s="218" t="s">
        <v>11</v>
      </c>
      <c r="AM119" s="196"/>
      <c r="AN119" s="196" t="s">
        <v>915</v>
      </c>
      <c r="AO119" s="196" t="s">
        <v>604</v>
      </c>
      <c r="AP119" s="196" t="s">
        <v>1163</v>
      </c>
      <c r="AQ119" s="213" t="s">
        <v>586</v>
      </c>
      <c r="AR119" s="111" t="s">
        <v>305</v>
      </c>
      <c r="AS119" s="223"/>
      <c r="AT119" s="223"/>
      <c r="AU119" s="223"/>
      <c r="AV119" s="231">
        <v>6.6900000000000001E-2</v>
      </c>
      <c r="AW119" s="230"/>
      <c r="AX119" s="217"/>
      <c r="AY119" s="217"/>
      <c r="AZ119" s="217"/>
      <c r="BA119" s="196"/>
      <c r="BB119" s="196"/>
      <c r="BC119" s="196"/>
      <c r="BD119" s="213"/>
      <c r="BE119" s="218" t="s">
        <v>1097</v>
      </c>
      <c r="BF119" s="196" t="s">
        <v>195</v>
      </c>
      <c r="BG119" s="196"/>
      <c r="BH119" s="196"/>
      <c r="BI119" s="197"/>
      <c r="BJ119" s="196"/>
      <c r="BK119" s="218" t="s">
        <v>1097</v>
      </c>
      <c r="BL119" s="220">
        <v>44056</v>
      </c>
      <c r="BM119" s="218" t="s">
        <v>1486</v>
      </c>
      <c r="BN119" s="218" t="s">
        <v>1491</v>
      </c>
      <c r="BO119" s="218" t="s">
        <v>1492</v>
      </c>
      <c r="BP119" s="218" t="s">
        <v>1718</v>
      </c>
      <c r="BQ119" s="196"/>
    </row>
    <row r="120" spans="1:69" x14ac:dyDescent="0.25">
      <c r="A120" s="196"/>
      <c r="B120" s="196"/>
      <c r="C120" s="196"/>
      <c r="D120" s="111" t="s">
        <v>305</v>
      </c>
      <c r="E120" s="217">
        <v>59706</v>
      </c>
      <c r="F120" s="210" t="s">
        <v>305</v>
      </c>
      <c r="G120" s="196"/>
      <c r="H120" s="196"/>
      <c r="I120" s="111" t="s">
        <v>12</v>
      </c>
      <c r="J120" s="218" t="s">
        <v>977</v>
      </c>
      <c r="K120" s="219">
        <v>44466</v>
      </c>
      <c r="L120" s="196"/>
      <c r="M120" s="245" t="s">
        <v>159</v>
      </c>
      <c r="N120" s="196"/>
      <c r="O120" s="218" t="s">
        <v>1412</v>
      </c>
      <c r="P120" s="220">
        <v>44060</v>
      </c>
      <c r="Q120" s="218" t="s">
        <v>1179</v>
      </c>
      <c r="R120" s="196"/>
      <c r="S120" s="10">
        <v>312</v>
      </c>
      <c r="T120" s="247"/>
      <c r="U120" s="196"/>
      <c r="V120" s="218" t="s">
        <v>1611</v>
      </c>
      <c r="W120" s="218" t="s">
        <v>1300</v>
      </c>
      <c r="X120" s="141">
        <v>1659.0264000000002</v>
      </c>
      <c r="Y120" s="218">
        <v>44.328679999999999</v>
      </c>
      <c r="Z120" s="218">
        <v>-106.81099</v>
      </c>
      <c r="AA120" s="218" t="s">
        <v>599</v>
      </c>
      <c r="AB120" s="196" t="s">
        <v>218</v>
      </c>
      <c r="AC120" s="218" t="s">
        <v>1155</v>
      </c>
      <c r="AD120" s="197" t="s">
        <v>875</v>
      </c>
      <c r="AE120" s="196" t="s">
        <v>1455</v>
      </c>
      <c r="AF120" s="218"/>
      <c r="AG120" s="196"/>
      <c r="AH120" s="196"/>
      <c r="AI120" s="246">
        <v>10.5</v>
      </c>
      <c r="AJ120" s="246" t="s">
        <v>1361</v>
      </c>
      <c r="AK120" s="218" t="s">
        <v>466</v>
      </c>
      <c r="AL120" s="218" t="s">
        <v>924</v>
      </c>
      <c r="AM120" s="196"/>
      <c r="AN120" s="196" t="s">
        <v>911</v>
      </c>
      <c r="AO120" s="196" t="s">
        <v>604</v>
      </c>
      <c r="AP120" s="196" t="s">
        <v>1163</v>
      </c>
      <c r="AQ120" s="213" t="s">
        <v>586</v>
      </c>
      <c r="AR120" s="111" t="s">
        <v>305</v>
      </c>
      <c r="AS120" s="223"/>
      <c r="AT120" s="223"/>
      <c r="AU120" s="223"/>
      <c r="AV120" s="231">
        <v>6.1499999999999999E-2</v>
      </c>
      <c r="AW120" s="230"/>
      <c r="AX120" s="217"/>
      <c r="AY120" s="217"/>
      <c r="AZ120" s="217"/>
      <c r="BA120" s="196"/>
      <c r="BB120" s="196"/>
      <c r="BC120" s="196"/>
      <c r="BD120" s="213"/>
      <c r="BE120" s="218" t="s">
        <v>1098</v>
      </c>
      <c r="BF120" s="196" t="s">
        <v>195</v>
      </c>
      <c r="BG120" s="196"/>
      <c r="BH120" s="196"/>
      <c r="BI120" s="197"/>
      <c r="BJ120" s="196"/>
      <c r="BK120" s="218" t="s">
        <v>1098</v>
      </c>
      <c r="BL120" s="220">
        <v>44060</v>
      </c>
      <c r="BM120" s="218" t="s">
        <v>1486</v>
      </c>
      <c r="BN120" s="218" t="s">
        <v>1491</v>
      </c>
      <c r="BO120" s="218" t="s">
        <v>1492</v>
      </c>
      <c r="BP120" s="218" t="s">
        <v>1719</v>
      </c>
      <c r="BQ120" s="196"/>
    </row>
    <row r="121" spans="1:69" x14ac:dyDescent="0.25">
      <c r="A121" s="196"/>
      <c r="B121" s="197"/>
      <c r="C121" s="196"/>
      <c r="D121" s="111" t="s">
        <v>305</v>
      </c>
      <c r="E121" s="217">
        <v>59707</v>
      </c>
      <c r="F121" s="210" t="s">
        <v>305</v>
      </c>
      <c r="G121" s="196"/>
      <c r="H121" s="196"/>
      <c r="I121" s="111" t="s">
        <v>12</v>
      </c>
      <c r="J121" s="218" t="s">
        <v>977</v>
      </c>
      <c r="K121" s="219">
        <v>44466</v>
      </c>
      <c r="L121" s="196"/>
      <c r="M121" s="245" t="s">
        <v>159</v>
      </c>
      <c r="N121" s="196"/>
      <c r="O121" s="218" t="s">
        <v>1412</v>
      </c>
      <c r="P121" s="220">
        <v>44060</v>
      </c>
      <c r="Q121" s="218" t="s">
        <v>1179</v>
      </c>
      <c r="R121" s="196"/>
      <c r="S121" s="10">
        <v>985</v>
      </c>
      <c r="T121" s="247"/>
      <c r="U121" s="196" t="s">
        <v>1644</v>
      </c>
      <c r="V121" s="218" t="s">
        <v>1612</v>
      </c>
      <c r="W121" s="218" t="s">
        <v>1301</v>
      </c>
      <c r="X121" s="141">
        <v>2268.0168000000003</v>
      </c>
      <c r="Y121" s="218">
        <v>43.860970000000002</v>
      </c>
      <c r="Z121" s="218">
        <v>-106.96447999999999</v>
      </c>
      <c r="AA121" s="218" t="s">
        <v>599</v>
      </c>
      <c r="AB121" s="196" t="s">
        <v>218</v>
      </c>
      <c r="AC121" s="218" t="s">
        <v>1155</v>
      </c>
      <c r="AD121" s="197" t="s">
        <v>875</v>
      </c>
      <c r="AE121" s="196" t="s">
        <v>1455</v>
      </c>
      <c r="AF121" s="218"/>
      <c r="AG121" s="196"/>
      <c r="AH121" s="196"/>
      <c r="AI121" s="246">
        <v>11.5</v>
      </c>
      <c r="AJ121" s="246" t="s">
        <v>1362</v>
      </c>
      <c r="AK121" s="218" t="s">
        <v>469</v>
      </c>
      <c r="AL121" s="218" t="s">
        <v>923</v>
      </c>
      <c r="AM121" s="196"/>
      <c r="AN121" s="196" t="s">
        <v>906</v>
      </c>
      <c r="AO121" s="196" t="s">
        <v>604</v>
      </c>
      <c r="AP121" s="196" t="s">
        <v>1163</v>
      </c>
      <c r="AQ121" s="213" t="s">
        <v>586</v>
      </c>
      <c r="AR121" s="111" t="s">
        <v>305</v>
      </c>
      <c r="AS121" s="223"/>
      <c r="AT121" s="223"/>
      <c r="AU121" s="223"/>
      <c r="AV121" s="231">
        <v>7.1300000000000002E-2</v>
      </c>
      <c r="AW121" s="230"/>
      <c r="AX121" s="217"/>
      <c r="AY121" s="217"/>
      <c r="AZ121" s="217"/>
      <c r="BA121" s="196"/>
      <c r="BB121" s="196"/>
      <c r="BC121" s="196"/>
      <c r="BD121" s="213"/>
      <c r="BE121" s="218" t="s">
        <v>1099</v>
      </c>
      <c r="BF121" s="196" t="s">
        <v>195</v>
      </c>
      <c r="BG121" s="196"/>
      <c r="BH121" s="196"/>
      <c r="BI121" s="197"/>
      <c r="BJ121" s="196"/>
      <c r="BK121" s="218" t="s">
        <v>1099</v>
      </c>
      <c r="BL121" s="220">
        <v>44039</v>
      </c>
      <c r="BM121" s="218" t="s">
        <v>1486</v>
      </c>
      <c r="BN121" s="218" t="s">
        <v>1491</v>
      </c>
      <c r="BO121" s="218" t="s">
        <v>1492</v>
      </c>
      <c r="BP121" s="218" t="s">
        <v>1720</v>
      </c>
      <c r="BQ121" s="196"/>
    </row>
    <row r="122" spans="1:69" x14ac:dyDescent="0.25">
      <c r="A122" s="196"/>
      <c r="B122" s="196"/>
      <c r="C122" s="196"/>
      <c r="D122" s="111" t="s">
        <v>305</v>
      </c>
      <c r="E122" s="217">
        <v>59708</v>
      </c>
      <c r="F122" s="210" t="s">
        <v>305</v>
      </c>
      <c r="G122" s="196"/>
      <c r="H122" s="196"/>
      <c r="I122" s="111" t="s">
        <v>12</v>
      </c>
      <c r="J122" s="218" t="s">
        <v>886</v>
      </c>
      <c r="K122" s="219">
        <v>44466</v>
      </c>
      <c r="L122" s="196"/>
      <c r="M122" s="245" t="s">
        <v>159</v>
      </c>
      <c r="N122" s="196"/>
      <c r="O122" s="218" t="s">
        <v>1416</v>
      </c>
      <c r="P122" s="220">
        <v>44061</v>
      </c>
      <c r="Q122" s="218" t="s">
        <v>1180</v>
      </c>
      <c r="R122" s="196"/>
      <c r="S122" s="10">
        <v>813</v>
      </c>
      <c r="T122" s="247"/>
      <c r="U122" s="196" t="s">
        <v>1644</v>
      </c>
      <c r="V122" s="218" t="s">
        <v>1613</v>
      </c>
      <c r="W122" s="218" t="s">
        <v>1302</v>
      </c>
      <c r="X122" s="141">
        <v>1201.2168000000001</v>
      </c>
      <c r="Y122" s="218">
        <v>44.53913</v>
      </c>
      <c r="Z122" s="218">
        <v>-105.40682</v>
      </c>
      <c r="AA122" s="218" t="s">
        <v>599</v>
      </c>
      <c r="AB122" s="196" t="s">
        <v>218</v>
      </c>
      <c r="AC122" s="218" t="s">
        <v>1155</v>
      </c>
      <c r="AD122" s="197" t="s">
        <v>875</v>
      </c>
      <c r="AE122" s="196" t="s">
        <v>1455</v>
      </c>
      <c r="AF122" s="218"/>
      <c r="AG122" s="196"/>
      <c r="AH122" s="196"/>
      <c r="AI122" s="246">
        <v>2</v>
      </c>
      <c r="AJ122" s="246" t="s">
        <v>1357</v>
      </c>
      <c r="AK122" s="218" t="s">
        <v>472</v>
      </c>
      <c r="AL122" s="218" t="s">
        <v>929</v>
      </c>
      <c r="AM122" s="196"/>
      <c r="AN122" s="196" t="s">
        <v>911</v>
      </c>
      <c r="AO122" s="196" t="s">
        <v>726</v>
      </c>
      <c r="AP122" s="196" t="s">
        <v>1164</v>
      </c>
      <c r="AQ122" s="213" t="s">
        <v>586</v>
      </c>
      <c r="AR122" s="111" t="s">
        <v>305</v>
      </c>
      <c r="AS122" s="223"/>
      <c r="AT122" s="223"/>
      <c r="AU122" s="223"/>
      <c r="AV122" s="231">
        <v>5.9200000000000003E-2</v>
      </c>
      <c r="AW122" s="230"/>
      <c r="AX122" s="217"/>
      <c r="AY122" s="217"/>
      <c r="AZ122" s="217"/>
      <c r="BA122" s="196"/>
      <c r="BB122" s="196"/>
      <c r="BC122" s="196"/>
      <c r="BD122" s="213"/>
      <c r="BE122" s="218" t="s">
        <v>1100</v>
      </c>
      <c r="BF122" s="196" t="s">
        <v>195</v>
      </c>
      <c r="BG122" s="196"/>
      <c r="BH122" s="196"/>
      <c r="BI122" s="197"/>
      <c r="BJ122" s="196"/>
      <c r="BK122" s="218" t="s">
        <v>1100</v>
      </c>
      <c r="BL122" s="220">
        <v>44061</v>
      </c>
      <c r="BM122" s="218" t="s">
        <v>1486</v>
      </c>
      <c r="BN122" s="218" t="s">
        <v>1491</v>
      </c>
      <c r="BO122" s="218" t="s">
        <v>1492</v>
      </c>
      <c r="BP122" s="218" t="s">
        <v>1721</v>
      </c>
      <c r="BQ122" s="196"/>
    </row>
    <row r="123" spans="1:69" x14ac:dyDescent="0.25">
      <c r="A123" s="196"/>
      <c r="B123" s="196"/>
      <c r="C123" s="196"/>
      <c r="D123" s="111" t="s">
        <v>305</v>
      </c>
      <c r="E123" s="217">
        <v>59709</v>
      </c>
      <c r="F123" s="210" t="s">
        <v>305</v>
      </c>
      <c r="G123" s="196"/>
      <c r="H123" s="196"/>
      <c r="I123" s="111" t="s">
        <v>12</v>
      </c>
      <c r="J123" s="218" t="s">
        <v>896</v>
      </c>
      <c r="K123" s="219">
        <v>44466</v>
      </c>
      <c r="L123" s="196"/>
      <c r="M123" s="245" t="s">
        <v>159</v>
      </c>
      <c r="N123" s="196"/>
      <c r="O123" s="218" t="s">
        <v>1418</v>
      </c>
      <c r="P123" s="220">
        <v>44062</v>
      </c>
      <c r="Q123" s="218" t="s">
        <v>1179</v>
      </c>
      <c r="R123" s="196"/>
      <c r="S123" s="10">
        <v>1727</v>
      </c>
      <c r="T123" s="247"/>
      <c r="U123" s="196" t="s">
        <v>1650</v>
      </c>
      <c r="V123" s="218" t="s">
        <v>1614</v>
      </c>
      <c r="W123" s="218" t="s">
        <v>1303</v>
      </c>
      <c r="X123" s="141">
        <v>2291.4864000000002</v>
      </c>
      <c r="Y123" s="218">
        <v>44.091619999999999</v>
      </c>
      <c r="Z123" s="218">
        <v>-106.84506</v>
      </c>
      <c r="AA123" s="218" t="s">
        <v>599</v>
      </c>
      <c r="AB123" s="196" t="s">
        <v>218</v>
      </c>
      <c r="AC123" s="218" t="s">
        <v>1155</v>
      </c>
      <c r="AD123" s="197" t="s">
        <v>875</v>
      </c>
      <c r="AE123" s="196" t="s">
        <v>1455</v>
      </c>
      <c r="AF123" s="218"/>
      <c r="AG123" s="196"/>
      <c r="AH123" s="196"/>
      <c r="AI123" s="246">
        <v>13.5</v>
      </c>
      <c r="AJ123" s="246" t="s">
        <v>1359</v>
      </c>
      <c r="AK123" s="218" t="s">
        <v>472</v>
      </c>
      <c r="AL123" s="218" t="s">
        <v>929</v>
      </c>
      <c r="AM123" s="196"/>
      <c r="AN123" s="196" t="s">
        <v>915</v>
      </c>
      <c r="AO123" s="196" t="s">
        <v>604</v>
      </c>
      <c r="AP123" s="196" t="s">
        <v>1163</v>
      </c>
      <c r="AQ123" s="213" t="s">
        <v>586</v>
      </c>
      <c r="AR123" s="111" t="s">
        <v>305</v>
      </c>
      <c r="AS123" s="223"/>
      <c r="AT123" s="223"/>
      <c r="AU123" s="223"/>
      <c r="AV123" s="231">
        <v>1.24E-2</v>
      </c>
      <c r="AW123" s="230"/>
      <c r="AX123" s="217"/>
      <c r="AY123" s="217"/>
      <c r="AZ123" s="217"/>
      <c r="BA123" s="196"/>
      <c r="BB123" s="196"/>
      <c r="BC123" s="196"/>
      <c r="BD123" s="213"/>
      <c r="BE123" s="218" t="s">
        <v>1101</v>
      </c>
      <c r="BF123" s="196" t="s">
        <v>195</v>
      </c>
      <c r="BG123" s="196"/>
      <c r="BH123" s="196"/>
      <c r="BI123" s="197"/>
      <c r="BJ123" s="196"/>
      <c r="BK123" s="218" t="s">
        <v>1101</v>
      </c>
      <c r="BL123" s="220">
        <v>44054</v>
      </c>
      <c r="BM123" s="218" t="s">
        <v>1486</v>
      </c>
      <c r="BN123" s="218" t="s">
        <v>1491</v>
      </c>
      <c r="BO123" s="218" t="s">
        <v>1492</v>
      </c>
      <c r="BP123" s="218" t="s">
        <v>1722</v>
      </c>
      <c r="BQ123" s="196"/>
    </row>
    <row r="124" spans="1:69" x14ac:dyDescent="0.25">
      <c r="A124" s="196"/>
      <c r="B124" s="196"/>
      <c r="C124" s="196"/>
      <c r="D124" s="111" t="s">
        <v>305</v>
      </c>
      <c r="E124" s="217">
        <v>59710</v>
      </c>
      <c r="F124" s="210" t="s">
        <v>305</v>
      </c>
      <c r="G124" s="196"/>
      <c r="H124" s="196"/>
      <c r="I124" s="111" t="s">
        <v>12</v>
      </c>
      <c r="J124" s="218" t="s">
        <v>977</v>
      </c>
      <c r="K124" s="219">
        <v>44466</v>
      </c>
      <c r="L124" s="196"/>
      <c r="M124" s="245" t="s">
        <v>159</v>
      </c>
      <c r="N124" s="196"/>
      <c r="O124" s="218" t="s">
        <v>1412</v>
      </c>
      <c r="P124" s="220">
        <v>44067</v>
      </c>
      <c r="Q124" s="218" t="s">
        <v>1183</v>
      </c>
      <c r="R124" s="196"/>
      <c r="S124" s="10">
        <v>731</v>
      </c>
      <c r="T124" s="247"/>
      <c r="U124" s="196" t="s">
        <v>598</v>
      </c>
      <c r="V124" s="218" t="s">
        <v>1615</v>
      </c>
      <c r="W124" s="218" t="s">
        <v>1304</v>
      </c>
      <c r="X124" s="141">
        <v>2208.2760000000003</v>
      </c>
      <c r="Y124" s="218">
        <v>44.803660000000001</v>
      </c>
      <c r="Z124" s="218">
        <v>-107.36359</v>
      </c>
      <c r="AA124" s="218" t="s">
        <v>599</v>
      </c>
      <c r="AB124" s="196" t="s">
        <v>218</v>
      </c>
      <c r="AC124" s="218" t="s">
        <v>1155</v>
      </c>
      <c r="AD124" s="197" t="s">
        <v>875</v>
      </c>
      <c r="AE124" s="196" t="s">
        <v>1455</v>
      </c>
      <c r="AF124" s="218"/>
      <c r="AG124" s="196"/>
      <c r="AH124" s="196"/>
      <c r="AI124" s="246">
        <v>19</v>
      </c>
      <c r="AJ124" s="246">
        <v>19</v>
      </c>
      <c r="AK124" s="218" t="s">
        <v>470</v>
      </c>
      <c r="AL124" s="218" t="s">
        <v>928</v>
      </c>
      <c r="AM124" s="196"/>
      <c r="AN124" s="196" t="s">
        <v>909</v>
      </c>
      <c r="AO124" s="196" t="s">
        <v>604</v>
      </c>
      <c r="AP124" s="196" t="s">
        <v>1163</v>
      </c>
      <c r="AQ124" s="213" t="s">
        <v>586</v>
      </c>
      <c r="AR124" s="111" t="s">
        <v>305</v>
      </c>
      <c r="AS124" s="223"/>
      <c r="AT124" s="223"/>
      <c r="AU124" s="223"/>
      <c r="AV124" s="231">
        <v>6.9099999999999995E-2</v>
      </c>
      <c r="AW124" s="230"/>
      <c r="AX124" s="217"/>
      <c r="AY124" s="217"/>
      <c r="AZ124" s="217"/>
      <c r="BA124" s="196"/>
      <c r="BB124" s="196"/>
      <c r="BC124" s="196"/>
      <c r="BD124" s="213"/>
      <c r="BE124" s="218" t="s">
        <v>1102</v>
      </c>
      <c r="BF124" s="196" t="s">
        <v>195</v>
      </c>
      <c r="BG124" s="196"/>
      <c r="BH124" s="196"/>
      <c r="BI124" s="197"/>
      <c r="BJ124" s="196"/>
      <c r="BK124" s="218" t="s">
        <v>1102</v>
      </c>
      <c r="BL124" s="220">
        <v>44068</v>
      </c>
      <c r="BM124" s="218" t="s">
        <v>1486</v>
      </c>
      <c r="BN124" s="218" t="s">
        <v>1491</v>
      </c>
      <c r="BO124" s="218" t="s">
        <v>1492</v>
      </c>
      <c r="BP124" s="218" t="s">
        <v>1723</v>
      </c>
      <c r="BQ124" s="196"/>
    </row>
    <row r="125" spans="1:69" x14ac:dyDescent="0.25">
      <c r="A125" s="196"/>
      <c r="B125" s="197"/>
      <c r="C125" s="196"/>
      <c r="D125" s="111" t="s">
        <v>305</v>
      </c>
      <c r="E125" s="217">
        <v>59711</v>
      </c>
      <c r="F125" s="210" t="s">
        <v>305</v>
      </c>
      <c r="G125" s="196"/>
      <c r="H125" s="196"/>
      <c r="I125" s="111" t="s">
        <v>12</v>
      </c>
      <c r="J125" s="218" t="s">
        <v>896</v>
      </c>
      <c r="K125" s="219">
        <v>44466</v>
      </c>
      <c r="L125" s="196"/>
      <c r="M125" s="245" t="s">
        <v>159</v>
      </c>
      <c r="N125" s="196"/>
      <c r="O125" s="218" t="s">
        <v>1418</v>
      </c>
      <c r="P125" s="220">
        <v>44070</v>
      </c>
      <c r="Q125" s="218" t="s">
        <v>1179</v>
      </c>
      <c r="R125" s="196"/>
      <c r="S125" s="10">
        <v>2556</v>
      </c>
      <c r="T125" s="247"/>
      <c r="U125" s="196" t="s">
        <v>598</v>
      </c>
      <c r="V125" s="218" t="s">
        <v>1616</v>
      </c>
      <c r="W125" s="218" t="s">
        <v>1305</v>
      </c>
      <c r="X125" s="141">
        <v>2232.9648000000002</v>
      </c>
      <c r="Y125" s="218">
        <v>44.284910000000004</v>
      </c>
      <c r="Z125" s="218">
        <v>-106.92558</v>
      </c>
      <c r="AA125" s="218" t="s">
        <v>599</v>
      </c>
      <c r="AB125" s="196" t="s">
        <v>218</v>
      </c>
      <c r="AC125" s="218" t="s">
        <v>1155</v>
      </c>
      <c r="AD125" s="197" t="s">
        <v>875</v>
      </c>
      <c r="AE125" s="196" t="s">
        <v>1455</v>
      </c>
      <c r="AF125" s="218"/>
      <c r="AG125" s="196"/>
      <c r="AH125" s="196"/>
      <c r="AI125" s="246">
        <v>21</v>
      </c>
      <c r="AJ125" s="246">
        <v>21</v>
      </c>
      <c r="AK125" s="218" t="s">
        <v>471</v>
      </c>
      <c r="AL125" s="218" t="s">
        <v>922</v>
      </c>
      <c r="AM125" s="196"/>
      <c r="AN125" s="196" t="s">
        <v>911</v>
      </c>
      <c r="AO125" s="196" t="s">
        <v>604</v>
      </c>
      <c r="AP125" s="196" t="s">
        <v>1163</v>
      </c>
      <c r="AQ125" s="213" t="s">
        <v>586</v>
      </c>
      <c r="AR125" s="111" t="s">
        <v>305</v>
      </c>
      <c r="AS125" s="223"/>
      <c r="AT125" s="223"/>
      <c r="AU125" s="223"/>
      <c r="AV125" s="231">
        <v>1.11E-2</v>
      </c>
      <c r="AW125" s="230"/>
      <c r="AX125" s="217"/>
      <c r="AY125" s="217"/>
      <c r="AZ125" s="217"/>
      <c r="BA125" s="196"/>
      <c r="BB125" s="196"/>
      <c r="BC125" s="196"/>
      <c r="BD125" s="213"/>
      <c r="BE125" s="218" t="s">
        <v>1103</v>
      </c>
      <c r="BF125" s="196" t="s">
        <v>195</v>
      </c>
      <c r="BG125" s="196"/>
      <c r="BH125" s="196"/>
      <c r="BI125" s="197"/>
      <c r="BJ125" s="196"/>
      <c r="BK125" s="218" t="s">
        <v>1103</v>
      </c>
      <c r="BL125" s="220">
        <v>44070</v>
      </c>
      <c r="BM125" s="218" t="s">
        <v>1486</v>
      </c>
      <c r="BN125" s="218" t="s">
        <v>1491</v>
      </c>
      <c r="BO125" s="218" t="s">
        <v>1492</v>
      </c>
      <c r="BP125" s="218" t="s">
        <v>1724</v>
      </c>
      <c r="BQ125" s="196"/>
    </row>
    <row r="126" spans="1:69" x14ac:dyDescent="0.25">
      <c r="A126" s="196"/>
      <c r="B126" s="196"/>
      <c r="C126" s="196"/>
      <c r="D126" s="111" t="s">
        <v>305</v>
      </c>
      <c r="E126" s="217">
        <v>59712</v>
      </c>
      <c r="F126" s="210" t="s">
        <v>305</v>
      </c>
      <c r="G126" s="196"/>
      <c r="H126" s="196"/>
      <c r="I126" s="111" t="s">
        <v>12</v>
      </c>
      <c r="J126" s="218" t="s">
        <v>896</v>
      </c>
      <c r="K126" s="219">
        <v>44466</v>
      </c>
      <c r="L126" s="196"/>
      <c r="M126" s="245" t="s">
        <v>159</v>
      </c>
      <c r="N126" s="196"/>
      <c r="O126" s="218" t="s">
        <v>1418</v>
      </c>
      <c r="P126" s="220">
        <v>44075</v>
      </c>
      <c r="Q126" s="218" t="s">
        <v>1183</v>
      </c>
      <c r="R126" s="196"/>
      <c r="S126" s="10">
        <v>1753</v>
      </c>
      <c r="T126" s="247"/>
      <c r="U126" s="196" t="s">
        <v>598</v>
      </c>
      <c r="V126" s="218" t="s">
        <v>1617</v>
      </c>
      <c r="W126" s="218" t="s">
        <v>1306</v>
      </c>
      <c r="X126" s="141">
        <v>2208.2760000000003</v>
      </c>
      <c r="Y126" s="218">
        <v>44.803669999999997</v>
      </c>
      <c r="Z126" s="218">
        <v>-107.36360000000001</v>
      </c>
      <c r="AA126" s="218" t="s">
        <v>599</v>
      </c>
      <c r="AB126" s="196" t="s">
        <v>218</v>
      </c>
      <c r="AC126" s="218" t="s">
        <v>1155</v>
      </c>
      <c r="AD126" s="197" t="s">
        <v>875</v>
      </c>
      <c r="AE126" s="196" t="s">
        <v>1455</v>
      </c>
      <c r="AF126" s="218"/>
      <c r="AG126" s="196"/>
      <c r="AH126" s="196"/>
      <c r="AI126" s="246">
        <v>19</v>
      </c>
      <c r="AJ126" s="246">
        <v>19</v>
      </c>
      <c r="AK126" s="218" t="s">
        <v>470</v>
      </c>
      <c r="AL126" s="218" t="s">
        <v>928</v>
      </c>
      <c r="AM126" s="196"/>
      <c r="AN126" s="196" t="s">
        <v>909</v>
      </c>
      <c r="AO126" s="196" t="s">
        <v>604</v>
      </c>
      <c r="AP126" s="196" t="s">
        <v>1163</v>
      </c>
      <c r="AQ126" s="213" t="s">
        <v>586</v>
      </c>
      <c r="AR126" s="111" t="s">
        <v>305</v>
      </c>
      <c r="AS126" s="223"/>
      <c r="AT126" s="223"/>
      <c r="AU126" s="223"/>
      <c r="AV126" s="231">
        <v>1.24E-2</v>
      </c>
      <c r="AW126" s="230"/>
      <c r="AX126" s="217"/>
      <c r="AY126" s="217"/>
      <c r="AZ126" s="217"/>
      <c r="BA126" s="196"/>
      <c r="BB126" s="196"/>
      <c r="BC126" s="196"/>
      <c r="BD126" s="213"/>
      <c r="BE126" s="218" t="s">
        <v>1104</v>
      </c>
      <c r="BF126" s="196" t="s">
        <v>195</v>
      </c>
      <c r="BG126" s="196"/>
      <c r="BH126" s="196"/>
      <c r="BI126" s="197"/>
      <c r="BJ126" s="196"/>
      <c r="BK126" s="218" t="s">
        <v>1104</v>
      </c>
      <c r="BL126" s="220">
        <v>44068</v>
      </c>
      <c r="BM126" s="218" t="s">
        <v>1486</v>
      </c>
      <c r="BN126" s="218" t="s">
        <v>1491</v>
      </c>
      <c r="BO126" s="218" t="s">
        <v>1492</v>
      </c>
      <c r="BP126" s="218" t="s">
        <v>1723</v>
      </c>
      <c r="BQ126" s="196"/>
    </row>
    <row r="127" spans="1:69" x14ac:dyDescent="0.25">
      <c r="A127" s="196"/>
      <c r="B127" s="197"/>
      <c r="C127" s="196"/>
      <c r="D127" s="111" t="s">
        <v>305</v>
      </c>
      <c r="E127" s="217">
        <v>59713</v>
      </c>
      <c r="F127" s="210" t="s">
        <v>305</v>
      </c>
      <c r="G127" s="196"/>
      <c r="H127" s="196"/>
      <c r="I127" s="111" t="s">
        <v>12</v>
      </c>
      <c r="J127" s="218" t="s">
        <v>891</v>
      </c>
      <c r="K127" s="219">
        <v>44466</v>
      </c>
      <c r="L127" s="196"/>
      <c r="M127" s="245" t="s">
        <v>159</v>
      </c>
      <c r="N127" s="196"/>
      <c r="O127" s="218" t="s">
        <v>1419</v>
      </c>
      <c r="P127" s="220">
        <v>44046</v>
      </c>
      <c r="Q127" s="218" t="s">
        <v>1184</v>
      </c>
      <c r="R127" s="196"/>
      <c r="S127" s="10">
        <v>185</v>
      </c>
      <c r="T127" s="247"/>
      <c r="U127" s="196" t="s">
        <v>1644</v>
      </c>
      <c r="V127" s="218" t="s">
        <v>1618</v>
      </c>
      <c r="W127" s="218" t="s">
        <v>1307</v>
      </c>
      <c r="X127" s="141">
        <v>2233.8792000000003</v>
      </c>
      <c r="Y127" s="218">
        <v>41.86307</v>
      </c>
      <c r="Z127" s="218">
        <v>-110.54873000000001</v>
      </c>
      <c r="AA127" s="218" t="s">
        <v>1443</v>
      </c>
      <c r="AB127" s="196" t="s">
        <v>218</v>
      </c>
      <c r="AC127" s="218" t="s">
        <v>1156</v>
      </c>
      <c r="AD127" s="197" t="s">
        <v>875</v>
      </c>
      <c r="AE127" s="196" t="s">
        <v>1456</v>
      </c>
      <c r="AF127" s="218"/>
      <c r="AG127" s="196"/>
      <c r="AH127" s="196"/>
      <c r="AI127" s="246">
        <v>0</v>
      </c>
      <c r="AJ127" s="246">
        <v>0</v>
      </c>
      <c r="AK127" s="218"/>
      <c r="AL127" s="218"/>
      <c r="AM127" s="196"/>
      <c r="AN127" s="196" t="s">
        <v>452</v>
      </c>
      <c r="AO127" s="196" t="s">
        <v>780</v>
      </c>
      <c r="AP127" s="196" t="s">
        <v>1165</v>
      </c>
      <c r="AQ127" s="213" t="s">
        <v>586</v>
      </c>
      <c r="AR127" s="111" t="s">
        <v>305</v>
      </c>
      <c r="AS127" s="223"/>
      <c r="AT127" s="223"/>
      <c r="AU127" s="223"/>
      <c r="AV127" s="231">
        <v>0.14199999999999999</v>
      </c>
      <c r="AW127" s="230"/>
      <c r="AX127" s="217"/>
      <c r="AY127" s="217"/>
      <c r="AZ127" s="217"/>
      <c r="BA127" s="196"/>
      <c r="BB127" s="196"/>
      <c r="BC127" s="196"/>
      <c r="BD127" s="213"/>
      <c r="BE127" s="218" t="s">
        <v>1105</v>
      </c>
      <c r="BF127" s="196" t="s">
        <v>195</v>
      </c>
      <c r="BG127" s="196"/>
      <c r="BH127" s="196"/>
      <c r="BI127" s="197"/>
      <c r="BJ127" s="196"/>
      <c r="BK127" s="218" t="s">
        <v>1105</v>
      </c>
      <c r="BL127" s="220">
        <v>44047</v>
      </c>
      <c r="BM127" s="218" t="s">
        <v>1486</v>
      </c>
      <c r="BN127" s="218" t="s">
        <v>1487</v>
      </c>
      <c r="BO127" s="218" t="s">
        <v>1493</v>
      </c>
      <c r="BP127" s="218" t="s">
        <v>1725</v>
      </c>
      <c r="BQ127" s="196"/>
    </row>
    <row r="128" spans="1:69" x14ac:dyDescent="0.25">
      <c r="A128" s="196"/>
      <c r="B128" s="196"/>
      <c r="C128" s="196"/>
      <c r="D128" s="111" t="s">
        <v>305</v>
      </c>
      <c r="E128" s="217">
        <v>59714</v>
      </c>
      <c r="F128" s="210" t="s">
        <v>305</v>
      </c>
      <c r="G128" s="196"/>
      <c r="H128" s="196"/>
      <c r="I128" s="111" t="s">
        <v>12</v>
      </c>
      <c r="J128" s="218" t="s">
        <v>980</v>
      </c>
      <c r="K128" s="219">
        <v>44466</v>
      </c>
      <c r="L128" s="196"/>
      <c r="M128" s="245" t="s">
        <v>159</v>
      </c>
      <c r="N128" s="196"/>
      <c r="O128" s="218" t="s">
        <v>1420</v>
      </c>
      <c r="P128" s="220">
        <v>44048</v>
      </c>
      <c r="Q128" s="218" t="s">
        <v>1184</v>
      </c>
      <c r="R128" s="196"/>
      <c r="S128" s="10">
        <v>191</v>
      </c>
      <c r="T128" s="247"/>
      <c r="U128" s="196" t="s">
        <v>1644</v>
      </c>
      <c r="V128" s="218" t="s">
        <v>1619</v>
      </c>
      <c r="W128" s="218" t="s">
        <v>1308</v>
      </c>
      <c r="X128" s="141">
        <v>2136.0383999999999</v>
      </c>
      <c r="Y128" s="218">
        <v>42.166969999999999</v>
      </c>
      <c r="Z128" s="218">
        <v>-110.83566</v>
      </c>
      <c r="AA128" s="218" t="s">
        <v>1443</v>
      </c>
      <c r="AB128" s="196" t="s">
        <v>218</v>
      </c>
      <c r="AC128" s="218" t="s">
        <v>1156</v>
      </c>
      <c r="AD128" s="197" t="s">
        <v>875</v>
      </c>
      <c r="AE128" s="196" t="s">
        <v>1456</v>
      </c>
      <c r="AF128" s="218"/>
      <c r="AG128" s="196"/>
      <c r="AH128" s="196"/>
      <c r="AI128" s="246">
        <v>30</v>
      </c>
      <c r="AJ128" s="246">
        <v>30</v>
      </c>
      <c r="AK128" s="218" t="s">
        <v>473</v>
      </c>
      <c r="AL128" s="218" t="s">
        <v>925</v>
      </c>
      <c r="AM128" s="196"/>
      <c r="AN128" s="196" t="s">
        <v>452</v>
      </c>
      <c r="AO128" s="196" t="s">
        <v>780</v>
      </c>
      <c r="AP128" s="196" t="s">
        <v>1165</v>
      </c>
      <c r="AQ128" s="213" t="s">
        <v>586</v>
      </c>
      <c r="AR128" s="111" t="s">
        <v>305</v>
      </c>
      <c r="AS128" s="223"/>
      <c r="AT128" s="223"/>
      <c r="AU128" s="223"/>
      <c r="AV128" s="231">
        <v>1.3325</v>
      </c>
      <c r="AW128" s="230"/>
      <c r="AX128" s="217"/>
      <c r="AY128" s="217"/>
      <c r="AZ128" s="217"/>
      <c r="BA128" s="196"/>
      <c r="BB128" s="196"/>
      <c r="BC128" s="196"/>
      <c r="BD128" s="213"/>
      <c r="BE128" s="218" t="s">
        <v>1106</v>
      </c>
      <c r="BF128" s="196" t="s">
        <v>195</v>
      </c>
      <c r="BG128" s="196"/>
      <c r="BH128" s="196"/>
      <c r="BI128" s="197"/>
      <c r="BJ128" s="196"/>
      <c r="BK128" s="218" t="s">
        <v>1106</v>
      </c>
      <c r="BL128" s="220">
        <v>44005</v>
      </c>
      <c r="BM128" s="218" t="s">
        <v>1486</v>
      </c>
      <c r="BN128" s="218" t="s">
        <v>1487</v>
      </c>
      <c r="BO128" s="218" t="s">
        <v>1493</v>
      </c>
      <c r="BP128" s="218" t="s">
        <v>1726</v>
      </c>
      <c r="BQ128" s="196"/>
    </row>
    <row r="129" spans="1:69" x14ac:dyDescent="0.25">
      <c r="A129" s="196"/>
      <c r="B129" s="196"/>
      <c r="C129" s="196"/>
      <c r="D129" s="111" t="s">
        <v>305</v>
      </c>
      <c r="E129" s="217">
        <v>59715</v>
      </c>
      <c r="F129" s="210" t="s">
        <v>305</v>
      </c>
      <c r="G129" s="196"/>
      <c r="H129" s="196"/>
      <c r="I129" s="111" t="s">
        <v>12</v>
      </c>
      <c r="J129" s="218" t="s">
        <v>891</v>
      </c>
      <c r="K129" s="219">
        <v>44466</v>
      </c>
      <c r="L129" s="196"/>
      <c r="M129" s="245" t="s">
        <v>159</v>
      </c>
      <c r="N129" s="196"/>
      <c r="O129" s="218" t="s">
        <v>1421</v>
      </c>
      <c r="P129" s="220">
        <v>44055</v>
      </c>
      <c r="Q129" s="218" t="s">
        <v>1184</v>
      </c>
      <c r="R129" s="196"/>
      <c r="S129" s="10">
        <v>77</v>
      </c>
      <c r="T129" s="247"/>
      <c r="U129" s="196" t="s">
        <v>1644</v>
      </c>
      <c r="V129" s="218" t="s">
        <v>1620</v>
      </c>
      <c r="W129" s="218" t="s">
        <v>1309</v>
      </c>
      <c r="X129" s="141">
        <v>2340.864</v>
      </c>
      <c r="Y129" s="218">
        <v>41.892189999999999</v>
      </c>
      <c r="Z129" s="218">
        <v>-110.63723</v>
      </c>
      <c r="AA129" s="218" t="s">
        <v>1443</v>
      </c>
      <c r="AB129" s="196" t="s">
        <v>218</v>
      </c>
      <c r="AC129" s="218" t="s">
        <v>1156</v>
      </c>
      <c r="AD129" s="197" t="s">
        <v>875</v>
      </c>
      <c r="AE129" s="196" t="s">
        <v>1456</v>
      </c>
      <c r="AF129" s="218"/>
      <c r="AG129" s="196"/>
      <c r="AH129" s="196"/>
      <c r="AI129" s="246">
        <v>2</v>
      </c>
      <c r="AJ129" s="246">
        <v>2</v>
      </c>
      <c r="AK129" s="218" t="s">
        <v>468</v>
      </c>
      <c r="AL129" s="218" t="s">
        <v>926</v>
      </c>
      <c r="AM129" s="196"/>
      <c r="AN129" s="196" t="s">
        <v>452</v>
      </c>
      <c r="AO129" s="196" t="s">
        <v>780</v>
      </c>
      <c r="AP129" s="196" t="s">
        <v>1165</v>
      </c>
      <c r="AQ129" s="213" t="s">
        <v>586</v>
      </c>
      <c r="AR129" s="111" t="s">
        <v>305</v>
      </c>
      <c r="AS129" s="223"/>
      <c r="AT129" s="223"/>
      <c r="AU129" s="223"/>
      <c r="AV129" s="231">
        <v>0.13350000000000001</v>
      </c>
      <c r="AW129" s="230"/>
      <c r="AX129" s="217"/>
      <c r="AY129" s="217"/>
      <c r="AZ129" s="217"/>
      <c r="BA129" s="196"/>
      <c r="BB129" s="196"/>
      <c r="BC129" s="196"/>
      <c r="BD129" s="213"/>
      <c r="BE129" s="218" t="s">
        <v>1107</v>
      </c>
      <c r="BF129" s="196" t="s">
        <v>195</v>
      </c>
      <c r="BG129" s="196"/>
      <c r="BH129" s="196"/>
      <c r="BI129" s="197"/>
      <c r="BJ129" s="196"/>
      <c r="BK129" s="218" t="s">
        <v>1107</v>
      </c>
      <c r="BL129" s="220">
        <v>44055</v>
      </c>
      <c r="BM129" s="218" t="s">
        <v>1486</v>
      </c>
      <c r="BN129" s="218" t="s">
        <v>1487</v>
      </c>
      <c r="BO129" s="218" t="s">
        <v>1493</v>
      </c>
      <c r="BP129" s="218" t="s">
        <v>1727</v>
      </c>
      <c r="BQ129" s="196"/>
    </row>
    <row r="130" spans="1:69" x14ac:dyDescent="0.25">
      <c r="A130" s="196"/>
      <c r="B130" s="196"/>
      <c r="C130" s="196"/>
      <c r="D130" s="111" t="s">
        <v>305</v>
      </c>
      <c r="E130" s="217">
        <v>59716</v>
      </c>
      <c r="F130" s="210" t="s">
        <v>305</v>
      </c>
      <c r="G130" s="196"/>
      <c r="H130" s="196"/>
      <c r="I130" s="111" t="s">
        <v>12</v>
      </c>
      <c r="J130" s="218" t="s">
        <v>981</v>
      </c>
      <c r="K130" s="219">
        <v>44466</v>
      </c>
      <c r="L130" s="196"/>
      <c r="M130" s="245" t="s">
        <v>159</v>
      </c>
      <c r="N130" s="196"/>
      <c r="O130" s="218" t="s">
        <v>1422</v>
      </c>
      <c r="P130" s="220">
        <v>44060</v>
      </c>
      <c r="Q130" s="218" t="s">
        <v>1184</v>
      </c>
      <c r="R130" s="196"/>
      <c r="S130" s="10">
        <v>113</v>
      </c>
      <c r="T130" s="247"/>
      <c r="U130" s="196" t="s">
        <v>1644</v>
      </c>
      <c r="V130" s="218" t="s">
        <v>1621</v>
      </c>
      <c r="W130" s="218" t="s">
        <v>1310</v>
      </c>
      <c r="X130" s="141">
        <v>2249.1192000000001</v>
      </c>
      <c r="Y130" s="218">
        <v>41.765470000000001</v>
      </c>
      <c r="Z130" s="218">
        <v>-110.8428</v>
      </c>
      <c r="AA130" s="218" t="s">
        <v>1443</v>
      </c>
      <c r="AB130" s="196" t="s">
        <v>218</v>
      </c>
      <c r="AC130" s="218" t="s">
        <v>1156</v>
      </c>
      <c r="AD130" s="197" t="s">
        <v>875</v>
      </c>
      <c r="AE130" s="196" t="s">
        <v>1456</v>
      </c>
      <c r="AF130" s="218"/>
      <c r="AG130" s="196"/>
      <c r="AH130" s="196"/>
      <c r="AI130" s="246">
        <v>0</v>
      </c>
      <c r="AJ130" s="246">
        <v>0</v>
      </c>
      <c r="AK130" s="218"/>
      <c r="AL130" s="218"/>
      <c r="AM130" s="196"/>
      <c r="AN130" s="196" t="s">
        <v>1337</v>
      </c>
      <c r="AO130" s="196" t="s">
        <v>780</v>
      </c>
      <c r="AP130" s="196" t="s">
        <v>1165</v>
      </c>
      <c r="AQ130" s="213" t="s">
        <v>586</v>
      </c>
      <c r="AR130" s="111" t="s">
        <v>305</v>
      </c>
      <c r="AS130" s="223"/>
      <c r="AT130" s="223"/>
      <c r="AU130" s="223"/>
      <c r="AV130" s="231">
        <v>4.5999999999999999E-3</v>
      </c>
      <c r="AW130" s="230"/>
      <c r="AX130" s="217"/>
      <c r="AY130" s="217"/>
      <c r="AZ130" s="217"/>
      <c r="BA130" s="196"/>
      <c r="BB130" s="196"/>
      <c r="BC130" s="196"/>
      <c r="BD130" s="213"/>
      <c r="BE130" s="218" t="s">
        <v>1108</v>
      </c>
      <c r="BF130" s="196" t="s">
        <v>195</v>
      </c>
      <c r="BG130" s="196"/>
      <c r="BH130" s="196"/>
      <c r="BI130" s="197"/>
      <c r="BJ130" s="196"/>
      <c r="BK130" s="218" t="s">
        <v>1108</v>
      </c>
      <c r="BL130" s="220">
        <v>44000</v>
      </c>
      <c r="BM130" s="218" t="s">
        <v>1486</v>
      </c>
      <c r="BN130" s="218" t="s">
        <v>1487</v>
      </c>
      <c r="BO130" s="218" t="s">
        <v>1493</v>
      </c>
      <c r="BP130" s="218" t="s">
        <v>1728</v>
      </c>
      <c r="BQ130" s="196"/>
    </row>
    <row r="131" spans="1:69" x14ac:dyDescent="0.25">
      <c r="A131" s="196"/>
      <c r="B131" s="197"/>
      <c r="C131" s="196"/>
      <c r="D131" s="111" t="s">
        <v>305</v>
      </c>
      <c r="E131" s="217">
        <v>59717</v>
      </c>
      <c r="F131" s="210" t="s">
        <v>305</v>
      </c>
      <c r="G131" s="196"/>
      <c r="H131" s="196"/>
      <c r="I131" s="111" t="s">
        <v>12</v>
      </c>
      <c r="J131" s="218" t="s">
        <v>891</v>
      </c>
      <c r="K131" s="219">
        <v>44466</v>
      </c>
      <c r="L131" s="196"/>
      <c r="M131" s="245" t="s">
        <v>159</v>
      </c>
      <c r="N131" s="196"/>
      <c r="O131" s="218" t="s">
        <v>1423</v>
      </c>
      <c r="P131" s="220">
        <v>44062</v>
      </c>
      <c r="Q131" s="218" t="s">
        <v>1184</v>
      </c>
      <c r="R131" s="196"/>
      <c r="S131" s="10">
        <v>279</v>
      </c>
      <c r="T131" s="247"/>
      <c r="U131" s="196" t="s">
        <v>1648</v>
      </c>
      <c r="V131" s="218" t="s">
        <v>1622</v>
      </c>
      <c r="W131" s="218" t="s">
        <v>1311</v>
      </c>
      <c r="X131" s="141">
        <v>2251.8624</v>
      </c>
      <c r="Y131" s="218">
        <v>41.988709999999998</v>
      </c>
      <c r="Z131" s="218">
        <v>-110.52948000000001</v>
      </c>
      <c r="AA131" s="218" t="s">
        <v>1443</v>
      </c>
      <c r="AB131" s="196" t="s">
        <v>218</v>
      </c>
      <c r="AC131" s="218" t="s">
        <v>1156</v>
      </c>
      <c r="AD131" s="197" t="s">
        <v>875</v>
      </c>
      <c r="AE131" s="196" t="s">
        <v>1456</v>
      </c>
      <c r="AF131" s="218"/>
      <c r="AG131" s="196"/>
      <c r="AH131" s="196"/>
      <c r="AI131" s="246">
        <v>0</v>
      </c>
      <c r="AJ131" s="246">
        <v>0</v>
      </c>
      <c r="AK131" s="218"/>
      <c r="AL131" s="218"/>
      <c r="AM131" s="196"/>
      <c r="AN131" s="196" t="s">
        <v>457</v>
      </c>
      <c r="AO131" s="196" t="s">
        <v>780</v>
      </c>
      <c r="AP131" s="196" t="s">
        <v>1165</v>
      </c>
      <c r="AQ131" s="213" t="s">
        <v>586</v>
      </c>
      <c r="AR131" s="111" t="s">
        <v>305</v>
      </c>
      <c r="AS131" s="223"/>
      <c r="AT131" s="223"/>
      <c r="AU131" s="223"/>
      <c r="AV131" s="231">
        <v>0.11799999999999999</v>
      </c>
      <c r="AW131" s="230"/>
      <c r="AX131" s="217"/>
      <c r="AY131" s="217"/>
      <c r="AZ131" s="217"/>
      <c r="BA131" s="196"/>
      <c r="BB131" s="196"/>
      <c r="BC131" s="196"/>
      <c r="BD131" s="213"/>
      <c r="BE131" s="218" t="s">
        <v>1109</v>
      </c>
      <c r="BF131" s="196" t="s">
        <v>195</v>
      </c>
      <c r="BG131" s="196"/>
      <c r="BH131" s="196"/>
      <c r="BI131" s="197"/>
      <c r="BJ131" s="196"/>
      <c r="BK131" s="218" t="s">
        <v>1109</v>
      </c>
      <c r="BL131" s="220">
        <v>44046</v>
      </c>
      <c r="BM131" s="218" t="s">
        <v>1486</v>
      </c>
      <c r="BN131" s="218" t="s">
        <v>1487</v>
      </c>
      <c r="BO131" s="218" t="s">
        <v>1493</v>
      </c>
      <c r="BP131" s="218" t="s">
        <v>1725</v>
      </c>
      <c r="BQ131" s="196"/>
    </row>
    <row r="132" spans="1:69" x14ac:dyDescent="0.25">
      <c r="A132" s="196"/>
      <c r="B132" s="196"/>
      <c r="C132" s="196"/>
      <c r="D132" s="111" t="s">
        <v>305</v>
      </c>
      <c r="E132" s="217">
        <v>59718</v>
      </c>
      <c r="F132" s="210" t="s">
        <v>305</v>
      </c>
      <c r="G132" s="196"/>
      <c r="H132" s="196"/>
      <c r="I132" s="111" t="s">
        <v>12</v>
      </c>
      <c r="J132" s="218" t="s">
        <v>981</v>
      </c>
      <c r="K132" s="219">
        <v>44466</v>
      </c>
      <c r="L132" s="196"/>
      <c r="M132" s="245" t="s">
        <v>159</v>
      </c>
      <c r="N132" s="196"/>
      <c r="O132" s="218" t="s">
        <v>1424</v>
      </c>
      <c r="P132" s="220">
        <v>44062</v>
      </c>
      <c r="Q132" s="218" t="s">
        <v>1184</v>
      </c>
      <c r="R132" s="196"/>
      <c r="S132" s="10">
        <v>417</v>
      </c>
      <c r="T132" s="247"/>
      <c r="U132" s="196" t="s">
        <v>1644</v>
      </c>
      <c r="V132" s="218" t="s">
        <v>1623</v>
      </c>
      <c r="W132" s="218" t="s">
        <v>1312</v>
      </c>
      <c r="X132" s="141">
        <v>2333.8535999999999</v>
      </c>
      <c r="Y132" s="218">
        <v>42.006639999999997</v>
      </c>
      <c r="Z132" s="218">
        <v>-110.56185000000001</v>
      </c>
      <c r="AA132" s="218" t="s">
        <v>1443</v>
      </c>
      <c r="AB132" s="196" t="s">
        <v>218</v>
      </c>
      <c r="AC132" s="218" t="s">
        <v>1156</v>
      </c>
      <c r="AD132" s="197" t="s">
        <v>875</v>
      </c>
      <c r="AE132" s="196" t="s">
        <v>1456</v>
      </c>
      <c r="AF132" s="218"/>
      <c r="AG132" s="196"/>
      <c r="AH132" s="196"/>
      <c r="AI132" s="246">
        <v>0</v>
      </c>
      <c r="AJ132" s="246">
        <v>0</v>
      </c>
      <c r="AK132" s="218"/>
      <c r="AL132" s="218"/>
      <c r="AM132" s="196"/>
      <c r="AN132" s="196" t="s">
        <v>457</v>
      </c>
      <c r="AO132" s="196" t="s">
        <v>780</v>
      </c>
      <c r="AP132" s="196" t="s">
        <v>1165</v>
      </c>
      <c r="AQ132" s="213" t="s">
        <v>586</v>
      </c>
      <c r="AR132" s="111" t="s">
        <v>305</v>
      </c>
      <c r="AS132" s="223"/>
      <c r="AT132" s="223"/>
      <c r="AU132" s="223"/>
      <c r="AV132" s="231">
        <v>1.11E-2</v>
      </c>
      <c r="AW132" s="230"/>
      <c r="AX132" s="217"/>
      <c r="AY132" s="217"/>
      <c r="AZ132" s="217"/>
      <c r="BA132" s="196"/>
      <c r="BB132" s="196"/>
      <c r="BC132" s="196"/>
      <c r="BD132" s="213"/>
      <c r="BE132" s="218" t="s">
        <v>1110</v>
      </c>
      <c r="BF132" s="196" t="s">
        <v>195</v>
      </c>
      <c r="BG132" s="196"/>
      <c r="BH132" s="196"/>
      <c r="BI132" s="197"/>
      <c r="BJ132" s="196"/>
      <c r="BK132" s="218" t="s">
        <v>1110</v>
      </c>
      <c r="BL132" s="220">
        <v>44006</v>
      </c>
      <c r="BM132" s="218" t="s">
        <v>1486</v>
      </c>
      <c r="BN132" s="218" t="s">
        <v>1487</v>
      </c>
      <c r="BO132" s="218" t="s">
        <v>1493</v>
      </c>
      <c r="BP132" s="218" t="s">
        <v>1729</v>
      </c>
      <c r="BQ132" s="196"/>
    </row>
    <row r="133" spans="1:69" x14ac:dyDescent="0.25">
      <c r="A133" s="196"/>
      <c r="B133" s="197"/>
      <c r="C133" s="196"/>
      <c r="D133" s="111" t="s">
        <v>305</v>
      </c>
      <c r="E133" s="217">
        <v>59719</v>
      </c>
      <c r="F133" s="210" t="s">
        <v>305</v>
      </c>
      <c r="G133" s="196"/>
      <c r="H133" s="196"/>
      <c r="I133" s="111" t="s">
        <v>12</v>
      </c>
      <c r="J133" s="218" t="s">
        <v>896</v>
      </c>
      <c r="K133" s="219">
        <v>44466</v>
      </c>
      <c r="L133" s="196"/>
      <c r="M133" s="245" t="s">
        <v>159</v>
      </c>
      <c r="N133" s="196"/>
      <c r="O133" s="218" t="s">
        <v>1425</v>
      </c>
      <c r="P133" s="220">
        <v>44069</v>
      </c>
      <c r="Q133" s="218" t="s">
        <v>1184</v>
      </c>
      <c r="R133" s="196"/>
      <c r="S133" s="10">
        <v>278</v>
      </c>
      <c r="T133" s="247"/>
      <c r="U133" s="196" t="s">
        <v>1644</v>
      </c>
      <c r="V133" s="218" t="s">
        <v>1624</v>
      </c>
      <c r="W133" s="218" t="s">
        <v>1313</v>
      </c>
      <c r="X133" s="141">
        <v>2334.768</v>
      </c>
      <c r="Y133" s="218">
        <v>42.007860000000001</v>
      </c>
      <c r="Z133" s="218">
        <v>-110.56079</v>
      </c>
      <c r="AA133" s="218" t="s">
        <v>1443</v>
      </c>
      <c r="AB133" s="196" t="s">
        <v>218</v>
      </c>
      <c r="AC133" s="218" t="s">
        <v>1156</v>
      </c>
      <c r="AD133" s="197" t="s">
        <v>875</v>
      </c>
      <c r="AE133" s="196" t="s">
        <v>1456</v>
      </c>
      <c r="AF133" s="218"/>
      <c r="AG133" s="196"/>
      <c r="AH133" s="196"/>
      <c r="AI133" s="233">
        <v>0</v>
      </c>
      <c r="AJ133" s="233">
        <v>0</v>
      </c>
      <c r="AK133" s="196"/>
      <c r="AL133" s="196"/>
      <c r="AM133" s="196"/>
      <c r="AN133" s="196" t="s">
        <v>457</v>
      </c>
      <c r="AO133" s="196" t="s">
        <v>780</v>
      </c>
      <c r="AP133" s="196" t="s">
        <v>1165</v>
      </c>
      <c r="AQ133" s="213" t="s">
        <v>586</v>
      </c>
      <c r="AR133" s="111" t="s">
        <v>305</v>
      </c>
      <c r="AS133" s="223"/>
      <c r="AT133" s="223"/>
      <c r="AU133" s="223"/>
      <c r="AV133" s="231">
        <v>1.0699999999999999E-2</v>
      </c>
      <c r="AW133" s="230"/>
      <c r="AX133" s="217"/>
      <c r="AY133" s="217"/>
      <c r="AZ133" s="217"/>
      <c r="BA133" s="196"/>
      <c r="BB133" s="196"/>
      <c r="BC133" s="196"/>
      <c r="BD133" s="213"/>
      <c r="BE133" s="218" t="s">
        <v>1111</v>
      </c>
      <c r="BF133" s="196" t="s">
        <v>195</v>
      </c>
      <c r="BG133" s="196"/>
      <c r="BH133" s="196"/>
      <c r="BI133" s="197"/>
      <c r="BJ133" s="196"/>
      <c r="BK133" s="218" t="s">
        <v>1111</v>
      </c>
      <c r="BL133" s="220">
        <v>44046</v>
      </c>
      <c r="BM133" s="218" t="s">
        <v>1486</v>
      </c>
      <c r="BN133" s="218" t="s">
        <v>1487</v>
      </c>
      <c r="BO133" s="218" t="s">
        <v>1493</v>
      </c>
      <c r="BP133" s="218" t="s">
        <v>1730</v>
      </c>
      <c r="BQ133" s="196"/>
    </row>
    <row r="134" spans="1:69" x14ac:dyDescent="0.25">
      <c r="A134" s="196"/>
      <c r="B134" s="196"/>
      <c r="C134" s="196"/>
      <c r="D134" s="111" t="s">
        <v>305</v>
      </c>
      <c r="E134" s="217">
        <v>59720</v>
      </c>
      <c r="F134" s="210" t="s">
        <v>305</v>
      </c>
      <c r="G134" s="196"/>
      <c r="H134" s="196"/>
      <c r="I134" s="111" t="s">
        <v>12</v>
      </c>
      <c r="J134" s="218" t="s">
        <v>981</v>
      </c>
      <c r="K134" s="219">
        <v>44466</v>
      </c>
      <c r="L134" s="196"/>
      <c r="M134" s="245" t="s">
        <v>159</v>
      </c>
      <c r="N134" s="196"/>
      <c r="O134" s="218" t="s">
        <v>1426</v>
      </c>
      <c r="P134" s="220">
        <v>44069</v>
      </c>
      <c r="Q134" s="218" t="s">
        <v>1184</v>
      </c>
      <c r="R134" s="196"/>
      <c r="S134" s="10">
        <v>268</v>
      </c>
      <c r="T134" s="247"/>
      <c r="U134" s="196" t="s">
        <v>1644</v>
      </c>
      <c r="V134" s="218" t="s">
        <v>1625</v>
      </c>
      <c r="W134" s="218" t="s">
        <v>1314</v>
      </c>
      <c r="X134" s="141">
        <v>2553.9192000000003</v>
      </c>
      <c r="Y134" s="218">
        <v>41.996690000000001</v>
      </c>
      <c r="Z134" s="218">
        <v>-110.57847</v>
      </c>
      <c r="AA134" s="218" t="s">
        <v>1443</v>
      </c>
      <c r="AB134" s="196" t="s">
        <v>218</v>
      </c>
      <c r="AC134" s="218" t="s">
        <v>1156</v>
      </c>
      <c r="AD134" s="197" t="s">
        <v>875</v>
      </c>
      <c r="AE134" s="196" t="s">
        <v>1456</v>
      </c>
      <c r="AF134" s="218"/>
      <c r="AG134" s="196"/>
      <c r="AH134" s="196"/>
      <c r="AI134" s="233">
        <v>8</v>
      </c>
      <c r="AJ134" s="233">
        <v>8</v>
      </c>
      <c r="AK134" s="196" t="s">
        <v>471</v>
      </c>
      <c r="AL134" s="196" t="s">
        <v>922</v>
      </c>
      <c r="AM134" s="196"/>
      <c r="AN134" s="196" t="s">
        <v>452</v>
      </c>
      <c r="AO134" s="196" t="s">
        <v>780</v>
      </c>
      <c r="AP134" s="196" t="s">
        <v>1165</v>
      </c>
      <c r="AQ134" s="213" t="s">
        <v>586</v>
      </c>
      <c r="AR134" s="111" t="s">
        <v>305</v>
      </c>
      <c r="AS134" s="223"/>
      <c r="AT134" s="223"/>
      <c r="AU134" s="223"/>
      <c r="AV134" s="231">
        <v>1.52E-2</v>
      </c>
      <c r="AW134" s="230"/>
      <c r="AX134" s="217"/>
      <c r="AY134" s="217"/>
      <c r="AZ134" s="217"/>
      <c r="BA134" s="196"/>
      <c r="BB134" s="196"/>
      <c r="BC134" s="196"/>
      <c r="BD134" s="213"/>
      <c r="BE134" s="218" t="s">
        <v>1112</v>
      </c>
      <c r="BF134" s="196" t="s">
        <v>195</v>
      </c>
      <c r="BG134" s="196"/>
      <c r="BH134" s="196"/>
      <c r="BI134" s="197"/>
      <c r="BJ134" s="196"/>
      <c r="BK134" s="218" t="s">
        <v>1112</v>
      </c>
      <c r="BL134" s="196">
        <v>44033</v>
      </c>
      <c r="BM134" s="196" t="s">
        <v>1486</v>
      </c>
      <c r="BN134" s="196" t="s">
        <v>1487</v>
      </c>
      <c r="BO134" s="196" t="s">
        <v>1493</v>
      </c>
      <c r="BP134" s="218" t="s">
        <v>1731</v>
      </c>
      <c r="BQ134" s="196"/>
    </row>
    <row r="135" spans="1:69" x14ac:dyDescent="0.25">
      <c r="A135" s="196"/>
      <c r="B135" s="196"/>
      <c r="C135" s="196"/>
      <c r="D135" s="111" t="s">
        <v>305</v>
      </c>
      <c r="E135" s="217">
        <v>59721</v>
      </c>
      <c r="F135" s="210" t="s">
        <v>305</v>
      </c>
      <c r="G135" s="196"/>
      <c r="H135" s="196"/>
      <c r="I135" s="111" t="s">
        <v>12</v>
      </c>
      <c r="J135" s="196" t="s">
        <v>896</v>
      </c>
      <c r="K135" s="219">
        <v>44466</v>
      </c>
      <c r="L135" s="196"/>
      <c r="M135" s="245" t="s">
        <v>159</v>
      </c>
      <c r="N135" s="196"/>
      <c r="O135" s="196" t="s">
        <v>1427</v>
      </c>
      <c r="P135" s="219">
        <v>44070</v>
      </c>
      <c r="Q135" s="219" t="s">
        <v>1184</v>
      </c>
      <c r="R135" s="196"/>
      <c r="S135" s="233">
        <v>262</v>
      </c>
      <c r="T135" s="247"/>
      <c r="U135" s="196" t="s">
        <v>1644</v>
      </c>
      <c r="V135" s="196" t="s">
        <v>1626</v>
      </c>
      <c r="W135" s="196" t="s">
        <v>1315</v>
      </c>
      <c r="X135" s="141">
        <v>1984.8576</v>
      </c>
      <c r="Y135" s="234">
        <v>41.843609999999998</v>
      </c>
      <c r="Z135" s="234">
        <v>-110.90468</v>
      </c>
      <c r="AA135" s="235" t="s">
        <v>1443</v>
      </c>
      <c r="AB135" s="196" t="s">
        <v>218</v>
      </c>
      <c r="AC135" s="196" t="s">
        <v>1156</v>
      </c>
      <c r="AD135" s="197" t="s">
        <v>875</v>
      </c>
      <c r="AE135" s="196" t="s">
        <v>1456</v>
      </c>
      <c r="AF135" s="213"/>
      <c r="AG135" s="196"/>
      <c r="AH135" s="196"/>
      <c r="AI135" s="233">
        <v>0</v>
      </c>
      <c r="AJ135" s="233">
        <v>0</v>
      </c>
      <c r="AK135" s="196"/>
      <c r="AL135" s="196"/>
      <c r="AM135" s="196"/>
      <c r="AN135" s="196" t="s">
        <v>441</v>
      </c>
      <c r="AO135" s="196" t="s">
        <v>780</v>
      </c>
      <c r="AP135" s="196" t="s">
        <v>1165</v>
      </c>
      <c r="AQ135" s="213" t="s">
        <v>586</v>
      </c>
      <c r="AR135" s="111" t="s">
        <v>305</v>
      </c>
      <c r="AS135" s="223"/>
      <c r="AT135" s="223"/>
      <c r="AU135" s="223"/>
      <c r="AV135" s="223">
        <v>1.11E-2</v>
      </c>
      <c r="AW135" s="230"/>
      <c r="AX135" s="217"/>
      <c r="AY135" s="217"/>
      <c r="AZ135" s="217"/>
      <c r="BA135" s="196"/>
      <c r="BB135" s="196"/>
      <c r="BC135" s="196"/>
      <c r="BD135" s="213"/>
      <c r="BE135" s="196" t="s">
        <v>1113</v>
      </c>
      <c r="BF135" s="196" t="s">
        <v>195</v>
      </c>
      <c r="BG135" s="213"/>
      <c r="BH135" s="213"/>
      <c r="BI135" s="197"/>
      <c r="BJ135" s="213"/>
      <c r="BK135" s="196" t="s">
        <v>1113</v>
      </c>
      <c r="BL135" s="196">
        <v>44046</v>
      </c>
      <c r="BM135" s="196" t="s">
        <v>1486</v>
      </c>
      <c r="BN135" s="196" t="s">
        <v>1487</v>
      </c>
      <c r="BO135" s="196" t="s">
        <v>1493</v>
      </c>
      <c r="BP135" s="213" t="s">
        <v>1732</v>
      </c>
      <c r="BQ135" s="196"/>
    </row>
    <row r="136" spans="1:69" x14ac:dyDescent="0.25">
      <c r="A136" s="196"/>
      <c r="B136" s="196"/>
      <c r="C136" s="196"/>
      <c r="D136" s="111" t="s">
        <v>305</v>
      </c>
      <c r="E136" s="217">
        <v>59722</v>
      </c>
      <c r="F136" s="210" t="s">
        <v>305</v>
      </c>
      <c r="G136" s="217"/>
      <c r="H136" s="196"/>
      <c r="I136" s="111" t="s">
        <v>12</v>
      </c>
      <c r="J136" s="196" t="s">
        <v>896</v>
      </c>
      <c r="K136" s="219">
        <v>44466</v>
      </c>
      <c r="L136" s="196"/>
      <c r="M136" s="245" t="s">
        <v>159</v>
      </c>
      <c r="N136" s="196"/>
      <c r="O136" s="196" t="s">
        <v>1428</v>
      </c>
      <c r="P136" s="219">
        <v>44083</v>
      </c>
      <c r="Q136" s="219" t="s">
        <v>1184</v>
      </c>
      <c r="R136" s="196"/>
      <c r="S136" s="233">
        <v>448</v>
      </c>
      <c r="T136" s="247"/>
      <c r="U136" s="196" t="s">
        <v>1644</v>
      </c>
      <c r="V136" s="196" t="s">
        <v>1627</v>
      </c>
      <c r="W136" s="196" t="s">
        <v>1316</v>
      </c>
      <c r="X136" s="141">
        <v>2194.8648000000003</v>
      </c>
      <c r="Y136" s="234">
        <v>41.904130000000002</v>
      </c>
      <c r="Z136" s="234">
        <v>-110.41144</v>
      </c>
      <c r="AA136" s="235" t="s">
        <v>1443</v>
      </c>
      <c r="AB136" s="196" t="s">
        <v>218</v>
      </c>
      <c r="AC136" s="196" t="s">
        <v>1157</v>
      </c>
      <c r="AD136" s="197" t="s">
        <v>875</v>
      </c>
      <c r="AE136" s="196" t="s">
        <v>1456</v>
      </c>
      <c r="AF136" s="213"/>
      <c r="AG136" s="196"/>
      <c r="AH136" s="196"/>
      <c r="AI136" s="233">
        <v>0</v>
      </c>
      <c r="AJ136" s="233">
        <v>0</v>
      </c>
      <c r="AK136" s="196"/>
      <c r="AL136" s="196"/>
      <c r="AM136" s="196"/>
      <c r="AN136" s="196" t="s">
        <v>452</v>
      </c>
      <c r="AO136" s="196" t="s">
        <v>780</v>
      </c>
      <c r="AP136" s="196" t="s">
        <v>1165</v>
      </c>
      <c r="AQ136" s="213" t="s">
        <v>586</v>
      </c>
      <c r="AR136" s="111" t="s">
        <v>305</v>
      </c>
      <c r="AS136" s="223"/>
      <c r="AT136" s="223"/>
      <c r="AU136" s="223"/>
      <c r="AV136" s="223">
        <v>9.7000000000000003E-3</v>
      </c>
      <c r="AW136" s="230"/>
      <c r="AX136" s="217"/>
      <c r="AY136" s="217"/>
      <c r="AZ136" s="217"/>
      <c r="BA136" s="196"/>
      <c r="BB136" s="196"/>
      <c r="BC136" s="196"/>
      <c r="BD136" s="213"/>
      <c r="BE136" s="196" t="s">
        <v>1114</v>
      </c>
      <c r="BF136" s="196" t="s">
        <v>195</v>
      </c>
      <c r="BG136" s="213"/>
      <c r="BH136" s="213"/>
      <c r="BI136" s="197"/>
      <c r="BJ136" s="213"/>
      <c r="BK136" s="196" t="s">
        <v>1114</v>
      </c>
      <c r="BL136" s="196"/>
      <c r="BM136" s="196"/>
      <c r="BN136" s="196"/>
      <c r="BO136" s="196"/>
      <c r="BP136" s="213" t="s">
        <v>1731</v>
      </c>
      <c r="BQ136" s="196"/>
    </row>
    <row r="137" spans="1:69" x14ac:dyDescent="0.25">
      <c r="A137" s="196"/>
      <c r="B137" s="197"/>
      <c r="C137" s="196"/>
      <c r="D137" s="111" t="s">
        <v>305</v>
      </c>
      <c r="E137" s="217">
        <v>59723</v>
      </c>
      <c r="F137" s="210" t="s">
        <v>305</v>
      </c>
      <c r="G137" s="217"/>
      <c r="H137" s="196"/>
      <c r="I137" s="111" t="s">
        <v>12</v>
      </c>
      <c r="J137" s="196" t="s">
        <v>892</v>
      </c>
      <c r="K137" s="219">
        <v>44466</v>
      </c>
      <c r="L137" s="196"/>
      <c r="M137" s="245" t="s">
        <v>159</v>
      </c>
      <c r="N137" s="196"/>
      <c r="O137" s="196" t="s">
        <v>1429</v>
      </c>
      <c r="P137" s="219">
        <v>44084</v>
      </c>
      <c r="Q137" s="219" t="s">
        <v>1184</v>
      </c>
      <c r="R137" s="196"/>
      <c r="S137" s="233">
        <v>120</v>
      </c>
      <c r="T137" s="247"/>
      <c r="U137" s="196" t="s">
        <v>1644</v>
      </c>
      <c r="V137" s="196" t="s">
        <v>1628</v>
      </c>
      <c r="W137" s="196" t="s">
        <v>1313</v>
      </c>
      <c r="X137" s="141">
        <v>2294.5344</v>
      </c>
      <c r="Y137" s="234">
        <v>42.005969999999998</v>
      </c>
      <c r="Z137" s="234">
        <v>-110.55083</v>
      </c>
      <c r="AA137" s="235" t="s">
        <v>1443</v>
      </c>
      <c r="AB137" s="196" t="s">
        <v>218</v>
      </c>
      <c r="AC137" s="196" t="s">
        <v>1157</v>
      </c>
      <c r="AD137" s="197" t="s">
        <v>875</v>
      </c>
      <c r="AE137" s="196" t="s">
        <v>1456</v>
      </c>
      <c r="AF137" s="213"/>
      <c r="AG137" s="196"/>
      <c r="AH137" s="196"/>
      <c r="AI137" s="233">
        <v>31</v>
      </c>
      <c r="AJ137" s="233">
        <v>31</v>
      </c>
      <c r="AK137" s="196" t="s">
        <v>466</v>
      </c>
      <c r="AL137" s="196" t="s">
        <v>924</v>
      </c>
      <c r="AM137" s="196"/>
      <c r="AN137" s="196" t="s">
        <v>452</v>
      </c>
      <c r="AO137" s="196" t="s">
        <v>780</v>
      </c>
      <c r="AP137" s="196" t="s">
        <v>1165</v>
      </c>
      <c r="AQ137" s="213" t="s">
        <v>586</v>
      </c>
      <c r="AR137" s="111" t="s">
        <v>305</v>
      </c>
      <c r="AS137" s="223"/>
      <c r="AT137" s="223"/>
      <c r="AU137" s="223"/>
      <c r="AV137" s="223">
        <v>0.06</v>
      </c>
      <c r="AW137" s="230"/>
      <c r="AX137" s="217"/>
      <c r="AY137" s="217"/>
      <c r="AZ137" s="217"/>
      <c r="BA137" s="196"/>
      <c r="BB137" s="196"/>
      <c r="BC137" s="196"/>
      <c r="BD137" s="213"/>
      <c r="BE137" s="196" t="s">
        <v>1115</v>
      </c>
      <c r="BF137" s="196" t="s">
        <v>195</v>
      </c>
      <c r="BG137" s="213"/>
      <c r="BH137" s="213"/>
      <c r="BI137" s="197"/>
      <c r="BJ137" s="213"/>
      <c r="BK137" s="196" t="s">
        <v>1115</v>
      </c>
      <c r="BL137" s="196"/>
      <c r="BM137" s="196"/>
      <c r="BN137" s="196"/>
      <c r="BO137" s="196"/>
      <c r="BP137" s="213" t="s">
        <v>1733</v>
      </c>
      <c r="BQ137" s="196"/>
    </row>
    <row r="138" spans="1:69" x14ac:dyDescent="0.25">
      <c r="A138" s="196"/>
      <c r="B138" s="196"/>
      <c r="C138" s="196"/>
      <c r="D138" s="111" t="s">
        <v>305</v>
      </c>
      <c r="E138" s="217">
        <v>59724</v>
      </c>
      <c r="F138" s="210" t="s">
        <v>305</v>
      </c>
      <c r="G138" s="217"/>
      <c r="H138" s="196"/>
      <c r="I138" s="111" t="s">
        <v>12</v>
      </c>
      <c r="J138" s="196" t="s">
        <v>981</v>
      </c>
      <c r="K138" s="219">
        <v>44466</v>
      </c>
      <c r="L138" s="196"/>
      <c r="M138" s="245" t="s">
        <v>159</v>
      </c>
      <c r="N138" s="196"/>
      <c r="O138" s="196" t="s">
        <v>1430</v>
      </c>
      <c r="P138" s="219">
        <v>44084</v>
      </c>
      <c r="Q138" s="219" t="s">
        <v>1184</v>
      </c>
      <c r="R138" s="196"/>
      <c r="S138" s="233">
        <v>207</v>
      </c>
      <c r="T138" s="247"/>
      <c r="U138" s="196" t="s">
        <v>1646</v>
      </c>
      <c r="V138" s="196" t="s">
        <v>1629</v>
      </c>
      <c r="W138" s="196" t="s">
        <v>1317</v>
      </c>
      <c r="X138" s="141">
        <v>2261.0064000000002</v>
      </c>
      <c r="Y138" s="234">
        <v>41.988329999999998</v>
      </c>
      <c r="Z138" s="234">
        <v>-110.52561</v>
      </c>
      <c r="AA138" s="235" t="s">
        <v>1443</v>
      </c>
      <c r="AB138" s="196" t="s">
        <v>218</v>
      </c>
      <c r="AC138" s="196" t="s">
        <v>1157</v>
      </c>
      <c r="AD138" s="197" t="s">
        <v>875</v>
      </c>
      <c r="AE138" s="196" t="s">
        <v>1456</v>
      </c>
      <c r="AF138" s="213"/>
      <c r="AG138" s="196"/>
      <c r="AH138" s="196"/>
      <c r="AI138" s="233">
        <v>20</v>
      </c>
      <c r="AJ138" s="233">
        <v>20</v>
      </c>
      <c r="AK138" s="196" t="s">
        <v>468</v>
      </c>
      <c r="AL138" s="196" t="s">
        <v>926</v>
      </c>
      <c r="AM138" s="196"/>
      <c r="AN138" s="196" t="s">
        <v>917</v>
      </c>
      <c r="AO138" s="196" t="s">
        <v>780</v>
      </c>
      <c r="AP138" s="196" t="s">
        <v>1165</v>
      </c>
      <c r="AQ138" s="213" t="s">
        <v>586</v>
      </c>
      <c r="AR138" s="111" t="s">
        <v>305</v>
      </c>
      <c r="AS138" s="223"/>
      <c r="AT138" s="223"/>
      <c r="AU138" s="223"/>
      <c r="AV138" s="223">
        <v>1.55E-2</v>
      </c>
      <c r="AW138" s="230"/>
      <c r="AX138" s="217"/>
      <c r="AY138" s="217"/>
      <c r="AZ138" s="217"/>
      <c r="BA138" s="196"/>
      <c r="BB138" s="196"/>
      <c r="BC138" s="196"/>
      <c r="BD138" s="213"/>
      <c r="BE138" s="196" t="s">
        <v>1116</v>
      </c>
      <c r="BF138" s="196" t="s">
        <v>195</v>
      </c>
      <c r="BG138" s="213"/>
      <c r="BH138" s="213"/>
      <c r="BI138" s="197"/>
      <c r="BJ138" s="213"/>
      <c r="BK138" s="196" t="s">
        <v>1116</v>
      </c>
      <c r="BL138" s="196"/>
      <c r="BM138" s="196"/>
      <c r="BN138" s="196"/>
      <c r="BO138" s="196"/>
      <c r="BP138" s="213" t="s">
        <v>1734</v>
      </c>
      <c r="BQ138" s="196"/>
    </row>
    <row r="139" spans="1:69" x14ac:dyDescent="0.25">
      <c r="A139" s="196"/>
      <c r="B139" s="197"/>
      <c r="C139" s="196"/>
      <c r="D139" s="111" t="s">
        <v>305</v>
      </c>
      <c r="E139" s="217">
        <v>59725</v>
      </c>
      <c r="F139" s="210" t="s">
        <v>305</v>
      </c>
      <c r="G139" s="217"/>
      <c r="H139" s="196"/>
      <c r="I139" s="111" t="s">
        <v>12</v>
      </c>
      <c r="J139" s="196" t="s">
        <v>896</v>
      </c>
      <c r="K139" s="219">
        <v>44466</v>
      </c>
      <c r="L139" s="196"/>
      <c r="M139" s="245" t="s">
        <v>159</v>
      </c>
      <c r="N139" s="196"/>
      <c r="O139" s="196" t="s">
        <v>1431</v>
      </c>
      <c r="P139" s="219">
        <v>44089</v>
      </c>
      <c r="Q139" s="219" t="s">
        <v>1184</v>
      </c>
      <c r="R139" s="196"/>
      <c r="S139" s="233">
        <v>461</v>
      </c>
      <c r="T139" s="247"/>
      <c r="U139" s="196" t="s">
        <v>1644</v>
      </c>
      <c r="V139" s="196" t="s">
        <v>1630</v>
      </c>
      <c r="W139" s="196" t="s">
        <v>1311</v>
      </c>
      <c r="X139" s="141">
        <v>2268.3216000000002</v>
      </c>
      <c r="Y139" s="234">
        <v>41.990609999999997</v>
      </c>
      <c r="Z139" s="234">
        <v>-110.52633</v>
      </c>
      <c r="AA139" s="235" t="s">
        <v>1443</v>
      </c>
      <c r="AB139" s="196" t="s">
        <v>218</v>
      </c>
      <c r="AC139" s="196" t="s">
        <v>1157</v>
      </c>
      <c r="AD139" s="197" t="s">
        <v>875</v>
      </c>
      <c r="AE139" s="196" t="s">
        <v>1456</v>
      </c>
      <c r="AF139" s="213"/>
      <c r="AG139" s="196"/>
      <c r="AH139" s="196"/>
      <c r="AI139" s="233">
        <v>15</v>
      </c>
      <c r="AJ139" s="233">
        <v>15</v>
      </c>
      <c r="AK139" s="196" t="s">
        <v>468</v>
      </c>
      <c r="AL139" s="196" t="s">
        <v>926</v>
      </c>
      <c r="AM139" s="196"/>
      <c r="AN139" s="196" t="s">
        <v>917</v>
      </c>
      <c r="AO139" s="196" t="s">
        <v>780</v>
      </c>
      <c r="AP139" s="196" t="s">
        <v>1165</v>
      </c>
      <c r="AQ139" s="213" t="s">
        <v>586</v>
      </c>
      <c r="AR139" s="111" t="s">
        <v>305</v>
      </c>
      <c r="AS139" s="223"/>
      <c r="AT139" s="223"/>
      <c r="AU139" s="223"/>
      <c r="AV139" s="223">
        <v>1.0200000000000001E-2</v>
      </c>
      <c r="AW139" s="230"/>
      <c r="AX139" s="217"/>
      <c r="AY139" s="217"/>
      <c r="AZ139" s="217"/>
      <c r="BA139" s="196"/>
      <c r="BB139" s="196"/>
      <c r="BC139" s="196"/>
      <c r="BD139" s="213"/>
      <c r="BE139" s="196" t="s">
        <v>1117</v>
      </c>
      <c r="BF139" s="196" t="s">
        <v>195</v>
      </c>
      <c r="BG139" s="213"/>
      <c r="BH139" s="213"/>
      <c r="BI139" s="197"/>
      <c r="BJ139" s="213"/>
      <c r="BK139" s="196" t="s">
        <v>1117</v>
      </c>
      <c r="BL139" s="196"/>
      <c r="BM139" s="196"/>
      <c r="BN139" s="196"/>
      <c r="BO139" s="196"/>
      <c r="BP139" s="213" t="s">
        <v>1734</v>
      </c>
      <c r="BQ139" s="196"/>
    </row>
    <row r="140" spans="1:69" x14ac:dyDescent="0.25">
      <c r="A140" s="196"/>
      <c r="B140" s="196"/>
      <c r="C140" s="196"/>
      <c r="D140" s="111" t="s">
        <v>305</v>
      </c>
      <c r="E140" s="217">
        <v>59726</v>
      </c>
      <c r="F140" s="210" t="s">
        <v>305</v>
      </c>
      <c r="G140" s="217"/>
      <c r="H140" s="196"/>
      <c r="I140" s="111" t="s">
        <v>12</v>
      </c>
      <c r="J140" s="196" t="s">
        <v>896</v>
      </c>
      <c r="K140" s="219">
        <v>44466</v>
      </c>
      <c r="L140" s="196"/>
      <c r="M140" s="245" t="s">
        <v>159</v>
      </c>
      <c r="N140" s="196"/>
      <c r="O140" s="196" t="s">
        <v>1431</v>
      </c>
      <c r="P140" s="219">
        <v>44091</v>
      </c>
      <c r="Q140" s="219" t="s">
        <v>1184</v>
      </c>
      <c r="R140" s="196"/>
      <c r="S140" s="233">
        <v>629</v>
      </c>
      <c r="T140" s="247"/>
      <c r="U140" s="196" t="s">
        <v>1644</v>
      </c>
      <c r="V140" s="196" t="s">
        <v>1631</v>
      </c>
      <c r="W140" s="196" t="s">
        <v>1318</v>
      </c>
      <c r="X140" s="141">
        <v>2058.924</v>
      </c>
      <c r="Y140" s="234">
        <v>42.239330000000002</v>
      </c>
      <c r="Z140" s="234">
        <v>-110.85616</v>
      </c>
      <c r="AA140" s="235" t="s">
        <v>1443</v>
      </c>
      <c r="AB140" s="196" t="s">
        <v>218</v>
      </c>
      <c r="AC140" s="196" t="s">
        <v>1157</v>
      </c>
      <c r="AD140" s="197" t="s">
        <v>875</v>
      </c>
      <c r="AE140" s="196" t="s">
        <v>1456</v>
      </c>
      <c r="AF140" s="213"/>
      <c r="AG140" s="196"/>
      <c r="AH140" s="196"/>
      <c r="AI140" s="233">
        <v>15</v>
      </c>
      <c r="AJ140" s="233">
        <v>15</v>
      </c>
      <c r="AK140" s="196" t="s">
        <v>466</v>
      </c>
      <c r="AL140" s="196" t="s">
        <v>1365</v>
      </c>
      <c r="AM140" s="196"/>
      <c r="AN140" s="196" t="s">
        <v>457</v>
      </c>
      <c r="AO140" s="196" t="s">
        <v>780</v>
      </c>
      <c r="AP140" s="196" t="s">
        <v>1165</v>
      </c>
      <c r="AQ140" s="213" t="s">
        <v>586</v>
      </c>
      <c r="AR140" s="111" t="s">
        <v>305</v>
      </c>
      <c r="AS140" s="223"/>
      <c r="AT140" s="223"/>
      <c r="AU140" s="223"/>
      <c r="AV140" s="223">
        <v>1.01E-2</v>
      </c>
      <c r="AW140" s="230"/>
      <c r="AX140" s="217"/>
      <c r="AY140" s="217"/>
      <c r="AZ140" s="217"/>
      <c r="BA140" s="196"/>
      <c r="BB140" s="196"/>
      <c r="BC140" s="196"/>
      <c r="BD140" s="213"/>
      <c r="BE140" s="196" t="s">
        <v>1118</v>
      </c>
      <c r="BF140" s="196" t="s">
        <v>195</v>
      </c>
      <c r="BG140" s="213"/>
      <c r="BH140" s="213"/>
      <c r="BI140" s="197"/>
      <c r="BJ140" s="213"/>
      <c r="BK140" s="196" t="s">
        <v>1118</v>
      </c>
      <c r="BL140" s="196"/>
      <c r="BM140" s="196"/>
      <c r="BN140" s="196"/>
      <c r="BO140" s="196"/>
      <c r="BP140" s="213" t="s">
        <v>1735</v>
      </c>
      <c r="BQ140" s="196"/>
    </row>
    <row r="141" spans="1:69" x14ac:dyDescent="0.25">
      <c r="A141" s="196"/>
      <c r="B141" s="196"/>
      <c r="C141" s="196"/>
      <c r="D141" s="111" t="s">
        <v>305</v>
      </c>
      <c r="E141" s="217">
        <v>59727</v>
      </c>
      <c r="F141" s="210" t="s">
        <v>305</v>
      </c>
      <c r="G141" s="217"/>
      <c r="H141" s="196"/>
      <c r="I141" s="111" t="s">
        <v>12</v>
      </c>
      <c r="J141" s="196" t="s">
        <v>955</v>
      </c>
      <c r="K141" s="219">
        <v>44466</v>
      </c>
      <c r="L141" s="196"/>
      <c r="M141" s="245" t="s">
        <v>159</v>
      </c>
      <c r="N141" s="196"/>
      <c r="O141" s="196" t="s">
        <v>1432</v>
      </c>
      <c r="P141" s="219">
        <v>44091</v>
      </c>
      <c r="Q141" s="219" t="s">
        <v>1184</v>
      </c>
      <c r="R141" s="196"/>
      <c r="S141" s="233">
        <v>532</v>
      </c>
      <c r="T141" s="247"/>
      <c r="U141" s="196" t="s">
        <v>1644</v>
      </c>
      <c r="V141" s="196" t="s">
        <v>1632</v>
      </c>
      <c r="W141" s="196" t="s">
        <v>1318</v>
      </c>
      <c r="X141" s="141">
        <v>2058.924</v>
      </c>
      <c r="Y141" s="234">
        <v>42.239359999999998</v>
      </c>
      <c r="Z141" s="234">
        <v>-110.85605</v>
      </c>
      <c r="AA141" s="235" t="s">
        <v>1443</v>
      </c>
      <c r="AB141" s="196" t="s">
        <v>218</v>
      </c>
      <c r="AC141" s="196" t="s">
        <v>1157</v>
      </c>
      <c r="AD141" s="197" t="s">
        <v>875</v>
      </c>
      <c r="AE141" s="196" t="s">
        <v>1456</v>
      </c>
      <c r="AF141" s="213"/>
      <c r="AG141" s="196"/>
      <c r="AH141" s="196"/>
      <c r="AI141" s="233"/>
      <c r="AJ141" s="233"/>
      <c r="AK141" s="196" t="s">
        <v>466</v>
      </c>
      <c r="AL141" s="196" t="s">
        <v>1365</v>
      </c>
      <c r="AM141" s="196"/>
      <c r="AN141" s="196" t="s">
        <v>457</v>
      </c>
      <c r="AO141" s="196" t="s">
        <v>780</v>
      </c>
      <c r="AP141" s="196" t="s">
        <v>1165</v>
      </c>
      <c r="AQ141" s="213" t="s">
        <v>586</v>
      </c>
      <c r="AR141" s="111" t="s">
        <v>305</v>
      </c>
      <c r="AS141" s="223"/>
      <c r="AT141" s="223"/>
      <c r="AU141" s="223"/>
      <c r="AV141" s="223">
        <v>1.95E-2</v>
      </c>
      <c r="AW141" s="230"/>
      <c r="AX141" s="217"/>
      <c r="AY141" s="217"/>
      <c r="AZ141" s="217"/>
      <c r="BA141" s="196"/>
      <c r="BB141" s="196"/>
      <c r="BC141" s="196"/>
      <c r="BD141" s="213"/>
      <c r="BE141" s="196" t="s">
        <v>1119</v>
      </c>
      <c r="BF141" s="196" t="s">
        <v>195</v>
      </c>
      <c r="BG141" s="213"/>
      <c r="BH141" s="213"/>
      <c r="BI141" s="197"/>
      <c r="BJ141" s="213"/>
      <c r="BK141" s="196" t="s">
        <v>1119</v>
      </c>
      <c r="BL141" s="196"/>
      <c r="BM141" s="196"/>
      <c r="BN141" s="196"/>
      <c r="BO141" s="196"/>
      <c r="BP141" s="213" t="s">
        <v>1735</v>
      </c>
      <c r="BQ141" s="196"/>
    </row>
    <row r="142" spans="1:69" x14ac:dyDescent="0.25">
      <c r="A142" s="196"/>
      <c r="B142" s="196"/>
      <c r="C142" s="196"/>
      <c r="D142" s="111" t="s">
        <v>305</v>
      </c>
      <c r="E142" s="217">
        <v>59728</v>
      </c>
      <c r="F142" s="210" t="s">
        <v>305</v>
      </c>
      <c r="G142" s="217"/>
      <c r="H142" s="196"/>
      <c r="I142" s="111" t="s">
        <v>12</v>
      </c>
      <c r="J142" s="196" t="s">
        <v>955</v>
      </c>
      <c r="K142" s="219">
        <v>44466</v>
      </c>
      <c r="L142" s="196"/>
      <c r="M142" s="245" t="s">
        <v>159</v>
      </c>
      <c r="N142" s="196"/>
      <c r="O142" s="196" t="s">
        <v>1432</v>
      </c>
      <c r="P142" s="219">
        <v>44095</v>
      </c>
      <c r="Q142" s="219" t="s">
        <v>1184</v>
      </c>
      <c r="R142" s="196"/>
      <c r="S142" s="233">
        <v>1223</v>
      </c>
      <c r="T142" s="247"/>
      <c r="U142" s="196" t="s">
        <v>1646</v>
      </c>
      <c r="V142" s="196" t="s">
        <v>1633</v>
      </c>
      <c r="W142" s="196" t="s">
        <v>1315</v>
      </c>
      <c r="X142" s="141">
        <v>1982.7240000000002</v>
      </c>
      <c r="Y142" s="234">
        <v>41.843359999999997</v>
      </c>
      <c r="Z142" s="234">
        <v>-110.90519</v>
      </c>
      <c r="AA142" s="235" t="s">
        <v>1443</v>
      </c>
      <c r="AB142" s="196" t="s">
        <v>218</v>
      </c>
      <c r="AC142" s="196" t="s">
        <v>1156</v>
      </c>
      <c r="AD142" s="197" t="s">
        <v>875</v>
      </c>
      <c r="AE142" s="196" t="s">
        <v>1456</v>
      </c>
      <c r="AF142" s="213"/>
      <c r="AG142" s="196"/>
      <c r="AH142" s="196"/>
      <c r="AI142" s="233">
        <v>0</v>
      </c>
      <c r="AJ142" s="233">
        <v>0</v>
      </c>
      <c r="AK142" s="196"/>
      <c r="AL142" s="196"/>
      <c r="AM142" s="196"/>
      <c r="AN142" s="196" t="s">
        <v>441</v>
      </c>
      <c r="AO142" s="196" t="s">
        <v>780</v>
      </c>
      <c r="AP142" s="196" t="s">
        <v>1165</v>
      </c>
      <c r="AQ142" s="213" t="s">
        <v>586</v>
      </c>
      <c r="AR142" s="111" t="s">
        <v>305</v>
      </c>
      <c r="AS142" s="223"/>
      <c r="AT142" s="223"/>
      <c r="AU142" s="223"/>
      <c r="AV142" s="223">
        <v>1.8499999999999999E-2</v>
      </c>
      <c r="AW142" s="230"/>
      <c r="AX142" s="217"/>
      <c r="AY142" s="217"/>
      <c r="AZ142" s="217"/>
      <c r="BA142" s="196"/>
      <c r="BB142" s="196"/>
      <c r="BC142" s="196"/>
      <c r="BD142" s="213"/>
      <c r="BE142" s="196" t="s">
        <v>1120</v>
      </c>
      <c r="BF142" s="196" t="s">
        <v>195</v>
      </c>
      <c r="BG142" s="213"/>
      <c r="BH142" s="213"/>
      <c r="BI142" s="197"/>
      <c r="BJ142" s="213"/>
      <c r="BK142" s="196" t="s">
        <v>1120</v>
      </c>
      <c r="BL142" s="196"/>
      <c r="BM142" s="196"/>
      <c r="BN142" s="196"/>
      <c r="BO142" s="196"/>
      <c r="BP142" s="213" t="s">
        <v>1736</v>
      </c>
      <c r="BQ142" s="196"/>
    </row>
    <row r="143" spans="1:69" x14ac:dyDescent="0.25">
      <c r="A143" s="196"/>
      <c r="B143" s="197"/>
      <c r="C143" s="196"/>
      <c r="D143" s="111" t="s">
        <v>305</v>
      </c>
      <c r="E143" s="217">
        <v>59729</v>
      </c>
      <c r="F143" s="210" t="s">
        <v>305</v>
      </c>
      <c r="G143" s="217"/>
      <c r="H143" s="196"/>
      <c r="I143" s="111" t="s">
        <v>12</v>
      </c>
      <c r="J143" s="196" t="s">
        <v>896</v>
      </c>
      <c r="K143" s="219">
        <v>44466</v>
      </c>
      <c r="L143" s="196"/>
      <c r="M143" s="245" t="s">
        <v>159</v>
      </c>
      <c r="N143" s="196"/>
      <c r="O143" s="196" t="s">
        <v>1431</v>
      </c>
      <c r="P143" s="219">
        <v>44097</v>
      </c>
      <c r="Q143" s="219" t="s">
        <v>1184</v>
      </c>
      <c r="R143" s="196"/>
      <c r="S143" s="233">
        <v>796</v>
      </c>
      <c r="T143" s="247"/>
      <c r="U143" s="196" t="s">
        <v>1644</v>
      </c>
      <c r="V143" s="196" t="s">
        <v>1634</v>
      </c>
      <c r="W143" s="196" t="s">
        <v>1315</v>
      </c>
      <c r="X143" s="141">
        <v>2234.1840000000002</v>
      </c>
      <c r="Y143" s="234">
        <v>41.862409999999997</v>
      </c>
      <c r="Z143" s="234">
        <v>-110.88722</v>
      </c>
      <c r="AA143" s="235" t="s">
        <v>1443</v>
      </c>
      <c r="AB143" s="196" t="s">
        <v>218</v>
      </c>
      <c r="AC143" s="196" t="s">
        <v>1156</v>
      </c>
      <c r="AD143" s="197" t="s">
        <v>875</v>
      </c>
      <c r="AE143" s="196" t="s">
        <v>1456</v>
      </c>
      <c r="AF143" s="213"/>
      <c r="AG143" s="196"/>
      <c r="AH143" s="196"/>
      <c r="AI143" s="233">
        <v>3.5</v>
      </c>
      <c r="AJ143" s="233" t="s">
        <v>933</v>
      </c>
      <c r="AK143" s="196" t="s">
        <v>470</v>
      </c>
      <c r="AL143" s="196" t="s">
        <v>1369</v>
      </c>
      <c r="AM143" s="196"/>
      <c r="AN143" s="196" t="s">
        <v>452</v>
      </c>
      <c r="AO143" s="196" t="s">
        <v>780</v>
      </c>
      <c r="AP143" s="196" t="s">
        <v>1165</v>
      </c>
      <c r="AQ143" s="213" t="s">
        <v>586</v>
      </c>
      <c r="AR143" s="111" t="s">
        <v>305</v>
      </c>
      <c r="AS143" s="223"/>
      <c r="AT143" s="223"/>
      <c r="AU143" s="223"/>
      <c r="AV143" s="223">
        <v>1.21E-2</v>
      </c>
      <c r="AW143" s="230"/>
      <c r="AX143" s="217"/>
      <c r="AY143" s="217"/>
      <c r="AZ143" s="217"/>
      <c r="BA143" s="196"/>
      <c r="BB143" s="196"/>
      <c r="BC143" s="196"/>
      <c r="BD143" s="213"/>
      <c r="BE143" s="196" t="s">
        <v>1121</v>
      </c>
      <c r="BF143" s="196" t="s">
        <v>195</v>
      </c>
      <c r="BG143" s="213"/>
      <c r="BH143" s="213"/>
      <c r="BI143" s="197"/>
      <c r="BJ143" s="213"/>
      <c r="BK143" s="196" t="s">
        <v>1121</v>
      </c>
      <c r="BL143" s="196"/>
      <c r="BM143" s="196"/>
      <c r="BN143" s="196"/>
      <c r="BO143" s="196"/>
      <c r="BP143" s="213" t="s">
        <v>1737</v>
      </c>
      <c r="BQ143" s="196"/>
    </row>
    <row r="144" spans="1:69" x14ac:dyDescent="0.25">
      <c r="A144" s="196"/>
      <c r="B144" s="196"/>
      <c r="C144" s="196"/>
      <c r="D144" s="111" t="s">
        <v>305</v>
      </c>
      <c r="E144" s="217">
        <v>59730</v>
      </c>
      <c r="F144" s="210" t="s">
        <v>305</v>
      </c>
      <c r="G144" s="217"/>
      <c r="H144" s="196"/>
      <c r="I144" s="111" t="s">
        <v>12</v>
      </c>
      <c r="J144" s="196" t="s">
        <v>955</v>
      </c>
      <c r="K144" s="219">
        <v>44466</v>
      </c>
      <c r="L144" s="196"/>
      <c r="M144" s="245" t="s">
        <v>159</v>
      </c>
      <c r="N144" s="196"/>
      <c r="O144" s="196" t="s">
        <v>1433</v>
      </c>
      <c r="P144" s="219">
        <v>44098</v>
      </c>
      <c r="Q144" s="219" t="s">
        <v>1184</v>
      </c>
      <c r="R144" s="196"/>
      <c r="S144" s="233">
        <v>550</v>
      </c>
      <c r="T144" s="247"/>
      <c r="U144" s="196" t="s">
        <v>1644</v>
      </c>
      <c r="V144" s="196" t="s">
        <v>1635</v>
      </c>
      <c r="W144" s="196" t="s">
        <v>1319</v>
      </c>
      <c r="X144" s="141">
        <v>2199.4367999999999</v>
      </c>
      <c r="Y144" s="234">
        <v>41.853050000000003</v>
      </c>
      <c r="Z144" s="234">
        <v>-110.80336</v>
      </c>
      <c r="AA144" s="235" t="s">
        <v>1443</v>
      </c>
      <c r="AB144" s="196" t="s">
        <v>218</v>
      </c>
      <c r="AC144" s="196" t="s">
        <v>1156</v>
      </c>
      <c r="AD144" s="197" t="s">
        <v>875</v>
      </c>
      <c r="AE144" s="196" t="s">
        <v>1456</v>
      </c>
      <c r="AF144" s="213"/>
      <c r="AG144" s="196"/>
      <c r="AH144" s="196"/>
      <c r="AI144" s="233">
        <v>9</v>
      </c>
      <c r="AJ144" s="233">
        <v>9</v>
      </c>
      <c r="AK144" s="196" t="s">
        <v>468</v>
      </c>
      <c r="AL144" s="196" t="s">
        <v>926</v>
      </c>
      <c r="AM144" s="196"/>
      <c r="AN144" s="196" t="s">
        <v>452</v>
      </c>
      <c r="AO144" s="196" t="s">
        <v>780</v>
      </c>
      <c r="AP144" s="196" t="s">
        <v>1165</v>
      </c>
      <c r="AQ144" s="213" t="s">
        <v>586</v>
      </c>
      <c r="AR144" s="111" t="s">
        <v>305</v>
      </c>
      <c r="AS144" s="223"/>
      <c r="AT144" s="223"/>
      <c r="AU144" s="223"/>
      <c r="AV144" s="223">
        <v>1.6899999999999998E-2</v>
      </c>
      <c r="AW144" s="230"/>
      <c r="AX144" s="217"/>
      <c r="AY144" s="217"/>
      <c r="AZ144" s="217"/>
      <c r="BA144" s="196"/>
      <c r="BB144" s="196"/>
      <c r="BC144" s="196"/>
      <c r="BD144" s="213"/>
      <c r="BE144" s="196" t="s">
        <v>1122</v>
      </c>
      <c r="BF144" s="196" t="s">
        <v>195</v>
      </c>
      <c r="BG144" s="213"/>
      <c r="BH144" s="213"/>
      <c r="BI144" s="197"/>
      <c r="BJ144" s="213"/>
      <c r="BK144" s="196" t="s">
        <v>1122</v>
      </c>
      <c r="BL144" s="196"/>
      <c r="BM144" s="196"/>
      <c r="BN144" s="196"/>
      <c r="BO144" s="196"/>
      <c r="BP144" s="213" t="s">
        <v>1738</v>
      </c>
      <c r="BQ144" s="196"/>
    </row>
    <row r="145" spans="1:69" x14ac:dyDescent="0.25">
      <c r="A145" s="196"/>
      <c r="B145" s="197">
        <v>144</v>
      </c>
      <c r="C145" s="196" t="str">
        <f>IFERROR(LEFT(Master[[#This Row],[Taxon -Lookup Picker in GRIN]],FIND(" ",Master[[#This Row],[Taxon -Lookup Picker in GRIN]],1)-1),"")</f>
        <v>Achillea</v>
      </c>
      <c r="D145" s="111" t="s">
        <v>305</v>
      </c>
      <c r="E145" s="217">
        <v>59731</v>
      </c>
      <c r="F145" s="210" t="s">
        <v>305</v>
      </c>
      <c r="G145" s="217"/>
      <c r="H145" s="196"/>
      <c r="I145" s="111" t="s">
        <v>12</v>
      </c>
      <c r="J145" s="196" t="s">
        <v>896</v>
      </c>
      <c r="K145" s="219">
        <v>44466</v>
      </c>
      <c r="L145" s="196"/>
      <c r="M145" s="245" t="s">
        <v>159</v>
      </c>
      <c r="N145" s="196"/>
      <c r="O145" s="196" t="s">
        <v>1434</v>
      </c>
      <c r="P145" s="219">
        <v>44105</v>
      </c>
      <c r="Q145" s="219" t="s">
        <v>1184</v>
      </c>
      <c r="R145" s="196"/>
      <c r="S145" s="233">
        <v>796</v>
      </c>
      <c r="T145" s="247"/>
      <c r="U145" s="196" t="s">
        <v>1644</v>
      </c>
      <c r="V145" s="196" t="s">
        <v>1636</v>
      </c>
      <c r="W145" s="196" t="s">
        <v>1320</v>
      </c>
      <c r="X145" s="141">
        <v>2202.4848000000002</v>
      </c>
      <c r="Y145" s="234">
        <v>41.855359999999997</v>
      </c>
      <c r="Z145" s="234">
        <v>-110.80172</v>
      </c>
      <c r="AA145" s="235" t="s">
        <v>1443</v>
      </c>
      <c r="AB145" s="196" t="s">
        <v>218</v>
      </c>
      <c r="AC145" s="196" t="s">
        <v>1156</v>
      </c>
      <c r="AD145" s="197" t="s">
        <v>875</v>
      </c>
      <c r="AE145" s="196" t="s">
        <v>1456</v>
      </c>
      <c r="AF145" s="213"/>
      <c r="AG145" s="196"/>
      <c r="AH145" s="196"/>
      <c r="AI145" s="233">
        <v>4</v>
      </c>
      <c r="AJ145" s="233">
        <v>4</v>
      </c>
      <c r="AK145" s="196" t="s">
        <v>468</v>
      </c>
      <c r="AL145" s="196" t="s">
        <v>926</v>
      </c>
      <c r="AM145" s="196"/>
      <c r="AN145" s="196" t="s">
        <v>452</v>
      </c>
      <c r="AO145" s="196" t="s">
        <v>780</v>
      </c>
      <c r="AP145" s="196" t="s">
        <v>1165</v>
      </c>
      <c r="AQ145" s="213" t="s">
        <v>586</v>
      </c>
      <c r="AR145" s="111" t="s">
        <v>305</v>
      </c>
      <c r="AS145" s="223"/>
      <c r="AT145" s="223"/>
      <c r="AU145" s="223"/>
      <c r="AV145" s="223">
        <v>1.0699999999999999E-2</v>
      </c>
      <c r="AW145" s="230"/>
      <c r="AX145" s="217"/>
      <c r="AY145" s="217"/>
      <c r="AZ145" s="217"/>
      <c r="BA145" s="196"/>
      <c r="BB145" s="196"/>
      <c r="BC145" s="196"/>
      <c r="BD145" s="213"/>
      <c r="BE145" s="196" t="s">
        <v>1123</v>
      </c>
      <c r="BF145" s="196" t="s">
        <v>195</v>
      </c>
      <c r="BG145" s="213"/>
      <c r="BH145" s="213"/>
      <c r="BI145" s="197"/>
      <c r="BJ145" s="213"/>
      <c r="BK145" s="196" t="s">
        <v>1123</v>
      </c>
      <c r="BL145" s="196"/>
      <c r="BM145" s="196"/>
      <c r="BN145" s="196"/>
      <c r="BO145" s="196"/>
      <c r="BP145" s="213" t="s">
        <v>1738</v>
      </c>
      <c r="BQ145" s="196"/>
    </row>
    <row r="146" spans="1:69" x14ac:dyDescent="0.25">
      <c r="A146" s="196"/>
      <c r="B146" s="196">
        <v>145</v>
      </c>
      <c r="C146" s="196" t="str">
        <f>IFERROR(LEFT(Master[[#This Row],[Taxon -Lookup Picker in GRIN]],FIND(" ",Master[[#This Row],[Taxon -Lookup Picker in GRIN]],1)-1),"")</f>
        <v>Achillea</v>
      </c>
      <c r="D146" s="111" t="s">
        <v>305</v>
      </c>
      <c r="E146" s="217">
        <v>59732</v>
      </c>
      <c r="F146" s="210" t="s">
        <v>305</v>
      </c>
      <c r="G146" s="217"/>
      <c r="H146" s="196"/>
      <c r="I146" s="111" t="s">
        <v>12</v>
      </c>
      <c r="J146" s="196" t="s">
        <v>896</v>
      </c>
      <c r="K146" s="219">
        <v>44466</v>
      </c>
      <c r="L146" s="196"/>
      <c r="M146" s="245" t="s">
        <v>159</v>
      </c>
      <c r="N146" s="196"/>
      <c r="O146" s="196" t="s">
        <v>1435</v>
      </c>
      <c r="P146" s="219">
        <v>44106</v>
      </c>
      <c r="Q146" s="219" t="s">
        <v>1184</v>
      </c>
      <c r="R146" s="196"/>
      <c r="S146" s="233">
        <v>238</v>
      </c>
      <c r="T146" s="247"/>
      <c r="U146" s="196" t="s">
        <v>1644</v>
      </c>
      <c r="V146" s="196" t="s">
        <v>1637</v>
      </c>
      <c r="W146" s="196" t="s">
        <v>1321</v>
      </c>
      <c r="X146" s="141">
        <v>2093.3663999999999</v>
      </c>
      <c r="Y146" s="234">
        <v>42.108440000000002</v>
      </c>
      <c r="Z146" s="234">
        <v>-110.82561</v>
      </c>
      <c r="AA146" s="235" t="s">
        <v>1443</v>
      </c>
      <c r="AB146" s="196" t="s">
        <v>218</v>
      </c>
      <c r="AC146" s="196" t="s">
        <v>1156</v>
      </c>
      <c r="AD146" s="197" t="s">
        <v>875</v>
      </c>
      <c r="AE146" s="196" t="s">
        <v>1456</v>
      </c>
      <c r="AF146" s="213"/>
      <c r="AG146" s="196"/>
      <c r="AH146" s="196"/>
      <c r="AI146" s="233">
        <v>0</v>
      </c>
      <c r="AJ146" s="233">
        <v>0</v>
      </c>
      <c r="AK146" s="196"/>
      <c r="AL146" s="196"/>
      <c r="AM146" s="196"/>
      <c r="AN146" s="196" t="s">
        <v>912</v>
      </c>
      <c r="AO146" s="196" t="s">
        <v>780</v>
      </c>
      <c r="AP146" s="196" t="s">
        <v>1165</v>
      </c>
      <c r="AQ146" s="213" t="s">
        <v>586</v>
      </c>
      <c r="AR146" s="111" t="s">
        <v>305</v>
      </c>
      <c r="AS146" s="223"/>
      <c r="AT146" s="223"/>
      <c r="AU146" s="223"/>
      <c r="AV146" s="223">
        <v>1.15E-2</v>
      </c>
      <c r="AW146" s="230"/>
      <c r="AX146" s="217"/>
      <c r="AY146" s="217"/>
      <c r="AZ146" s="217"/>
      <c r="BA146" s="196"/>
      <c r="BB146" s="196"/>
      <c r="BC146" s="196"/>
      <c r="BD146" s="213"/>
      <c r="BE146" s="196" t="s">
        <v>1124</v>
      </c>
      <c r="BF146" s="196" t="s">
        <v>195</v>
      </c>
      <c r="BG146" s="213"/>
      <c r="BH146" s="213"/>
      <c r="BI146" s="197"/>
      <c r="BJ146" s="213"/>
      <c r="BK146" s="196" t="s">
        <v>1124</v>
      </c>
      <c r="BL146" s="196"/>
      <c r="BM146" s="196"/>
      <c r="BN146" s="196"/>
      <c r="BO146" s="196"/>
      <c r="BP146" s="213" t="s">
        <v>1739</v>
      </c>
      <c r="BQ146" s="196"/>
    </row>
    <row r="147" spans="1:69" x14ac:dyDescent="0.25">
      <c r="A147" s="196"/>
      <c r="B147" s="196">
        <v>146</v>
      </c>
      <c r="C147" s="196" t="str">
        <f>IFERROR(LEFT(Master[[#This Row],[Taxon -Lookup Picker in GRIN]],FIND(" ",Master[[#This Row],[Taxon -Lookup Picker in GRIN]],1)-1),"")</f>
        <v>Penstemon</v>
      </c>
      <c r="D147" s="111" t="s">
        <v>305</v>
      </c>
      <c r="E147" s="217">
        <v>59733</v>
      </c>
      <c r="F147" s="210" t="s">
        <v>305</v>
      </c>
      <c r="G147" s="217"/>
      <c r="H147" s="196"/>
      <c r="I147" s="111" t="s">
        <v>12</v>
      </c>
      <c r="J147" s="196" t="s">
        <v>981</v>
      </c>
      <c r="K147" s="219">
        <v>44466</v>
      </c>
      <c r="L147" s="196"/>
      <c r="M147" s="245" t="s">
        <v>159</v>
      </c>
      <c r="N147" s="196"/>
      <c r="O147" s="196" t="s">
        <v>1436</v>
      </c>
      <c r="P147" s="219">
        <v>44109</v>
      </c>
      <c r="Q147" s="219" t="s">
        <v>1184</v>
      </c>
      <c r="R147" s="196"/>
      <c r="S147" s="233">
        <v>203</v>
      </c>
      <c r="T147" s="247"/>
      <c r="U147" s="196" t="s">
        <v>1644</v>
      </c>
      <c r="V147" s="196" t="s">
        <v>1638</v>
      </c>
      <c r="W147" s="196" t="s">
        <v>1321</v>
      </c>
      <c r="X147" s="141">
        <v>2093.3663999999999</v>
      </c>
      <c r="Y147" s="234">
        <v>42.108440000000002</v>
      </c>
      <c r="Z147" s="234">
        <v>-110.82561</v>
      </c>
      <c r="AA147" s="235" t="s">
        <v>1443</v>
      </c>
      <c r="AB147" s="196" t="s">
        <v>218</v>
      </c>
      <c r="AC147" s="196" t="s">
        <v>1156</v>
      </c>
      <c r="AD147" s="197" t="s">
        <v>875</v>
      </c>
      <c r="AE147" s="196" t="s">
        <v>1456</v>
      </c>
      <c r="AF147" s="213"/>
      <c r="AG147" s="196"/>
      <c r="AH147" s="196"/>
      <c r="AI147" s="233">
        <v>9</v>
      </c>
      <c r="AJ147" s="233">
        <v>9</v>
      </c>
      <c r="AK147" s="196" t="s">
        <v>466</v>
      </c>
      <c r="AL147" s="196" t="s">
        <v>924</v>
      </c>
      <c r="AM147" s="196"/>
      <c r="AN147" s="196" t="s">
        <v>452</v>
      </c>
      <c r="AO147" s="196" t="s">
        <v>780</v>
      </c>
      <c r="AP147" s="196" t="s">
        <v>1165</v>
      </c>
      <c r="AQ147" s="213" t="s">
        <v>586</v>
      </c>
      <c r="AR147" s="111" t="s">
        <v>305</v>
      </c>
      <c r="AS147" s="223"/>
      <c r="AT147" s="223"/>
      <c r="AU147" s="223"/>
      <c r="AV147" s="223">
        <v>1.4500000000000001E-2</v>
      </c>
      <c r="AW147" s="230"/>
      <c r="AX147" s="217"/>
      <c r="AY147" s="217"/>
      <c r="AZ147" s="217"/>
      <c r="BA147" s="196"/>
      <c r="BB147" s="196"/>
      <c r="BC147" s="196"/>
      <c r="BD147" s="213"/>
      <c r="BE147" s="196" t="s">
        <v>1125</v>
      </c>
      <c r="BF147" s="196" t="s">
        <v>195</v>
      </c>
      <c r="BG147" s="213"/>
      <c r="BH147" s="213"/>
      <c r="BI147" s="197"/>
      <c r="BJ147" s="213"/>
      <c r="BK147" s="196" t="s">
        <v>1125</v>
      </c>
      <c r="BL147" s="196"/>
      <c r="BM147" s="196"/>
      <c r="BN147" s="196"/>
      <c r="BO147" s="196"/>
      <c r="BP147" s="213" t="s">
        <v>1740</v>
      </c>
      <c r="BQ147" s="196"/>
    </row>
    <row r="148" spans="1:69" x14ac:dyDescent="0.25">
      <c r="A148" s="196"/>
      <c r="B148" s="196">
        <v>147</v>
      </c>
      <c r="C148" s="196" t="str">
        <f>IFERROR(LEFT(Master[[#This Row],[Taxon -Lookup Picker in GRIN]],FIND(" ",Master[[#This Row],[Taxon -Lookup Picker in GRIN]],1)-1),"")</f>
        <v>Eriogonum</v>
      </c>
      <c r="D148" s="111" t="s">
        <v>305</v>
      </c>
      <c r="E148" s="217">
        <v>59734</v>
      </c>
      <c r="F148" s="210" t="s">
        <v>305</v>
      </c>
      <c r="G148" s="217"/>
      <c r="H148" s="196"/>
      <c r="I148" s="111" t="s">
        <v>12</v>
      </c>
      <c r="J148" s="196" t="s">
        <v>898</v>
      </c>
      <c r="K148" s="219">
        <v>44466</v>
      </c>
      <c r="L148" s="196"/>
      <c r="M148" s="245" t="s">
        <v>159</v>
      </c>
      <c r="N148" s="196"/>
      <c r="O148" s="196" t="s">
        <v>1437</v>
      </c>
      <c r="P148" s="219">
        <v>44109</v>
      </c>
      <c r="Q148" s="219" t="s">
        <v>1184</v>
      </c>
      <c r="R148" s="196"/>
      <c r="S148" s="233">
        <v>261</v>
      </c>
      <c r="T148" s="247"/>
      <c r="U148" s="196"/>
      <c r="V148" s="196" t="s">
        <v>1639</v>
      </c>
      <c r="W148" s="196" t="s">
        <v>1321</v>
      </c>
      <c r="X148" s="141">
        <v>2098.8528000000001</v>
      </c>
      <c r="Y148" s="234">
        <v>42.108440000000002</v>
      </c>
      <c r="Z148" s="234">
        <v>-110.82561</v>
      </c>
      <c r="AA148" s="235" t="s">
        <v>1443</v>
      </c>
      <c r="AB148" s="196" t="s">
        <v>218</v>
      </c>
      <c r="AC148" s="196" t="s">
        <v>1157</v>
      </c>
      <c r="AD148" s="197" t="s">
        <v>875</v>
      </c>
      <c r="AE148" s="196" t="s">
        <v>1456</v>
      </c>
      <c r="AF148" s="213"/>
      <c r="AG148" s="196"/>
      <c r="AH148" s="196"/>
      <c r="AI148" s="233">
        <v>15</v>
      </c>
      <c r="AJ148" s="233" t="s">
        <v>934</v>
      </c>
      <c r="AK148" s="196" t="s">
        <v>466</v>
      </c>
      <c r="AL148" s="196" t="s">
        <v>924</v>
      </c>
      <c r="AM148" s="196"/>
      <c r="AN148" s="196" t="s">
        <v>452</v>
      </c>
      <c r="AO148" s="196" t="s">
        <v>780</v>
      </c>
      <c r="AP148" s="196" t="s">
        <v>1165</v>
      </c>
      <c r="AQ148" s="213" t="s">
        <v>586</v>
      </c>
      <c r="AR148" s="111" t="s">
        <v>305</v>
      </c>
      <c r="AS148" s="223"/>
      <c r="AT148" s="223"/>
      <c r="AU148" s="223"/>
      <c r="AV148" s="223">
        <v>0.16470000000000001</v>
      </c>
      <c r="AW148" s="230"/>
      <c r="AX148" s="217"/>
      <c r="AY148" s="217"/>
      <c r="AZ148" s="217"/>
      <c r="BA148" s="196"/>
      <c r="BB148" s="196"/>
      <c r="BC148" s="196"/>
      <c r="BD148" s="213"/>
      <c r="BE148" s="196" t="s">
        <v>1126</v>
      </c>
      <c r="BF148" s="196" t="s">
        <v>195</v>
      </c>
      <c r="BG148" s="213"/>
      <c r="BH148" s="213"/>
      <c r="BI148" s="197"/>
      <c r="BJ148" s="213"/>
      <c r="BK148" s="196" t="s">
        <v>1126</v>
      </c>
      <c r="BL148" s="196"/>
      <c r="BM148" s="196"/>
      <c r="BN148" s="196"/>
      <c r="BO148" s="196"/>
      <c r="BP148" s="213" t="s">
        <v>1740</v>
      </c>
      <c r="BQ148" s="196"/>
    </row>
    <row r="149" spans="1:69" x14ac:dyDescent="0.25">
      <c r="A149" s="196"/>
      <c r="B149" s="197">
        <v>148</v>
      </c>
      <c r="C149" s="196" t="str">
        <f>IFERROR(LEFT(Master[[#This Row],[Taxon -Lookup Picker in GRIN]],FIND(" ",Master[[#This Row],[Taxon -Lookup Picker in GRIN]],1)-1),"")</f>
        <v>Achnatherum</v>
      </c>
      <c r="D149" s="111" t="s">
        <v>305</v>
      </c>
      <c r="E149" s="217">
        <v>59735</v>
      </c>
      <c r="F149" s="210" t="s">
        <v>305</v>
      </c>
      <c r="G149" s="217"/>
      <c r="H149" s="196"/>
      <c r="I149" s="111" t="s">
        <v>12</v>
      </c>
      <c r="J149" s="196" t="s">
        <v>888</v>
      </c>
      <c r="K149" s="219">
        <v>44466</v>
      </c>
      <c r="L149" s="196"/>
      <c r="M149" s="245" t="s">
        <v>159</v>
      </c>
      <c r="N149" s="196"/>
      <c r="O149" s="196" t="s">
        <v>1438</v>
      </c>
      <c r="P149" s="219">
        <v>44041</v>
      </c>
      <c r="Q149" s="219" t="s">
        <v>1184</v>
      </c>
      <c r="R149" s="196"/>
      <c r="S149" s="233">
        <v>171</v>
      </c>
      <c r="T149" s="247"/>
      <c r="U149" s="196"/>
      <c r="V149" s="196" t="s">
        <v>1640</v>
      </c>
      <c r="W149" s="196" t="s">
        <v>1322</v>
      </c>
      <c r="X149" s="141">
        <v>1976.0184000000002</v>
      </c>
      <c r="Y149" s="234">
        <v>41.638649999999998</v>
      </c>
      <c r="Z149" s="234">
        <v>-110.11857000000001</v>
      </c>
      <c r="AA149" s="235" t="s">
        <v>1443</v>
      </c>
      <c r="AB149" s="196" t="s">
        <v>218</v>
      </c>
      <c r="AC149" s="196" t="s">
        <v>1156</v>
      </c>
      <c r="AD149" s="197" t="s">
        <v>875</v>
      </c>
      <c r="AE149" s="196" t="s">
        <v>1456</v>
      </c>
      <c r="AF149" s="213"/>
      <c r="AG149" s="196"/>
      <c r="AH149" s="196"/>
      <c r="AI149" s="233">
        <v>0</v>
      </c>
      <c r="AJ149" s="233">
        <v>0</v>
      </c>
      <c r="AK149" s="196"/>
      <c r="AL149" s="196"/>
      <c r="AM149" s="196"/>
      <c r="AN149" s="196" t="s">
        <v>452</v>
      </c>
      <c r="AO149" s="196" t="s">
        <v>780</v>
      </c>
      <c r="AP149" s="196" t="s">
        <v>1165</v>
      </c>
      <c r="AQ149" s="213" t="s">
        <v>586</v>
      </c>
      <c r="AR149" s="111" t="s">
        <v>305</v>
      </c>
      <c r="AS149" s="223"/>
      <c r="AT149" s="223"/>
      <c r="AU149" s="223"/>
      <c r="AV149" s="223">
        <v>0.2059</v>
      </c>
      <c r="AW149" s="230"/>
      <c r="AX149" s="217"/>
      <c r="AY149" s="217"/>
      <c r="AZ149" s="217"/>
      <c r="BA149" s="196"/>
      <c r="BB149" s="196"/>
      <c r="BC149" s="196"/>
      <c r="BD149" s="213"/>
      <c r="BE149" s="196" t="s">
        <v>1127</v>
      </c>
      <c r="BF149" s="196" t="s">
        <v>195</v>
      </c>
      <c r="BG149" s="213"/>
      <c r="BH149" s="213"/>
      <c r="BI149" s="197"/>
      <c r="BJ149" s="213"/>
      <c r="BK149" s="196" t="s">
        <v>1127</v>
      </c>
      <c r="BL149" s="196"/>
      <c r="BM149" s="196"/>
      <c r="BN149" s="196"/>
      <c r="BO149" s="196"/>
      <c r="BP149" s="213" t="s">
        <v>1741</v>
      </c>
      <c r="BQ149" s="196"/>
    </row>
    <row r="150" spans="1:69" x14ac:dyDescent="0.25">
      <c r="A150" s="196"/>
      <c r="B150" s="196">
        <v>149</v>
      </c>
      <c r="C150" s="196" t="str">
        <f>IFERROR(LEFT(Master[[#This Row],[Taxon -Lookup Picker in GRIN]],FIND(" ",Master[[#This Row],[Taxon -Lookup Picker in GRIN]],1)-1),"")</f>
        <v>Achillea</v>
      </c>
      <c r="D150" s="111" t="s">
        <v>305</v>
      </c>
      <c r="E150" s="217">
        <v>59736</v>
      </c>
      <c r="F150" s="210" t="s">
        <v>305</v>
      </c>
      <c r="G150" s="217"/>
      <c r="H150" s="196"/>
      <c r="I150" s="111" t="s">
        <v>12</v>
      </c>
      <c r="J150" s="196" t="s">
        <v>896</v>
      </c>
      <c r="K150" s="219">
        <v>44466</v>
      </c>
      <c r="L150" s="196"/>
      <c r="M150" s="245" t="s">
        <v>159</v>
      </c>
      <c r="N150" s="196"/>
      <c r="O150" s="196" t="s">
        <v>1439</v>
      </c>
      <c r="P150" s="219">
        <v>44111</v>
      </c>
      <c r="Q150" s="219" t="s">
        <v>1185</v>
      </c>
      <c r="R150" s="196"/>
      <c r="S150" s="233">
        <v>298</v>
      </c>
      <c r="T150" s="247"/>
      <c r="U150" s="196" t="s">
        <v>1644</v>
      </c>
      <c r="V150" s="196" t="s">
        <v>1641</v>
      </c>
      <c r="W150" s="196" t="s">
        <v>1323</v>
      </c>
      <c r="X150" s="141">
        <v>2667.3048000000003</v>
      </c>
      <c r="Y150" s="234">
        <v>41.001910000000002</v>
      </c>
      <c r="Z150" s="234">
        <v>-110.5895</v>
      </c>
      <c r="AA150" s="235" t="s">
        <v>1443</v>
      </c>
      <c r="AB150" s="196" t="s">
        <v>218</v>
      </c>
      <c r="AC150" s="196" t="s">
        <v>1156</v>
      </c>
      <c r="AD150" s="197" t="s">
        <v>875</v>
      </c>
      <c r="AE150" s="196" t="s">
        <v>1456</v>
      </c>
      <c r="AF150" s="213"/>
      <c r="AG150" s="196"/>
      <c r="AH150" s="196"/>
      <c r="AI150" s="233">
        <v>1</v>
      </c>
      <c r="AJ150" s="233" t="s">
        <v>1363</v>
      </c>
      <c r="AK150" s="196" t="s">
        <v>466</v>
      </c>
      <c r="AL150" s="196" t="s">
        <v>924</v>
      </c>
      <c r="AM150" s="196"/>
      <c r="AN150" s="196" t="s">
        <v>452</v>
      </c>
      <c r="AO150" s="196" t="s">
        <v>780</v>
      </c>
      <c r="AP150" s="196" t="s">
        <v>1165</v>
      </c>
      <c r="AQ150" s="213" t="s">
        <v>586</v>
      </c>
      <c r="AR150" s="111" t="s">
        <v>305</v>
      </c>
      <c r="AS150" s="223"/>
      <c r="AT150" s="223"/>
      <c r="AU150" s="223"/>
      <c r="AV150" s="223">
        <v>1.2800000000000001E-2</v>
      </c>
      <c r="AW150" s="230"/>
      <c r="AX150" s="217"/>
      <c r="AY150" s="217"/>
      <c r="AZ150" s="217"/>
      <c r="BA150" s="196"/>
      <c r="BB150" s="196"/>
      <c r="BC150" s="196"/>
      <c r="BD150" s="213"/>
      <c r="BE150" s="196" t="s">
        <v>1128</v>
      </c>
      <c r="BF150" s="196" t="s">
        <v>195</v>
      </c>
      <c r="BG150" s="213"/>
      <c r="BH150" s="213"/>
      <c r="BI150" s="197"/>
      <c r="BJ150" s="213"/>
      <c r="BK150" s="196" t="s">
        <v>1128</v>
      </c>
      <c r="BL150" s="196"/>
      <c r="BM150" s="196"/>
      <c r="BN150" s="196"/>
      <c r="BO150" s="196"/>
      <c r="BP150" s="213" t="s">
        <v>1742</v>
      </c>
      <c r="BQ150" s="196"/>
    </row>
    <row r="151" spans="1:69" x14ac:dyDescent="0.25">
      <c r="A151" s="196"/>
      <c r="B151" s="197">
        <v>150</v>
      </c>
      <c r="C151" s="196" t="str">
        <f>IFERROR(LEFT(Master[[#This Row],[Taxon -Lookup Picker in GRIN]],FIND(" ",Master[[#This Row],[Taxon -Lookup Picker in GRIN]],1)-1),"")</f>
        <v>Eriogonum</v>
      </c>
      <c r="D151" s="111" t="s">
        <v>305</v>
      </c>
      <c r="E151" s="217">
        <v>59737</v>
      </c>
      <c r="F151" s="210" t="s">
        <v>305</v>
      </c>
      <c r="G151" s="217"/>
      <c r="H151" s="196"/>
      <c r="I151" s="111" t="s">
        <v>12</v>
      </c>
      <c r="J151" s="196" t="s">
        <v>898</v>
      </c>
      <c r="K151" s="219">
        <v>44466</v>
      </c>
      <c r="L151" s="196"/>
      <c r="M151" s="245" t="s">
        <v>159</v>
      </c>
      <c r="N151" s="196"/>
      <c r="O151" s="196" t="s">
        <v>1437</v>
      </c>
      <c r="P151" s="219">
        <v>44061</v>
      </c>
      <c r="Q151" s="219" t="s">
        <v>1184</v>
      </c>
      <c r="R151" s="196"/>
      <c r="S151" s="233">
        <v>251</v>
      </c>
      <c r="T151" s="247"/>
      <c r="U151" s="196" t="s">
        <v>1644</v>
      </c>
      <c r="V151" s="196" t="s">
        <v>1642</v>
      </c>
      <c r="W151" s="196" t="s">
        <v>1324</v>
      </c>
      <c r="X151" s="141">
        <v>2236.0128</v>
      </c>
      <c r="Y151" s="234">
        <v>41.862180000000002</v>
      </c>
      <c r="Z151" s="234">
        <v>-110.45403</v>
      </c>
      <c r="AA151" s="235" t="s">
        <v>1443</v>
      </c>
      <c r="AB151" s="196" t="s">
        <v>218</v>
      </c>
      <c r="AC151" s="196" t="s">
        <v>1156</v>
      </c>
      <c r="AD151" s="197" t="s">
        <v>875</v>
      </c>
      <c r="AE151" s="196" t="s">
        <v>1456</v>
      </c>
      <c r="AF151" s="213"/>
      <c r="AG151" s="196"/>
      <c r="AH151" s="196"/>
      <c r="AI151" s="233">
        <v>9</v>
      </c>
      <c r="AJ151" s="233">
        <v>9</v>
      </c>
      <c r="AK151" s="196" t="s">
        <v>467</v>
      </c>
      <c r="AL151" s="196" t="s">
        <v>930</v>
      </c>
      <c r="AM151" s="196"/>
      <c r="AN151" s="196" t="s">
        <v>452</v>
      </c>
      <c r="AO151" s="196" t="s">
        <v>780</v>
      </c>
      <c r="AP151" s="196" t="s">
        <v>1165</v>
      </c>
      <c r="AQ151" s="213" t="s">
        <v>586</v>
      </c>
      <c r="AR151" s="111" t="s">
        <v>305</v>
      </c>
      <c r="AS151" s="223"/>
      <c r="AT151" s="223"/>
      <c r="AU151" s="223"/>
      <c r="AV151" s="223">
        <v>0.30230000000000001</v>
      </c>
      <c r="AW151" s="230"/>
      <c r="AX151" s="217"/>
      <c r="AY151" s="217"/>
      <c r="AZ151" s="217"/>
      <c r="BA151" s="196"/>
      <c r="BB151" s="196"/>
      <c r="BC151" s="196"/>
      <c r="BD151" s="213"/>
      <c r="BE151" s="196" t="s">
        <v>1129</v>
      </c>
      <c r="BF151" s="196" t="s">
        <v>195</v>
      </c>
      <c r="BG151" s="213"/>
      <c r="BH151" s="213"/>
      <c r="BI151" s="197"/>
      <c r="BJ151" s="213"/>
      <c r="BK151" s="196" t="s">
        <v>1129</v>
      </c>
      <c r="BL151" s="196">
        <v>44000</v>
      </c>
      <c r="BM151" s="196" t="s">
        <v>1486</v>
      </c>
      <c r="BN151" s="196" t="s">
        <v>1487</v>
      </c>
      <c r="BO151" s="196" t="s">
        <v>1493</v>
      </c>
      <c r="BP151" s="213" t="s">
        <v>1728</v>
      </c>
      <c r="BQ151" s="196"/>
    </row>
    <row r="152" spans="1:69" x14ac:dyDescent="0.25">
      <c r="A152" s="196"/>
      <c r="B152" s="196">
        <v>151</v>
      </c>
      <c r="C152" s="196" t="str">
        <f>IFERROR(LEFT(Master[[#This Row],[Taxon -Lookup Picker in GRIN]],FIND(" ",Master[[#This Row],[Taxon -Lookup Picker in GRIN]],1)-1),"")</f>
        <v/>
      </c>
      <c r="D152" s="111"/>
      <c r="E152" s="217"/>
      <c r="F152" s="210"/>
      <c r="G152" s="217"/>
      <c r="H152" s="196"/>
      <c r="I152" s="196"/>
      <c r="J152" s="196"/>
      <c r="K152" s="219"/>
      <c r="L152" s="196"/>
      <c r="M152" s="245"/>
      <c r="N152" s="196"/>
      <c r="O152" s="196"/>
      <c r="P152" s="219"/>
      <c r="Q152" s="219"/>
      <c r="R152" s="196"/>
      <c r="S152" s="233"/>
      <c r="T152" s="247"/>
      <c r="U152" s="196"/>
      <c r="V152" s="196"/>
      <c r="W152" s="196"/>
      <c r="X152" s="141"/>
      <c r="Y152" s="234"/>
      <c r="Z152" s="234"/>
      <c r="AA152" s="235"/>
      <c r="AB152" s="196"/>
      <c r="AC152" s="196"/>
      <c r="AD152" s="197"/>
      <c r="AE152" s="196"/>
      <c r="AF152" s="213"/>
      <c r="AG152" s="196"/>
      <c r="AH152" s="196"/>
      <c r="AI152" s="233"/>
      <c r="AJ152" s="233"/>
      <c r="AK152" s="196"/>
      <c r="AL152" s="196"/>
      <c r="AM152" s="196"/>
      <c r="AN152" s="196"/>
      <c r="AO152" s="196"/>
      <c r="AP152" s="196"/>
      <c r="AQ152" s="213"/>
      <c r="AR152" s="111"/>
      <c r="AS152" s="223"/>
      <c r="AT152" s="223"/>
      <c r="AU152" s="223"/>
      <c r="AV152" s="223"/>
      <c r="AW152" s="230"/>
      <c r="AX152" s="217"/>
      <c r="AY152" s="217"/>
      <c r="AZ152" s="217"/>
      <c r="BA152" s="196"/>
      <c r="BB152" s="196"/>
      <c r="BC152" s="196"/>
      <c r="BD152" s="213"/>
      <c r="BE152" s="196"/>
      <c r="BF152" s="196"/>
      <c r="BG152" s="213"/>
      <c r="BH152" s="213"/>
      <c r="BI152" s="197"/>
      <c r="BJ152" s="213"/>
      <c r="BK152" s="196"/>
      <c r="BL152" s="196"/>
      <c r="BM152" s="196"/>
      <c r="BN152" s="196"/>
      <c r="BO152" s="196"/>
      <c r="BP152" s="213"/>
      <c r="BQ152" s="196"/>
    </row>
    <row r="153" spans="1:69" x14ac:dyDescent="0.25">
      <c r="A153" s="196"/>
      <c r="B153" s="196">
        <v>152</v>
      </c>
      <c r="C153" s="196" t="str">
        <f>IFERROR(LEFT(Master[[#This Row],[Taxon -Lookup Picker in GRIN]],FIND(" ",Master[[#This Row],[Taxon -Lookup Picker in GRIN]],1)-1),"")</f>
        <v/>
      </c>
      <c r="D153" s="213"/>
      <c r="E153" s="217"/>
      <c r="F153" s="217"/>
      <c r="G153" s="217"/>
      <c r="H153" s="196"/>
      <c r="I153" s="196"/>
      <c r="J153" s="196"/>
      <c r="K153" s="219"/>
      <c r="L153" s="196"/>
      <c r="M153" s="196"/>
      <c r="N153" s="196"/>
      <c r="O153" s="196"/>
      <c r="P153" s="219"/>
      <c r="Q153" s="219"/>
      <c r="R153" s="196"/>
      <c r="S153" s="233"/>
      <c r="T153" s="217"/>
      <c r="U153" s="196"/>
      <c r="V153" s="196"/>
      <c r="W153" s="196"/>
      <c r="X153" s="227" t="str">
        <f>IFERROR(CONVERT(#REF!,"ft","m"),"")</f>
        <v/>
      </c>
      <c r="Y153" s="234"/>
      <c r="Z153" s="234"/>
      <c r="AA153" s="235"/>
      <c r="AB153" s="196"/>
      <c r="AC153" s="196"/>
      <c r="AD153" s="196"/>
      <c r="AE153" s="196"/>
      <c r="AF153" s="213"/>
      <c r="AG153" s="196"/>
      <c r="AH153" s="196"/>
      <c r="AI153" s="232"/>
      <c r="AJ153" s="232"/>
      <c r="AK153" s="196"/>
      <c r="AL153" s="196"/>
      <c r="AM153" s="196"/>
      <c r="AN153" s="196"/>
      <c r="AO153" s="196"/>
      <c r="AP153" s="196"/>
      <c r="AQ153" s="196"/>
      <c r="AR153" s="213"/>
      <c r="AS153" s="223"/>
      <c r="AT153" s="223"/>
      <c r="AU153" s="223"/>
      <c r="AV153" s="223"/>
      <c r="AW153" s="230" t="str">
        <f>IFERROR(ROUNDDOWN((('Master File'!$AU153*100)/'Master File'!$AV153)-Master[[#This Row],[Quantity On Hand]],0),"")</f>
        <v/>
      </c>
      <c r="AX153" s="217"/>
      <c r="AY153" s="217"/>
      <c r="AZ153" s="217"/>
      <c r="BA153" s="196"/>
      <c r="BB153" s="196" t="str">
        <f t="shared" ref="BB153:BB161" si="1">CONCATENATE(D153," ",E153)</f>
        <v xml:space="preserve"> </v>
      </c>
      <c r="BC153" s="196"/>
      <c r="BD153" s="213"/>
      <c r="BE153" s="196"/>
      <c r="BF153" s="196"/>
      <c r="BG153" s="213"/>
      <c r="BH153" s="213"/>
      <c r="BI153" s="197"/>
      <c r="BJ153" s="213"/>
      <c r="BK153" s="196"/>
      <c r="BL153" s="196"/>
      <c r="BM153" s="196"/>
      <c r="BN153" s="196"/>
      <c r="BO153" s="196"/>
      <c r="BP153" s="213"/>
      <c r="BQ153" s="196"/>
    </row>
    <row r="154" spans="1:69" x14ac:dyDescent="0.25">
      <c r="A154" s="196"/>
      <c r="B154" s="196">
        <v>153</v>
      </c>
      <c r="C154" s="196" t="str">
        <f>IFERROR(LEFT(Master[[#This Row],[Taxon -Lookup Picker in GRIN]],FIND(" ",Master[[#This Row],[Taxon -Lookup Picker in GRIN]],1)-1),"")</f>
        <v/>
      </c>
      <c r="D154" s="213"/>
      <c r="E154" s="217"/>
      <c r="F154" s="217"/>
      <c r="G154" s="217"/>
      <c r="H154" s="196"/>
      <c r="I154" s="196"/>
      <c r="J154" s="196"/>
      <c r="K154" s="219"/>
      <c r="L154" s="196"/>
      <c r="M154" s="196"/>
      <c r="N154" s="196"/>
      <c r="O154" s="196"/>
      <c r="P154" s="219"/>
      <c r="Q154" s="219"/>
      <c r="R154" s="196"/>
      <c r="S154" s="233"/>
      <c r="T154" s="217"/>
      <c r="U154" s="196"/>
      <c r="V154" s="196"/>
      <c r="W154" s="196"/>
      <c r="X154" s="227" t="str">
        <f>IFERROR(CONVERT(#REF!,"ft","m"),"")</f>
        <v/>
      </c>
      <c r="Y154" s="234"/>
      <c r="Z154" s="234"/>
      <c r="AA154" s="235"/>
      <c r="AB154" s="196"/>
      <c r="AC154" s="196"/>
      <c r="AD154" s="196"/>
      <c r="AE154" s="196"/>
      <c r="AF154" s="213"/>
      <c r="AG154" s="196"/>
      <c r="AH154" s="196"/>
      <c r="AI154" s="232"/>
      <c r="AJ154" s="232"/>
      <c r="AK154" s="196"/>
      <c r="AL154" s="196"/>
      <c r="AM154" s="196"/>
      <c r="AN154" s="196"/>
      <c r="AO154" s="196"/>
      <c r="AP154" s="196"/>
      <c r="AQ154" s="196"/>
      <c r="AR154" s="213"/>
      <c r="AS154" s="223"/>
      <c r="AT154" s="223"/>
      <c r="AU154" s="223"/>
      <c r="AV154" s="223"/>
      <c r="AW154" s="230" t="str">
        <f>IFERROR(ROUNDDOWN((('Master File'!$AU154*100)/'Master File'!$AV154)-Master[[#This Row],[Quantity On Hand]],0),"")</f>
        <v/>
      </c>
      <c r="AX154" s="217"/>
      <c r="AY154" s="217"/>
      <c r="AZ154" s="217"/>
      <c r="BA154" s="196"/>
      <c r="BB154" s="196" t="str">
        <f t="shared" si="1"/>
        <v xml:space="preserve"> </v>
      </c>
      <c r="BC154" s="196"/>
      <c r="BD154" s="213"/>
      <c r="BE154" s="196"/>
      <c r="BF154" s="196"/>
      <c r="BG154" s="213"/>
      <c r="BH154" s="213"/>
      <c r="BI154" s="197"/>
      <c r="BJ154" s="213"/>
      <c r="BK154" s="196"/>
      <c r="BL154" s="196"/>
      <c r="BM154" s="196"/>
      <c r="BN154" s="196"/>
      <c r="BO154" s="196"/>
      <c r="BP154" s="213"/>
      <c r="BQ154" s="196"/>
    </row>
    <row r="155" spans="1:69" x14ac:dyDescent="0.25">
      <c r="A155" s="196"/>
      <c r="B155" s="197">
        <v>154</v>
      </c>
      <c r="C155" s="196" t="str">
        <f>IFERROR(LEFT(Master[[#This Row],[Taxon -Lookup Picker in GRIN]],FIND(" ",Master[[#This Row],[Taxon -Lookup Picker in GRIN]],1)-1),"")</f>
        <v/>
      </c>
      <c r="D155" s="213"/>
      <c r="E155" s="217"/>
      <c r="F155" s="217"/>
      <c r="G155" s="217"/>
      <c r="H155" s="196"/>
      <c r="I155" s="196"/>
      <c r="J155" s="196"/>
      <c r="K155" s="219"/>
      <c r="L155" s="196"/>
      <c r="M155" s="196"/>
      <c r="N155" s="196"/>
      <c r="O155" s="196"/>
      <c r="P155" s="219"/>
      <c r="Q155" s="219"/>
      <c r="R155" s="196"/>
      <c r="S155" s="233"/>
      <c r="T155" s="217"/>
      <c r="U155" s="196"/>
      <c r="V155" s="196"/>
      <c r="W155" s="196"/>
      <c r="X155" s="227" t="str">
        <f>IFERROR(CONVERT(#REF!,"ft","m"),"")</f>
        <v/>
      </c>
      <c r="Y155" s="234"/>
      <c r="Z155" s="234"/>
      <c r="AA155" s="235"/>
      <c r="AB155" s="196"/>
      <c r="AC155" s="196"/>
      <c r="AD155" s="196"/>
      <c r="AE155" s="196"/>
      <c r="AF155" s="213"/>
      <c r="AG155" s="196"/>
      <c r="AH155" s="196"/>
      <c r="AI155" s="232"/>
      <c r="AJ155" s="232"/>
      <c r="AK155" s="196"/>
      <c r="AL155" s="196"/>
      <c r="AM155" s="196"/>
      <c r="AN155" s="196"/>
      <c r="AO155" s="196"/>
      <c r="AP155" s="196"/>
      <c r="AQ155" s="196"/>
      <c r="AR155" s="213"/>
      <c r="AS155" s="223"/>
      <c r="AT155" s="223"/>
      <c r="AU155" s="223"/>
      <c r="AV155" s="223"/>
      <c r="AW155" s="230" t="str">
        <f>IFERROR(ROUNDDOWN((('Master File'!$AU155*100)/'Master File'!$AV155)-Master[[#This Row],[Quantity On Hand]],0),"")</f>
        <v/>
      </c>
      <c r="AX155" s="217"/>
      <c r="AY155" s="217"/>
      <c r="AZ155" s="217"/>
      <c r="BA155" s="196"/>
      <c r="BB155" s="196" t="str">
        <f t="shared" si="1"/>
        <v xml:space="preserve"> </v>
      </c>
      <c r="BC155" s="196"/>
      <c r="BD155" s="213"/>
      <c r="BE155" s="196"/>
      <c r="BF155" s="196"/>
      <c r="BG155" s="213"/>
      <c r="BH155" s="213"/>
      <c r="BI155" s="197"/>
      <c r="BJ155" s="213"/>
      <c r="BK155" s="196"/>
      <c r="BL155" s="196"/>
      <c r="BM155" s="196"/>
      <c r="BN155" s="196"/>
      <c r="BO155" s="196"/>
      <c r="BP155" s="213"/>
      <c r="BQ155" s="196"/>
    </row>
    <row r="156" spans="1:69" x14ac:dyDescent="0.25">
      <c r="A156" s="196"/>
      <c r="B156" s="196">
        <v>155</v>
      </c>
      <c r="C156" s="196" t="str">
        <f>IFERROR(LEFT(Master[[#This Row],[Taxon -Lookup Picker in GRIN]],FIND(" ",Master[[#This Row],[Taxon -Lookup Picker in GRIN]],1)-1),"")</f>
        <v/>
      </c>
      <c r="D156" s="213"/>
      <c r="E156" s="217"/>
      <c r="F156" s="217"/>
      <c r="G156" s="217"/>
      <c r="H156" s="196"/>
      <c r="I156" s="196"/>
      <c r="J156" s="196"/>
      <c r="K156" s="219"/>
      <c r="L156" s="196"/>
      <c r="M156" s="196"/>
      <c r="N156" s="196"/>
      <c r="O156" s="196"/>
      <c r="P156" s="219"/>
      <c r="Q156" s="219"/>
      <c r="R156" s="196"/>
      <c r="S156" s="233"/>
      <c r="T156" s="217"/>
      <c r="U156" s="196"/>
      <c r="V156" s="196"/>
      <c r="W156" s="196"/>
      <c r="X156" s="227" t="str">
        <f>IFERROR(CONVERT(#REF!,"ft","m"),"")</f>
        <v/>
      </c>
      <c r="Y156" s="234"/>
      <c r="Z156" s="234"/>
      <c r="AA156" s="235"/>
      <c r="AB156" s="196"/>
      <c r="AC156" s="196"/>
      <c r="AD156" s="196"/>
      <c r="AE156" s="196"/>
      <c r="AF156" s="213"/>
      <c r="AG156" s="196"/>
      <c r="AH156" s="196"/>
      <c r="AI156" s="232"/>
      <c r="AJ156" s="232"/>
      <c r="AK156" s="196"/>
      <c r="AL156" s="196"/>
      <c r="AM156" s="196"/>
      <c r="AN156" s="196"/>
      <c r="AO156" s="196"/>
      <c r="AP156" s="196"/>
      <c r="AQ156" s="196"/>
      <c r="AR156" s="213"/>
      <c r="AS156" s="223"/>
      <c r="AT156" s="223"/>
      <c r="AU156" s="223"/>
      <c r="AV156" s="223"/>
      <c r="AW156" s="230" t="str">
        <f>IFERROR(ROUNDDOWN((('Master File'!$AU156*100)/'Master File'!$AV156)-Master[[#This Row],[Quantity On Hand]],0),"")</f>
        <v/>
      </c>
      <c r="AX156" s="217"/>
      <c r="AY156" s="217"/>
      <c r="AZ156" s="217"/>
      <c r="BA156" s="196"/>
      <c r="BB156" s="196" t="str">
        <f t="shared" si="1"/>
        <v xml:space="preserve"> </v>
      </c>
      <c r="BC156" s="196"/>
      <c r="BD156" s="213"/>
      <c r="BE156" s="196"/>
      <c r="BF156" s="196"/>
      <c r="BG156" s="213"/>
      <c r="BH156" s="213"/>
      <c r="BI156" s="197"/>
      <c r="BJ156" s="213"/>
      <c r="BK156" s="196"/>
      <c r="BL156" s="196"/>
      <c r="BM156" s="196"/>
      <c r="BN156" s="196"/>
      <c r="BO156" s="196"/>
      <c r="BP156" s="213"/>
      <c r="BQ156" s="196"/>
    </row>
    <row r="157" spans="1:69" x14ac:dyDescent="0.25">
      <c r="A157" s="196"/>
      <c r="B157" s="197">
        <v>156</v>
      </c>
      <c r="C157" s="196" t="str">
        <f>IFERROR(LEFT(Master[[#This Row],[Taxon -Lookup Picker in GRIN]],FIND(" ",Master[[#This Row],[Taxon -Lookup Picker in GRIN]],1)-1),"")</f>
        <v/>
      </c>
      <c r="D157" s="213"/>
      <c r="E157" s="217"/>
      <c r="F157" s="217"/>
      <c r="G157" s="217"/>
      <c r="H157" s="196"/>
      <c r="I157" s="196"/>
      <c r="J157" s="196"/>
      <c r="K157" s="219"/>
      <c r="L157" s="196"/>
      <c r="M157" s="196"/>
      <c r="N157" s="196"/>
      <c r="O157" s="196"/>
      <c r="P157" s="219"/>
      <c r="Q157" s="219"/>
      <c r="R157" s="196"/>
      <c r="S157" s="233"/>
      <c r="T157" s="217"/>
      <c r="U157" s="196"/>
      <c r="V157" s="196"/>
      <c r="W157" s="196"/>
      <c r="X157" s="227" t="str">
        <f>IFERROR(CONVERT(#REF!,"ft","m"),"")</f>
        <v/>
      </c>
      <c r="Y157" s="234"/>
      <c r="Z157" s="234"/>
      <c r="AA157" s="235"/>
      <c r="AB157" s="196"/>
      <c r="AC157" s="196"/>
      <c r="AD157" s="196"/>
      <c r="AE157" s="196"/>
      <c r="AF157" s="213"/>
      <c r="AG157" s="196"/>
      <c r="AH157" s="196"/>
      <c r="AI157" s="232"/>
      <c r="AJ157" s="232"/>
      <c r="AK157" s="196"/>
      <c r="AL157" s="196"/>
      <c r="AM157" s="196"/>
      <c r="AN157" s="196"/>
      <c r="AO157" s="196"/>
      <c r="AP157" s="196"/>
      <c r="AQ157" s="196"/>
      <c r="AR157" s="213"/>
      <c r="AS157" s="223"/>
      <c r="AT157" s="223"/>
      <c r="AU157" s="223"/>
      <c r="AV157" s="223"/>
      <c r="AW157" s="230" t="str">
        <f>IFERROR(ROUNDDOWN((('Master File'!$AU157*100)/'Master File'!$AV157)-Master[[#This Row],[Quantity On Hand]],0),"")</f>
        <v/>
      </c>
      <c r="AX157" s="217"/>
      <c r="AY157" s="217"/>
      <c r="AZ157" s="217"/>
      <c r="BA157" s="196"/>
      <c r="BB157" s="196" t="str">
        <f t="shared" si="1"/>
        <v xml:space="preserve"> </v>
      </c>
      <c r="BC157" s="196"/>
      <c r="BD157" s="213"/>
      <c r="BE157" s="196"/>
      <c r="BF157" s="196"/>
      <c r="BG157" s="213"/>
      <c r="BH157" s="213"/>
      <c r="BI157" s="197"/>
      <c r="BJ157" s="213"/>
      <c r="BK157" s="196"/>
      <c r="BL157" s="196"/>
      <c r="BM157" s="196"/>
      <c r="BN157" s="196"/>
      <c r="BO157" s="196"/>
      <c r="BP157" s="213"/>
      <c r="BQ157" s="196"/>
    </row>
    <row r="158" spans="1:69" x14ac:dyDescent="0.25">
      <c r="A158" s="196"/>
      <c r="B158" s="196">
        <v>157</v>
      </c>
      <c r="C158" s="196" t="str">
        <f>IFERROR(LEFT(Master[[#This Row],[Taxon -Lookup Picker in GRIN]],FIND(" ",Master[[#This Row],[Taxon -Lookup Picker in GRIN]],1)-1),"")</f>
        <v/>
      </c>
      <c r="D158" s="213"/>
      <c r="E158" s="217"/>
      <c r="F158" s="217"/>
      <c r="G158" s="217"/>
      <c r="H158" s="196"/>
      <c r="I158" s="196"/>
      <c r="J158" s="196"/>
      <c r="K158" s="219"/>
      <c r="L158" s="196"/>
      <c r="M158" s="196"/>
      <c r="N158" s="196"/>
      <c r="O158" s="196"/>
      <c r="P158" s="219"/>
      <c r="Q158" s="219"/>
      <c r="R158" s="196"/>
      <c r="S158" s="233"/>
      <c r="T158" s="217"/>
      <c r="U158" s="196"/>
      <c r="V158" s="196"/>
      <c r="W158" s="196"/>
      <c r="X158" s="227" t="str">
        <f>IFERROR(CONVERT(#REF!,"ft","m"),"")</f>
        <v/>
      </c>
      <c r="Y158" s="234"/>
      <c r="Z158" s="234"/>
      <c r="AA158" s="235"/>
      <c r="AB158" s="196"/>
      <c r="AC158" s="196"/>
      <c r="AD158" s="196"/>
      <c r="AE158" s="196"/>
      <c r="AF158" s="213"/>
      <c r="AG158" s="196"/>
      <c r="AH158" s="196"/>
      <c r="AI158" s="232"/>
      <c r="AJ158" s="232"/>
      <c r="AK158" s="196"/>
      <c r="AL158" s="196"/>
      <c r="AM158" s="196"/>
      <c r="AN158" s="196"/>
      <c r="AO158" s="196"/>
      <c r="AP158" s="196"/>
      <c r="AQ158" s="196"/>
      <c r="AR158" s="213"/>
      <c r="AS158" s="223"/>
      <c r="AT158" s="223"/>
      <c r="AU158" s="223"/>
      <c r="AV158" s="223"/>
      <c r="AW158" s="230" t="str">
        <f>IFERROR(ROUNDDOWN((('Master File'!$AU158*100)/'Master File'!$AV158)-Master[[#This Row],[Quantity On Hand]],0),"")</f>
        <v/>
      </c>
      <c r="AX158" s="217"/>
      <c r="AY158" s="217"/>
      <c r="AZ158" s="217"/>
      <c r="BA158" s="196"/>
      <c r="BB158" s="196" t="str">
        <f t="shared" si="1"/>
        <v xml:space="preserve"> </v>
      </c>
      <c r="BC158" s="196"/>
      <c r="BD158" s="213"/>
      <c r="BE158" s="196"/>
      <c r="BF158" s="196"/>
      <c r="BG158" s="213"/>
      <c r="BH158" s="213"/>
      <c r="BI158" s="197"/>
      <c r="BJ158" s="213"/>
      <c r="BK158" s="196"/>
      <c r="BL158" s="196"/>
      <c r="BM158" s="196"/>
      <c r="BN158" s="196"/>
      <c r="BO158" s="196"/>
      <c r="BP158" s="213"/>
      <c r="BQ158" s="196"/>
    </row>
    <row r="159" spans="1:69" x14ac:dyDescent="0.25">
      <c r="A159" s="196"/>
      <c r="B159" s="196">
        <v>158</v>
      </c>
      <c r="C159" s="196" t="str">
        <f>IFERROR(LEFT(Master[[#This Row],[Taxon -Lookup Picker in GRIN]],FIND(" ",Master[[#This Row],[Taxon -Lookup Picker in GRIN]],1)-1),"")</f>
        <v/>
      </c>
      <c r="D159" s="213"/>
      <c r="E159" s="217"/>
      <c r="F159" s="217"/>
      <c r="G159" s="217"/>
      <c r="H159" s="196"/>
      <c r="I159" s="196"/>
      <c r="J159" s="196"/>
      <c r="K159" s="219"/>
      <c r="L159" s="196"/>
      <c r="M159" s="196"/>
      <c r="N159" s="196"/>
      <c r="O159" s="196"/>
      <c r="P159" s="219"/>
      <c r="Q159" s="219"/>
      <c r="R159" s="196"/>
      <c r="S159" s="233"/>
      <c r="T159" s="217"/>
      <c r="U159" s="196"/>
      <c r="V159" s="196"/>
      <c r="W159" s="196"/>
      <c r="X159" s="227" t="str">
        <f>IFERROR(CONVERT(#REF!,"ft","m"),"")</f>
        <v/>
      </c>
      <c r="Y159" s="234"/>
      <c r="Z159" s="234"/>
      <c r="AA159" s="235"/>
      <c r="AB159" s="196"/>
      <c r="AC159" s="196"/>
      <c r="AD159" s="196"/>
      <c r="AE159" s="196"/>
      <c r="AF159" s="213"/>
      <c r="AG159" s="196"/>
      <c r="AH159" s="196"/>
      <c r="AI159" s="232"/>
      <c r="AJ159" s="232"/>
      <c r="AK159" s="196"/>
      <c r="AL159" s="196"/>
      <c r="AM159" s="196"/>
      <c r="AN159" s="196"/>
      <c r="AO159" s="196"/>
      <c r="AP159" s="196"/>
      <c r="AQ159" s="196"/>
      <c r="AR159" s="213"/>
      <c r="AS159" s="223"/>
      <c r="AT159" s="223"/>
      <c r="AU159" s="223"/>
      <c r="AV159" s="223"/>
      <c r="AW159" s="230" t="str">
        <f>IFERROR(ROUNDDOWN((('Master File'!$AU159*100)/'Master File'!$AV159)-Master[[#This Row],[Quantity On Hand]],0),"")</f>
        <v/>
      </c>
      <c r="AX159" s="217"/>
      <c r="AY159" s="217"/>
      <c r="AZ159" s="217"/>
      <c r="BA159" s="196"/>
      <c r="BB159" s="196" t="str">
        <f t="shared" si="1"/>
        <v xml:space="preserve"> </v>
      </c>
      <c r="BC159" s="196"/>
      <c r="BD159" s="213"/>
      <c r="BE159" s="196"/>
      <c r="BF159" s="196"/>
      <c r="BG159" s="213"/>
      <c r="BH159" s="213"/>
      <c r="BI159" s="197"/>
      <c r="BJ159" s="213"/>
      <c r="BK159" s="196"/>
      <c r="BL159" s="196"/>
      <c r="BM159" s="196"/>
      <c r="BN159" s="196"/>
      <c r="BO159" s="196"/>
      <c r="BP159" s="213"/>
      <c r="BQ159" s="196"/>
    </row>
    <row r="160" spans="1:69" x14ac:dyDescent="0.25">
      <c r="A160" s="196"/>
      <c r="B160" s="196">
        <v>159</v>
      </c>
      <c r="C160" s="196" t="str">
        <f>IFERROR(LEFT(Master[[#This Row],[Taxon -Lookup Picker in GRIN]],FIND(" ",Master[[#This Row],[Taxon -Lookup Picker in GRIN]],1)-1),"")</f>
        <v/>
      </c>
      <c r="D160" s="213"/>
      <c r="E160" s="217"/>
      <c r="F160" s="217"/>
      <c r="G160" s="217"/>
      <c r="H160" s="196"/>
      <c r="I160" s="196"/>
      <c r="J160" s="196"/>
      <c r="K160" s="219"/>
      <c r="L160" s="196"/>
      <c r="M160" s="196"/>
      <c r="N160" s="196"/>
      <c r="O160" s="196"/>
      <c r="P160" s="219"/>
      <c r="Q160" s="219"/>
      <c r="R160" s="196"/>
      <c r="S160" s="233"/>
      <c r="T160" s="217"/>
      <c r="U160" s="196"/>
      <c r="V160" s="196"/>
      <c r="W160" s="196"/>
      <c r="X160" s="227" t="str">
        <f>IFERROR(CONVERT(#REF!,"ft","m"),"")</f>
        <v/>
      </c>
      <c r="Y160" s="234"/>
      <c r="Z160" s="234"/>
      <c r="AA160" s="235"/>
      <c r="AB160" s="196"/>
      <c r="AC160" s="196"/>
      <c r="AD160" s="196"/>
      <c r="AE160" s="196"/>
      <c r="AF160" s="213"/>
      <c r="AG160" s="196"/>
      <c r="AH160" s="196"/>
      <c r="AI160" s="232"/>
      <c r="AJ160" s="232"/>
      <c r="AK160" s="196"/>
      <c r="AL160" s="196"/>
      <c r="AM160" s="196"/>
      <c r="AN160" s="196"/>
      <c r="AO160" s="196"/>
      <c r="AP160" s="196"/>
      <c r="AQ160" s="196"/>
      <c r="AR160" s="213"/>
      <c r="AS160" s="223"/>
      <c r="AT160" s="223"/>
      <c r="AU160" s="223"/>
      <c r="AV160" s="223"/>
      <c r="AW160" s="230" t="str">
        <f>IFERROR(ROUNDDOWN((('Master File'!$AU160*100)/'Master File'!$AV160)-Master[[#This Row],[Quantity On Hand]],0),"")</f>
        <v/>
      </c>
      <c r="AX160" s="217"/>
      <c r="AY160" s="217"/>
      <c r="AZ160" s="217"/>
      <c r="BA160" s="196"/>
      <c r="BB160" s="196" t="str">
        <f t="shared" si="1"/>
        <v xml:space="preserve"> </v>
      </c>
      <c r="BC160" s="196"/>
      <c r="BD160" s="213"/>
      <c r="BE160" s="196"/>
      <c r="BF160" s="196"/>
      <c r="BG160" s="213"/>
      <c r="BH160" s="213"/>
      <c r="BI160" s="197"/>
      <c r="BJ160" s="213"/>
      <c r="BK160" s="196"/>
      <c r="BL160" s="196"/>
      <c r="BM160" s="196"/>
      <c r="BN160" s="196"/>
      <c r="BO160" s="196"/>
      <c r="BP160" s="213"/>
      <c r="BQ160" s="196"/>
    </row>
    <row r="161" spans="1:69" x14ac:dyDescent="0.25">
      <c r="A161" s="196"/>
      <c r="B161" s="197">
        <v>160</v>
      </c>
      <c r="C161" s="196" t="str">
        <f>IFERROR(LEFT(Master[[#This Row],[Taxon -Lookup Picker in GRIN]],FIND(" ",Master[[#This Row],[Taxon -Lookup Picker in GRIN]],1)-1),"")</f>
        <v/>
      </c>
      <c r="D161" s="213"/>
      <c r="E161" s="217"/>
      <c r="F161" s="217"/>
      <c r="G161" s="217"/>
      <c r="H161" s="196"/>
      <c r="I161" s="196"/>
      <c r="J161" s="196"/>
      <c r="K161" s="219"/>
      <c r="L161" s="196"/>
      <c r="M161" s="196"/>
      <c r="N161" s="196"/>
      <c r="O161" s="196"/>
      <c r="P161" s="219"/>
      <c r="Q161" s="219"/>
      <c r="R161" s="196"/>
      <c r="S161" s="233"/>
      <c r="T161" s="217"/>
      <c r="U161" s="196"/>
      <c r="V161" s="196"/>
      <c r="W161" s="196"/>
      <c r="X161" s="227" t="str">
        <f>IFERROR(CONVERT(#REF!,"ft","m"),"")</f>
        <v/>
      </c>
      <c r="Y161" s="234"/>
      <c r="Z161" s="234"/>
      <c r="AA161" s="235"/>
      <c r="AB161" s="196"/>
      <c r="AC161" s="196"/>
      <c r="AD161" s="196"/>
      <c r="AE161" s="196"/>
      <c r="AF161" s="213"/>
      <c r="AG161" s="196"/>
      <c r="AH161" s="196"/>
      <c r="AI161" s="232"/>
      <c r="AJ161" s="232"/>
      <c r="AK161" s="196"/>
      <c r="AL161" s="196"/>
      <c r="AM161" s="196"/>
      <c r="AN161" s="196"/>
      <c r="AO161" s="196"/>
      <c r="AP161" s="196"/>
      <c r="AQ161" s="196"/>
      <c r="AR161" s="213"/>
      <c r="AS161" s="223"/>
      <c r="AT161" s="223"/>
      <c r="AU161" s="223"/>
      <c r="AV161" s="223"/>
      <c r="AW161" s="230" t="str">
        <f>IFERROR(ROUNDDOWN((('Master File'!$AU161*100)/'Master File'!$AV161)-Master[[#This Row],[Quantity On Hand]],0),"")</f>
        <v/>
      </c>
      <c r="AX161" s="217"/>
      <c r="AY161" s="217"/>
      <c r="AZ161" s="217"/>
      <c r="BA161" s="196"/>
      <c r="BB161" s="196" t="str">
        <f t="shared" si="1"/>
        <v xml:space="preserve"> </v>
      </c>
      <c r="BC161" s="196"/>
      <c r="BD161" s="213"/>
      <c r="BE161" s="196"/>
      <c r="BF161" s="196"/>
      <c r="BG161" s="213"/>
      <c r="BH161" s="213"/>
      <c r="BI161" s="197"/>
      <c r="BJ161" s="213"/>
      <c r="BK161" s="196"/>
      <c r="BL161" s="196"/>
      <c r="BM161" s="196"/>
      <c r="BN161" s="196"/>
      <c r="BO161" s="196"/>
      <c r="BP161" s="213"/>
      <c r="BQ161" s="196"/>
    </row>
    <row r="162" spans="1:69" x14ac:dyDescent="0.25">
      <c r="A162" s="196"/>
      <c r="B162" s="196">
        <v>161</v>
      </c>
      <c r="C162" s="196" t="str">
        <f>IFERROR(LEFT(Master[[#This Row],[Taxon -Lookup Picker in GRIN]],FIND(" ",Master[[#This Row],[Taxon -Lookup Picker in GRIN]],1)-1),"")</f>
        <v/>
      </c>
      <c r="D162" s="213"/>
      <c r="E162" s="217"/>
      <c r="F162" s="217"/>
      <c r="G162" s="217"/>
      <c r="H162" s="196"/>
      <c r="I162" s="196"/>
      <c r="J162" s="196"/>
      <c r="K162" s="219"/>
      <c r="L162" s="196"/>
      <c r="M162" s="196"/>
      <c r="N162" s="196"/>
      <c r="O162" s="196"/>
      <c r="P162" s="219"/>
      <c r="Q162" s="219"/>
      <c r="R162" s="196"/>
      <c r="S162" s="233"/>
      <c r="T162" s="217"/>
      <c r="U162" s="196"/>
      <c r="V162" s="196"/>
      <c r="W162" s="196"/>
      <c r="X162" s="227" t="str">
        <f>IFERROR(CONVERT(#REF!,"ft","m"),"")</f>
        <v/>
      </c>
      <c r="Y162" s="234"/>
      <c r="Z162" s="234"/>
      <c r="AA162" s="235"/>
      <c r="AB162" s="196"/>
      <c r="AC162" s="196"/>
      <c r="AD162" s="196"/>
      <c r="AE162" s="196"/>
      <c r="AF162" s="213"/>
      <c r="AG162" s="196"/>
      <c r="AH162" s="196"/>
      <c r="AI162" s="232"/>
      <c r="AJ162" s="232"/>
      <c r="AK162" s="196"/>
      <c r="AL162" s="196"/>
      <c r="AM162" s="196"/>
      <c r="AN162" s="196"/>
      <c r="AO162" s="196"/>
      <c r="AP162" s="196"/>
      <c r="AQ162" s="196"/>
      <c r="AR162" s="213"/>
      <c r="AS162" s="223"/>
      <c r="AT162" s="223"/>
      <c r="AU162" s="223"/>
      <c r="AV162" s="223"/>
      <c r="AW162" s="230" t="str">
        <f>IFERROR(ROUNDDOWN((('Master File'!$AU162*100)/'Master File'!$AV162)-Master[[#This Row],[Quantity On Hand]],0),"")</f>
        <v/>
      </c>
      <c r="AX162" s="217"/>
      <c r="AY162" s="217"/>
      <c r="AZ162" s="217"/>
      <c r="BA162" s="196"/>
      <c r="BB162" s="196" t="str">
        <f t="shared" ref="BB162:BB193" si="2">CONCATENATE(D162," ",E162)</f>
        <v xml:space="preserve"> </v>
      </c>
      <c r="BC162" s="196"/>
      <c r="BD162" s="213"/>
      <c r="BE162" s="196"/>
      <c r="BF162" s="196"/>
      <c r="BG162" s="213"/>
      <c r="BH162" s="213"/>
      <c r="BI162" s="197"/>
      <c r="BJ162" s="213"/>
      <c r="BK162" s="196"/>
      <c r="BL162" s="196"/>
      <c r="BM162" s="196"/>
      <c r="BN162" s="196"/>
      <c r="BO162" s="196"/>
      <c r="BP162" s="213"/>
      <c r="BQ162" s="196"/>
    </row>
    <row r="163" spans="1:69" x14ac:dyDescent="0.25">
      <c r="A163" s="196"/>
      <c r="B163" s="197">
        <v>162</v>
      </c>
      <c r="C163" s="196" t="str">
        <f>IFERROR(LEFT(Master[[#This Row],[Taxon -Lookup Picker in GRIN]],FIND(" ",Master[[#This Row],[Taxon -Lookup Picker in GRIN]],1)-1),"")</f>
        <v/>
      </c>
      <c r="D163" s="213"/>
      <c r="E163" s="217"/>
      <c r="F163" s="217"/>
      <c r="G163" s="217"/>
      <c r="H163" s="196"/>
      <c r="I163" s="196"/>
      <c r="J163" s="196"/>
      <c r="K163" s="219"/>
      <c r="L163" s="196"/>
      <c r="M163" s="196"/>
      <c r="N163" s="196"/>
      <c r="O163" s="196"/>
      <c r="P163" s="219"/>
      <c r="Q163" s="219"/>
      <c r="R163" s="196"/>
      <c r="S163" s="233"/>
      <c r="T163" s="217"/>
      <c r="U163" s="196"/>
      <c r="V163" s="196"/>
      <c r="W163" s="196"/>
      <c r="X163" s="227" t="str">
        <f>IFERROR(CONVERT(#REF!,"ft","m"),"")</f>
        <v/>
      </c>
      <c r="Y163" s="234"/>
      <c r="Z163" s="234"/>
      <c r="AA163" s="235"/>
      <c r="AB163" s="196"/>
      <c r="AC163" s="196"/>
      <c r="AD163" s="196"/>
      <c r="AE163" s="196"/>
      <c r="AF163" s="213"/>
      <c r="AG163" s="196"/>
      <c r="AH163" s="196"/>
      <c r="AI163" s="232"/>
      <c r="AJ163" s="232"/>
      <c r="AK163" s="196"/>
      <c r="AL163" s="196"/>
      <c r="AM163" s="196"/>
      <c r="AN163" s="196"/>
      <c r="AO163" s="196"/>
      <c r="AP163" s="196"/>
      <c r="AQ163" s="196"/>
      <c r="AR163" s="213"/>
      <c r="AS163" s="223"/>
      <c r="AT163" s="223"/>
      <c r="AU163" s="223"/>
      <c r="AV163" s="223"/>
      <c r="AW163" s="230" t="str">
        <f>IFERROR(ROUNDDOWN((('Master File'!$AU163*100)/'Master File'!$AV163)-Master[[#This Row],[Quantity On Hand]],0),"")</f>
        <v/>
      </c>
      <c r="AX163" s="217"/>
      <c r="AY163" s="217"/>
      <c r="AZ163" s="217"/>
      <c r="BA163" s="196"/>
      <c r="BB163" s="196" t="str">
        <f t="shared" si="2"/>
        <v xml:space="preserve"> </v>
      </c>
      <c r="BC163" s="196"/>
      <c r="BD163" s="213"/>
      <c r="BE163" s="196"/>
      <c r="BF163" s="196"/>
      <c r="BG163" s="213"/>
      <c r="BH163" s="213"/>
      <c r="BI163" s="197"/>
      <c r="BJ163" s="213"/>
      <c r="BK163" s="196"/>
      <c r="BL163" s="196"/>
      <c r="BM163" s="196"/>
      <c r="BN163" s="196"/>
      <c r="BO163" s="196"/>
      <c r="BP163" s="213"/>
      <c r="BQ163" s="196"/>
    </row>
    <row r="164" spans="1:69" x14ac:dyDescent="0.25">
      <c r="A164" s="196"/>
      <c r="B164" s="196">
        <v>163</v>
      </c>
      <c r="C164" s="196" t="str">
        <f>IFERROR(LEFT(Master[[#This Row],[Taxon -Lookup Picker in GRIN]],FIND(" ",Master[[#This Row],[Taxon -Lookup Picker in GRIN]],1)-1),"")</f>
        <v/>
      </c>
      <c r="D164" s="213"/>
      <c r="E164" s="217"/>
      <c r="F164" s="217"/>
      <c r="G164" s="217"/>
      <c r="H164" s="196"/>
      <c r="I164" s="196"/>
      <c r="J164" s="196"/>
      <c r="K164" s="219"/>
      <c r="L164" s="196"/>
      <c r="M164" s="196"/>
      <c r="N164" s="196"/>
      <c r="O164" s="196"/>
      <c r="P164" s="219"/>
      <c r="Q164" s="219"/>
      <c r="R164" s="196"/>
      <c r="S164" s="233"/>
      <c r="T164" s="217"/>
      <c r="U164" s="196"/>
      <c r="V164" s="196"/>
      <c r="W164" s="196"/>
      <c r="X164" s="227" t="str">
        <f>IFERROR(CONVERT(#REF!,"ft","m"),"")</f>
        <v/>
      </c>
      <c r="Y164" s="234"/>
      <c r="Z164" s="234"/>
      <c r="AA164" s="235"/>
      <c r="AB164" s="196"/>
      <c r="AC164" s="196"/>
      <c r="AD164" s="196"/>
      <c r="AE164" s="196"/>
      <c r="AF164" s="213"/>
      <c r="AG164" s="196"/>
      <c r="AH164" s="196"/>
      <c r="AI164" s="232"/>
      <c r="AJ164" s="232"/>
      <c r="AK164" s="196"/>
      <c r="AL164" s="196"/>
      <c r="AM164" s="196"/>
      <c r="AN164" s="196"/>
      <c r="AO164" s="196"/>
      <c r="AP164" s="196"/>
      <c r="AQ164" s="196"/>
      <c r="AR164" s="213"/>
      <c r="AS164" s="223"/>
      <c r="AT164" s="223"/>
      <c r="AU164" s="223"/>
      <c r="AV164" s="223"/>
      <c r="AW164" s="230" t="str">
        <f>IFERROR(ROUNDDOWN((('Master File'!$AU164*100)/'Master File'!$AV164)-Master[[#This Row],[Quantity On Hand]],0),"")</f>
        <v/>
      </c>
      <c r="AX164" s="217"/>
      <c r="AY164" s="217"/>
      <c r="AZ164" s="217"/>
      <c r="BA164" s="196"/>
      <c r="BB164" s="196" t="str">
        <f t="shared" si="2"/>
        <v xml:space="preserve"> </v>
      </c>
      <c r="BC164" s="196"/>
      <c r="BD164" s="213"/>
      <c r="BE164" s="196"/>
      <c r="BF164" s="196"/>
      <c r="BG164" s="213"/>
      <c r="BH164" s="213"/>
      <c r="BI164" s="197"/>
      <c r="BJ164" s="213"/>
      <c r="BK164" s="196"/>
      <c r="BL164" s="196"/>
      <c r="BM164" s="196"/>
      <c r="BN164" s="196"/>
      <c r="BO164" s="196"/>
      <c r="BP164" s="213"/>
      <c r="BQ164" s="196"/>
    </row>
    <row r="165" spans="1:69" x14ac:dyDescent="0.25">
      <c r="A165" s="196"/>
      <c r="B165" s="196">
        <v>164</v>
      </c>
      <c r="C165" s="196" t="str">
        <f>IFERROR(LEFT(Master[[#This Row],[Taxon -Lookup Picker in GRIN]],FIND(" ",Master[[#This Row],[Taxon -Lookup Picker in GRIN]],1)-1),"")</f>
        <v/>
      </c>
      <c r="D165" s="213"/>
      <c r="E165" s="217"/>
      <c r="F165" s="217"/>
      <c r="G165" s="217"/>
      <c r="H165" s="196"/>
      <c r="I165" s="196"/>
      <c r="J165" s="196"/>
      <c r="K165" s="219"/>
      <c r="L165" s="196"/>
      <c r="M165" s="196"/>
      <c r="N165" s="196"/>
      <c r="O165" s="196"/>
      <c r="P165" s="219"/>
      <c r="Q165" s="219"/>
      <c r="R165" s="196"/>
      <c r="S165" s="233"/>
      <c r="T165" s="217"/>
      <c r="U165" s="196"/>
      <c r="V165" s="196"/>
      <c r="W165" s="196"/>
      <c r="X165" s="227" t="str">
        <f>IFERROR(CONVERT(#REF!,"ft","m"),"")</f>
        <v/>
      </c>
      <c r="Y165" s="234"/>
      <c r="Z165" s="234"/>
      <c r="AA165" s="235"/>
      <c r="AB165" s="196"/>
      <c r="AC165" s="196"/>
      <c r="AD165" s="196"/>
      <c r="AE165" s="196"/>
      <c r="AF165" s="213"/>
      <c r="AG165" s="196"/>
      <c r="AH165" s="196"/>
      <c r="AI165" s="232"/>
      <c r="AJ165" s="232"/>
      <c r="AK165" s="196"/>
      <c r="AL165" s="196"/>
      <c r="AM165" s="196"/>
      <c r="AN165" s="196"/>
      <c r="AO165" s="196"/>
      <c r="AP165" s="196"/>
      <c r="AQ165" s="196"/>
      <c r="AR165" s="213"/>
      <c r="AS165" s="223"/>
      <c r="AT165" s="223"/>
      <c r="AU165" s="223"/>
      <c r="AV165" s="223"/>
      <c r="AW165" s="230" t="str">
        <f>IFERROR(ROUNDDOWN((('Master File'!$AU165*100)/'Master File'!$AV165)-Master[[#This Row],[Quantity On Hand]],0),"")</f>
        <v/>
      </c>
      <c r="AX165" s="217"/>
      <c r="AY165" s="217"/>
      <c r="AZ165" s="217"/>
      <c r="BA165" s="196"/>
      <c r="BB165" s="196" t="str">
        <f t="shared" si="2"/>
        <v xml:space="preserve"> </v>
      </c>
      <c r="BC165" s="196"/>
      <c r="BD165" s="213"/>
      <c r="BE165" s="196"/>
      <c r="BF165" s="196"/>
      <c r="BG165" s="213"/>
      <c r="BH165" s="213"/>
      <c r="BI165" s="197"/>
      <c r="BJ165" s="213"/>
      <c r="BK165" s="196"/>
      <c r="BL165" s="196"/>
      <c r="BM165" s="196"/>
      <c r="BN165" s="196"/>
      <c r="BO165" s="196"/>
      <c r="BP165" s="213"/>
      <c r="BQ165" s="196"/>
    </row>
    <row r="166" spans="1:69" x14ac:dyDescent="0.25">
      <c r="A166" s="196"/>
      <c r="B166" s="196">
        <v>165</v>
      </c>
      <c r="C166" s="196" t="str">
        <f>IFERROR(LEFT(Master[[#This Row],[Taxon -Lookup Picker in GRIN]],FIND(" ",Master[[#This Row],[Taxon -Lookup Picker in GRIN]],1)-1),"")</f>
        <v/>
      </c>
      <c r="D166" s="213"/>
      <c r="E166" s="217"/>
      <c r="F166" s="217"/>
      <c r="G166" s="217"/>
      <c r="H166" s="196"/>
      <c r="I166" s="196"/>
      <c r="J166" s="196"/>
      <c r="K166" s="219"/>
      <c r="L166" s="196"/>
      <c r="M166" s="196"/>
      <c r="N166" s="196"/>
      <c r="O166" s="196"/>
      <c r="P166" s="219"/>
      <c r="Q166" s="219"/>
      <c r="R166" s="196"/>
      <c r="S166" s="233"/>
      <c r="T166" s="217"/>
      <c r="U166" s="196"/>
      <c r="V166" s="196"/>
      <c r="W166" s="196"/>
      <c r="X166" s="227" t="str">
        <f>IFERROR(CONVERT(#REF!,"ft","m"),"")</f>
        <v/>
      </c>
      <c r="Y166" s="234"/>
      <c r="Z166" s="234"/>
      <c r="AA166" s="235"/>
      <c r="AB166" s="196"/>
      <c r="AC166" s="196"/>
      <c r="AD166" s="196"/>
      <c r="AE166" s="196"/>
      <c r="AF166" s="213"/>
      <c r="AG166" s="196"/>
      <c r="AH166" s="196"/>
      <c r="AI166" s="232"/>
      <c r="AJ166" s="232"/>
      <c r="AK166" s="196"/>
      <c r="AL166" s="196"/>
      <c r="AM166" s="196"/>
      <c r="AN166" s="196"/>
      <c r="AO166" s="196"/>
      <c r="AP166" s="196"/>
      <c r="AQ166" s="196"/>
      <c r="AR166" s="213"/>
      <c r="AS166" s="223"/>
      <c r="AT166" s="223"/>
      <c r="AU166" s="223"/>
      <c r="AV166" s="223"/>
      <c r="AW166" s="230" t="str">
        <f>IFERROR(ROUNDDOWN((('Master File'!$AU166*100)/'Master File'!$AV166)-Master[[#This Row],[Quantity On Hand]],0),"")</f>
        <v/>
      </c>
      <c r="AX166" s="217"/>
      <c r="AY166" s="217"/>
      <c r="AZ166" s="217"/>
      <c r="BA166" s="196"/>
      <c r="BB166" s="196" t="str">
        <f t="shared" si="2"/>
        <v xml:space="preserve"> </v>
      </c>
      <c r="BC166" s="196"/>
      <c r="BD166" s="213"/>
      <c r="BE166" s="196"/>
      <c r="BF166" s="196"/>
      <c r="BG166" s="213"/>
      <c r="BH166" s="213"/>
      <c r="BI166" s="197"/>
      <c r="BJ166" s="213"/>
      <c r="BK166" s="196"/>
      <c r="BL166" s="196"/>
      <c r="BM166" s="196"/>
      <c r="BN166" s="196"/>
      <c r="BO166" s="196"/>
      <c r="BP166" s="213"/>
      <c r="BQ166" s="196"/>
    </row>
    <row r="167" spans="1:69" x14ac:dyDescent="0.25">
      <c r="A167" s="196"/>
      <c r="B167" s="197">
        <v>166</v>
      </c>
      <c r="C167" s="196" t="str">
        <f>IFERROR(LEFT(Master[[#This Row],[Taxon -Lookup Picker in GRIN]],FIND(" ",Master[[#This Row],[Taxon -Lookup Picker in GRIN]],1)-1),"")</f>
        <v/>
      </c>
      <c r="D167" s="213"/>
      <c r="E167" s="217"/>
      <c r="F167" s="217"/>
      <c r="G167" s="217"/>
      <c r="H167" s="196"/>
      <c r="I167" s="196"/>
      <c r="J167" s="196"/>
      <c r="K167" s="219"/>
      <c r="L167" s="196"/>
      <c r="M167" s="196"/>
      <c r="N167" s="196"/>
      <c r="O167" s="196"/>
      <c r="P167" s="219"/>
      <c r="Q167" s="219"/>
      <c r="R167" s="196"/>
      <c r="S167" s="233"/>
      <c r="T167" s="217"/>
      <c r="U167" s="196"/>
      <c r="V167" s="196"/>
      <c r="W167" s="196"/>
      <c r="X167" s="227" t="str">
        <f>IFERROR(CONVERT(#REF!,"ft","m"),"")</f>
        <v/>
      </c>
      <c r="Y167" s="234"/>
      <c r="Z167" s="234"/>
      <c r="AA167" s="235"/>
      <c r="AB167" s="196"/>
      <c r="AC167" s="196"/>
      <c r="AD167" s="196"/>
      <c r="AE167" s="196"/>
      <c r="AF167" s="213"/>
      <c r="AG167" s="196"/>
      <c r="AH167" s="196"/>
      <c r="AI167" s="232"/>
      <c r="AJ167" s="232"/>
      <c r="AK167" s="196"/>
      <c r="AL167" s="196"/>
      <c r="AM167" s="196"/>
      <c r="AN167" s="196"/>
      <c r="AO167" s="196"/>
      <c r="AP167" s="196"/>
      <c r="AQ167" s="196"/>
      <c r="AR167" s="213"/>
      <c r="AS167" s="223"/>
      <c r="AT167" s="223"/>
      <c r="AU167" s="223"/>
      <c r="AV167" s="223"/>
      <c r="AW167" s="230" t="str">
        <f>IFERROR(ROUNDDOWN((('Master File'!$AU167*100)/'Master File'!$AV167)-Master[[#This Row],[Quantity On Hand]],0),"")</f>
        <v/>
      </c>
      <c r="AX167" s="217"/>
      <c r="AY167" s="217"/>
      <c r="AZ167" s="217"/>
      <c r="BA167" s="196"/>
      <c r="BB167" s="196" t="str">
        <f t="shared" si="2"/>
        <v xml:space="preserve"> </v>
      </c>
      <c r="BC167" s="196"/>
      <c r="BD167" s="213"/>
      <c r="BE167" s="196"/>
      <c r="BF167" s="196"/>
      <c r="BG167" s="213"/>
      <c r="BH167" s="213"/>
      <c r="BI167" s="197"/>
      <c r="BJ167" s="213"/>
      <c r="BK167" s="196"/>
      <c r="BL167" s="196"/>
      <c r="BM167" s="196"/>
      <c r="BN167" s="196"/>
      <c r="BO167" s="196"/>
      <c r="BP167" s="213"/>
      <c r="BQ167" s="196"/>
    </row>
    <row r="168" spans="1:69" x14ac:dyDescent="0.25">
      <c r="A168" s="196"/>
      <c r="B168" s="196">
        <v>167</v>
      </c>
      <c r="C168" s="196" t="str">
        <f>IFERROR(LEFT(Master[[#This Row],[Taxon -Lookup Picker in GRIN]],FIND(" ",Master[[#This Row],[Taxon -Lookup Picker in GRIN]],1)-1),"")</f>
        <v/>
      </c>
      <c r="D168" s="213"/>
      <c r="E168" s="217"/>
      <c r="F168" s="217"/>
      <c r="G168" s="217"/>
      <c r="H168" s="196"/>
      <c r="I168" s="196"/>
      <c r="J168" s="196"/>
      <c r="K168" s="219"/>
      <c r="L168" s="196"/>
      <c r="M168" s="196"/>
      <c r="N168" s="196"/>
      <c r="O168" s="196"/>
      <c r="P168" s="219"/>
      <c r="Q168" s="219"/>
      <c r="R168" s="196"/>
      <c r="S168" s="233"/>
      <c r="T168" s="217"/>
      <c r="U168" s="196"/>
      <c r="V168" s="196"/>
      <c r="W168" s="196"/>
      <c r="X168" s="227" t="str">
        <f>IFERROR(CONVERT(#REF!,"ft","m"),"")</f>
        <v/>
      </c>
      <c r="Y168" s="234"/>
      <c r="Z168" s="234"/>
      <c r="AA168" s="235"/>
      <c r="AB168" s="196"/>
      <c r="AC168" s="196"/>
      <c r="AD168" s="196"/>
      <c r="AE168" s="196"/>
      <c r="AF168" s="213"/>
      <c r="AG168" s="196"/>
      <c r="AH168" s="196"/>
      <c r="AI168" s="232"/>
      <c r="AJ168" s="232"/>
      <c r="AK168" s="196"/>
      <c r="AL168" s="196"/>
      <c r="AM168" s="196"/>
      <c r="AN168" s="196"/>
      <c r="AO168" s="196"/>
      <c r="AP168" s="196"/>
      <c r="AQ168" s="196"/>
      <c r="AR168" s="213"/>
      <c r="AS168" s="223"/>
      <c r="AT168" s="223"/>
      <c r="AU168" s="223"/>
      <c r="AV168" s="223"/>
      <c r="AW168" s="230" t="str">
        <f>IFERROR(ROUNDDOWN((('Master File'!$AU168*100)/'Master File'!$AV168)-Master[[#This Row],[Quantity On Hand]],0),"")</f>
        <v/>
      </c>
      <c r="AX168" s="217"/>
      <c r="AY168" s="217"/>
      <c r="AZ168" s="217"/>
      <c r="BA168" s="196"/>
      <c r="BB168" s="196" t="str">
        <f t="shared" si="2"/>
        <v xml:space="preserve"> </v>
      </c>
      <c r="BC168" s="196"/>
      <c r="BD168" s="213"/>
      <c r="BE168" s="196"/>
      <c r="BF168" s="196"/>
      <c r="BG168" s="213"/>
      <c r="BH168" s="213"/>
      <c r="BI168" s="197"/>
      <c r="BJ168" s="213"/>
      <c r="BK168" s="196"/>
      <c r="BL168" s="196"/>
      <c r="BM168" s="196"/>
      <c r="BN168" s="196"/>
      <c r="BO168" s="196"/>
      <c r="BP168" s="213"/>
      <c r="BQ168" s="196"/>
    </row>
    <row r="169" spans="1:69" x14ac:dyDescent="0.25">
      <c r="A169" s="196"/>
      <c r="B169" s="197">
        <v>168</v>
      </c>
      <c r="C169" s="196" t="str">
        <f>IFERROR(LEFT(Master[[#This Row],[Taxon -Lookup Picker in GRIN]],FIND(" ",Master[[#This Row],[Taxon -Lookup Picker in GRIN]],1)-1),"")</f>
        <v/>
      </c>
      <c r="D169" s="213"/>
      <c r="E169" s="217"/>
      <c r="F169" s="217"/>
      <c r="G169" s="217"/>
      <c r="H169" s="196"/>
      <c r="I169" s="196"/>
      <c r="J169" s="196"/>
      <c r="K169" s="219"/>
      <c r="L169" s="196"/>
      <c r="M169" s="196"/>
      <c r="N169" s="196"/>
      <c r="O169" s="196"/>
      <c r="P169" s="219"/>
      <c r="Q169" s="219"/>
      <c r="R169" s="196"/>
      <c r="S169" s="233"/>
      <c r="T169" s="217"/>
      <c r="U169" s="196"/>
      <c r="V169" s="196"/>
      <c r="W169" s="196"/>
      <c r="X169" s="227" t="str">
        <f>IFERROR(CONVERT(#REF!,"ft","m"),"")</f>
        <v/>
      </c>
      <c r="Y169" s="234"/>
      <c r="Z169" s="234"/>
      <c r="AA169" s="235"/>
      <c r="AB169" s="196"/>
      <c r="AC169" s="196"/>
      <c r="AD169" s="196"/>
      <c r="AE169" s="196"/>
      <c r="AF169" s="213"/>
      <c r="AG169" s="196"/>
      <c r="AH169" s="196"/>
      <c r="AI169" s="232"/>
      <c r="AJ169" s="232"/>
      <c r="AK169" s="196"/>
      <c r="AL169" s="196"/>
      <c r="AM169" s="196"/>
      <c r="AN169" s="196"/>
      <c r="AO169" s="196"/>
      <c r="AP169" s="196"/>
      <c r="AQ169" s="196"/>
      <c r="AR169" s="213"/>
      <c r="AS169" s="223"/>
      <c r="AT169" s="223"/>
      <c r="AU169" s="223"/>
      <c r="AV169" s="223"/>
      <c r="AW169" s="230" t="str">
        <f>IFERROR(ROUNDDOWN((('Master File'!$AU169*100)/'Master File'!$AV169)-Master[[#This Row],[Quantity On Hand]],0),"")</f>
        <v/>
      </c>
      <c r="AX169" s="217"/>
      <c r="AY169" s="217"/>
      <c r="AZ169" s="217"/>
      <c r="BA169" s="196"/>
      <c r="BB169" s="196" t="str">
        <f t="shared" si="2"/>
        <v xml:space="preserve"> </v>
      </c>
      <c r="BC169" s="196"/>
      <c r="BD169" s="213"/>
      <c r="BE169" s="196"/>
      <c r="BF169" s="196"/>
      <c r="BG169" s="213"/>
      <c r="BH169" s="213"/>
      <c r="BI169" s="197"/>
      <c r="BJ169" s="213"/>
      <c r="BK169" s="196"/>
      <c r="BL169" s="196"/>
      <c r="BM169" s="196"/>
      <c r="BN169" s="196"/>
      <c r="BO169" s="196"/>
      <c r="BP169" s="213"/>
      <c r="BQ169" s="196"/>
    </row>
    <row r="170" spans="1:69" x14ac:dyDescent="0.25">
      <c r="A170" s="196"/>
      <c r="B170" s="196">
        <v>169</v>
      </c>
      <c r="C170" s="196" t="str">
        <f>IFERROR(LEFT(Master[[#This Row],[Taxon -Lookup Picker in GRIN]],FIND(" ",Master[[#This Row],[Taxon -Lookup Picker in GRIN]],1)-1),"")</f>
        <v/>
      </c>
      <c r="D170" s="213"/>
      <c r="E170" s="217"/>
      <c r="F170" s="217"/>
      <c r="G170" s="217"/>
      <c r="H170" s="196"/>
      <c r="I170" s="196"/>
      <c r="J170" s="196"/>
      <c r="K170" s="219"/>
      <c r="L170" s="196"/>
      <c r="M170" s="196"/>
      <c r="N170" s="196"/>
      <c r="O170" s="196"/>
      <c r="P170" s="219"/>
      <c r="Q170" s="219"/>
      <c r="R170" s="196"/>
      <c r="S170" s="233"/>
      <c r="T170" s="217"/>
      <c r="U170" s="196"/>
      <c r="V170" s="196"/>
      <c r="W170" s="196"/>
      <c r="X170" s="227" t="str">
        <f>IFERROR(CONVERT(#REF!,"ft","m"),"")</f>
        <v/>
      </c>
      <c r="Y170" s="234"/>
      <c r="Z170" s="234"/>
      <c r="AA170" s="235"/>
      <c r="AB170" s="196"/>
      <c r="AC170" s="196"/>
      <c r="AD170" s="196"/>
      <c r="AE170" s="196"/>
      <c r="AF170" s="213"/>
      <c r="AG170" s="196"/>
      <c r="AH170" s="196"/>
      <c r="AI170" s="232"/>
      <c r="AJ170" s="232"/>
      <c r="AK170" s="196"/>
      <c r="AL170" s="196"/>
      <c r="AM170" s="196"/>
      <c r="AN170" s="196"/>
      <c r="AO170" s="196"/>
      <c r="AP170" s="196"/>
      <c r="AQ170" s="196"/>
      <c r="AR170" s="213"/>
      <c r="AS170" s="223"/>
      <c r="AT170" s="223"/>
      <c r="AU170" s="223"/>
      <c r="AV170" s="223"/>
      <c r="AW170" s="230" t="str">
        <f>IFERROR(ROUNDDOWN((('Master File'!$AU170*100)/'Master File'!$AV170)-Master[[#This Row],[Quantity On Hand]],0),"")</f>
        <v/>
      </c>
      <c r="AX170" s="217"/>
      <c r="AY170" s="217"/>
      <c r="AZ170" s="217"/>
      <c r="BA170" s="196"/>
      <c r="BB170" s="196" t="str">
        <f t="shared" si="2"/>
        <v xml:space="preserve"> </v>
      </c>
      <c r="BC170" s="196"/>
      <c r="BD170" s="213"/>
      <c r="BE170" s="196"/>
      <c r="BF170" s="196"/>
      <c r="BG170" s="213"/>
      <c r="BH170" s="213"/>
      <c r="BI170" s="197"/>
      <c r="BJ170" s="213"/>
      <c r="BK170" s="196"/>
      <c r="BL170" s="196"/>
      <c r="BM170" s="196"/>
      <c r="BN170" s="196"/>
      <c r="BO170" s="196"/>
      <c r="BP170" s="213"/>
      <c r="BQ170" s="196"/>
    </row>
    <row r="171" spans="1:69" x14ac:dyDescent="0.25">
      <c r="A171" s="196"/>
      <c r="B171" s="196">
        <v>170</v>
      </c>
      <c r="C171" s="196" t="str">
        <f>IFERROR(LEFT(Master[[#This Row],[Taxon -Lookup Picker in GRIN]],FIND(" ",Master[[#This Row],[Taxon -Lookup Picker in GRIN]],1)-1),"")</f>
        <v/>
      </c>
      <c r="D171" s="213"/>
      <c r="E171" s="217"/>
      <c r="F171" s="217"/>
      <c r="G171" s="217"/>
      <c r="H171" s="196"/>
      <c r="I171" s="196"/>
      <c r="J171" s="196"/>
      <c r="K171" s="219"/>
      <c r="L171" s="196"/>
      <c r="M171" s="196"/>
      <c r="N171" s="196"/>
      <c r="O171" s="196"/>
      <c r="P171" s="219"/>
      <c r="Q171" s="219"/>
      <c r="R171" s="196"/>
      <c r="S171" s="233"/>
      <c r="T171" s="217"/>
      <c r="U171" s="196"/>
      <c r="V171" s="196"/>
      <c r="W171" s="196"/>
      <c r="X171" s="227" t="str">
        <f>IFERROR(CONVERT(#REF!,"ft","m"),"")</f>
        <v/>
      </c>
      <c r="Y171" s="234"/>
      <c r="Z171" s="234"/>
      <c r="AA171" s="235"/>
      <c r="AB171" s="196"/>
      <c r="AC171" s="196"/>
      <c r="AD171" s="196"/>
      <c r="AE171" s="196"/>
      <c r="AF171" s="213"/>
      <c r="AG171" s="196"/>
      <c r="AH171" s="196"/>
      <c r="AI171" s="232"/>
      <c r="AJ171" s="232"/>
      <c r="AK171" s="196"/>
      <c r="AL171" s="196"/>
      <c r="AM171" s="196"/>
      <c r="AN171" s="196"/>
      <c r="AO171" s="196"/>
      <c r="AP171" s="196"/>
      <c r="AQ171" s="196"/>
      <c r="AR171" s="213"/>
      <c r="AS171" s="223"/>
      <c r="AT171" s="223"/>
      <c r="AU171" s="223"/>
      <c r="AV171" s="223"/>
      <c r="AW171" s="230" t="str">
        <f>IFERROR(ROUNDDOWN((('Master File'!$AU171*100)/'Master File'!$AV171)-Master[[#This Row],[Quantity On Hand]],0),"")</f>
        <v/>
      </c>
      <c r="AX171" s="217"/>
      <c r="AY171" s="217"/>
      <c r="AZ171" s="217"/>
      <c r="BA171" s="196"/>
      <c r="BB171" s="196" t="str">
        <f t="shared" si="2"/>
        <v xml:space="preserve"> </v>
      </c>
      <c r="BC171" s="196"/>
      <c r="BD171" s="213"/>
      <c r="BE171" s="196"/>
      <c r="BF171" s="196"/>
      <c r="BG171" s="213"/>
      <c r="BH171" s="213"/>
      <c r="BI171" s="197"/>
      <c r="BJ171" s="213"/>
      <c r="BK171" s="196"/>
      <c r="BL171" s="196"/>
      <c r="BM171" s="196"/>
      <c r="BN171" s="196"/>
      <c r="BO171" s="196"/>
      <c r="BP171" s="213"/>
      <c r="BQ171" s="196"/>
    </row>
    <row r="172" spans="1:69" x14ac:dyDescent="0.25">
      <c r="A172" s="196"/>
      <c r="B172" s="196">
        <v>171</v>
      </c>
      <c r="C172" s="196" t="str">
        <f>IFERROR(LEFT(Master[[#This Row],[Taxon -Lookup Picker in GRIN]],FIND(" ",Master[[#This Row],[Taxon -Lookup Picker in GRIN]],1)-1),"")</f>
        <v/>
      </c>
      <c r="D172" s="213"/>
      <c r="E172" s="217"/>
      <c r="F172" s="217"/>
      <c r="G172" s="217"/>
      <c r="H172" s="196"/>
      <c r="I172" s="196"/>
      <c r="J172" s="196"/>
      <c r="K172" s="219"/>
      <c r="L172" s="196"/>
      <c r="M172" s="196"/>
      <c r="N172" s="196"/>
      <c r="O172" s="196"/>
      <c r="P172" s="219"/>
      <c r="Q172" s="219"/>
      <c r="R172" s="196"/>
      <c r="S172" s="233"/>
      <c r="T172" s="217"/>
      <c r="U172" s="196"/>
      <c r="V172" s="196"/>
      <c r="W172" s="196"/>
      <c r="X172" s="227" t="str">
        <f>IFERROR(CONVERT(#REF!,"ft","m"),"")</f>
        <v/>
      </c>
      <c r="Y172" s="234"/>
      <c r="Z172" s="234"/>
      <c r="AA172" s="235"/>
      <c r="AB172" s="196"/>
      <c r="AC172" s="196"/>
      <c r="AD172" s="196"/>
      <c r="AE172" s="196"/>
      <c r="AF172" s="213"/>
      <c r="AG172" s="196"/>
      <c r="AH172" s="196"/>
      <c r="AI172" s="232"/>
      <c r="AJ172" s="232"/>
      <c r="AK172" s="196"/>
      <c r="AL172" s="196"/>
      <c r="AM172" s="196"/>
      <c r="AN172" s="196"/>
      <c r="AO172" s="196"/>
      <c r="AP172" s="196"/>
      <c r="AQ172" s="196"/>
      <c r="AR172" s="213"/>
      <c r="AS172" s="223"/>
      <c r="AT172" s="223"/>
      <c r="AU172" s="223"/>
      <c r="AV172" s="223"/>
      <c r="AW172" s="230" t="str">
        <f>IFERROR(ROUNDDOWN((('Master File'!$AU172*100)/'Master File'!$AV172)-Master[[#This Row],[Quantity On Hand]],0),"")</f>
        <v/>
      </c>
      <c r="AX172" s="217"/>
      <c r="AY172" s="217"/>
      <c r="AZ172" s="217"/>
      <c r="BA172" s="196"/>
      <c r="BB172" s="196" t="str">
        <f t="shared" si="2"/>
        <v xml:space="preserve"> </v>
      </c>
      <c r="BC172" s="196"/>
      <c r="BD172" s="213"/>
      <c r="BE172" s="196"/>
      <c r="BF172" s="196"/>
      <c r="BG172" s="213"/>
      <c r="BH172" s="213"/>
      <c r="BI172" s="197"/>
      <c r="BJ172" s="213"/>
      <c r="BK172" s="196"/>
      <c r="BL172" s="196"/>
      <c r="BM172" s="196"/>
      <c r="BN172" s="196"/>
      <c r="BO172" s="196"/>
      <c r="BP172" s="213"/>
      <c r="BQ172" s="196"/>
    </row>
    <row r="173" spans="1:69" x14ac:dyDescent="0.25">
      <c r="A173" s="196"/>
      <c r="B173" s="197">
        <v>172</v>
      </c>
      <c r="C173" s="196" t="str">
        <f>IFERROR(LEFT(Master[[#This Row],[Taxon -Lookup Picker in GRIN]],FIND(" ",Master[[#This Row],[Taxon -Lookup Picker in GRIN]],1)-1),"")</f>
        <v/>
      </c>
      <c r="D173" s="213"/>
      <c r="E173" s="217"/>
      <c r="F173" s="217"/>
      <c r="G173" s="217"/>
      <c r="H173" s="196"/>
      <c r="I173" s="196"/>
      <c r="J173" s="196"/>
      <c r="K173" s="219"/>
      <c r="L173" s="196"/>
      <c r="M173" s="196"/>
      <c r="N173" s="196"/>
      <c r="O173" s="196"/>
      <c r="P173" s="219"/>
      <c r="Q173" s="219"/>
      <c r="R173" s="196"/>
      <c r="S173" s="233"/>
      <c r="T173" s="217"/>
      <c r="U173" s="196"/>
      <c r="V173" s="196"/>
      <c r="W173" s="196"/>
      <c r="X173" s="227" t="str">
        <f>IFERROR(CONVERT(#REF!,"ft","m"),"")</f>
        <v/>
      </c>
      <c r="Y173" s="234"/>
      <c r="Z173" s="234"/>
      <c r="AA173" s="235"/>
      <c r="AB173" s="196"/>
      <c r="AC173" s="196"/>
      <c r="AD173" s="196"/>
      <c r="AE173" s="196"/>
      <c r="AF173" s="213"/>
      <c r="AG173" s="196"/>
      <c r="AH173" s="196"/>
      <c r="AI173" s="232"/>
      <c r="AJ173" s="232"/>
      <c r="AK173" s="196"/>
      <c r="AL173" s="196"/>
      <c r="AM173" s="196"/>
      <c r="AN173" s="196"/>
      <c r="AO173" s="196"/>
      <c r="AP173" s="196"/>
      <c r="AQ173" s="196"/>
      <c r="AR173" s="213"/>
      <c r="AS173" s="223"/>
      <c r="AT173" s="223"/>
      <c r="AU173" s="223"/>
      <c r="AV173" s="223"/>
      <c r="AW173" s="230" t="str">
        <f>IFERROR(ROUNDDOWN((('Master File'!$AU173*100)/'Master File'!$AV173)-Master[[#This Row],[Quantity On Hand]],0),"")</f>
        <v/>
      </c>
      <c r="AX173" s="217"/>
      <c r="AY173" s="217"/>
      <c r="AZ173" s="217"/>
      <c r="BA173" s="196"/>
      <c r="BB173" s="196" t="str">
        <f t="shared" si="2"/>
        <v xml:space="preserve"> </v>
      </c>
      <c r="BC173" s="196"/>
      <c r="BD173" s="213"/>
      <c r="BE173" s="196"/>
      <c r="BF173" s="196"/>
      <c r="BG173" s="213"/>
      <c r="BH173" s="213"/>
      <c r="BI173" s="197"/>
      <c r="BJ173" s="213"/>
      <c r="BK173" s="196"/>
      <c r="BL173" s="196"/>
      <c r="BM173" s="196"/>
      <c r="BN173" s="196"/>
      <c r="BO173" s="196"/>
      <c r="BP173" s="213"/>
      <c r="BQ173" s="196"/>
    </row>
    <row r="174" spans="1:69" x14ac:dyDescent="0.25">
      <c r="A174" s="196"/>
      <c r="B174" s="196">
        <v>173</v>
      </c>
      <c r="C174" s="196" t="str">
        <f>IFERROR(LEFT(Master[[#This Row],[Taxon -Lookup Picker in GRIN]],FIND(" ",Master[[#This Row],[Taxon -Lookup Picker in GRIN]],1)-1),"")</f>
        <v/>
      </c>
      <c r="D174" s="213"/>
      <c r="E174" s="217"/>
      <c r="F174" s="217"/>
      <c r="G174" s="217"/>
      <c r="H174" s="196"/>
      <c r="I174" s="196"/>
      <c r="J174" s="196"/>
      <c r="K174" s="219"/>
      <c r="L174" s="196"/>
      <c r="M174" s="196"/>
      <c r="N174" s="196"/>
      <c r="O174" s="196"/>
      <c r="P174" s="219"/>
      <c r="Q174" s="219"/>
      <c r="R174" s="196"/>
      <c r="S174" s="233"/>
      <c r="T174" s="217"/>
      <c r="U174" s="196"/>
      <c r="V174" s="196"/>
      <c r="W174" s="196"/>
      <c r="X174" s="227" t="str">
        <f>IFERROR(CONVERT(#REF!,"ft","m"),"")</f>
        <v/>
      </c>
      <c r="Y174" s="234"/>
      <c r="Z174" s="234"/>
      <c r="AA174" s="235"/>
      <c r="AB174" s="196"/>
      <c r="AC174" s="196"/>
      <c r="AD174" s="196"/>
      <c r="AE174" s="196"/>
      <c r="AF174" s="213"/>
      <c r="AG174" s="196"/>
      <c r="AH174" s="196"/>
      <c r="AI174" s="232"/>
      <c r="AJ174" s="232"/>
      <c r="AK174" s="196"/>
      <c r="AL174" s="196"/>
      <c r="AM174" s="196"/>
      <c r="AN174" s="196"/>
      <c r="AO174" s="196"/>
      <c r="AP174" s="196"/>
      <c r="AQ174" s="196"/>
      <c r="AR174" s="213"/>
      <c r="AS174" s="223"/>
      <c r="AT174" s="223"/>
      <c r="AU174" s="223"/>
      <c r="AV174" s="223"/>
      <c r="AW174" s="230" t="str">
        <f>IFERROR(ROUNDDOWN((('Master File'!$AU174*100)/'Master File'!$AV174)-Master[[#This Row],[Quantity On Hand]],0),"")</f>
        <v/>
      </c>
      <c r="AX174" s="217"/>
      <c r="AY174" s="217"/>
      <c r="AZ174" s="217"/>
      <c r="BA174" s="196"/>
      <c r="BB174" s="196" t="str">
        <f t="shared" si="2"/>
        <v xml:space="preserve"> </v>
      </c>
      <c r="BC174" s="196"/>
      <c r="BD174" s="213"/>
      <c r="BE174" s="196"/>
      <c r="BF174" s="196"/>
      <c r="BG174" s="213"/>
      <c r="BH174" s="213"/>
      <c r="BI174" s="197"/>
      <c r="BJ174" s="213"/>
      <c r="BK174" s="196"/>
      <c r="BL174" s="196"/>
      <c r="BM174" s="196"/>
      <c r="BN174" s="196"/>
      <c r="BO174" s="196"/>
      <c r="BP174" s="213"/>
      <c r="BQ174" s="196"/>
    </row>
    <row r="175" spans="1:69" x14ac:dyDescent="0.25">
      <c r="A175" s="196"/>
      <c r="B175" s="197">
        <v>174</v>
      </c>
      <c r="C175" s="196" t="str">
        <f>IFERROR(LEFT(Master[[#This Row],[Taxon -Lookup Picker in GRIN]],FIND(" ",Master[[#This Row],[Taxon -Lookup Picker in GRIN]],1)-1),"")</f>
        <v/>
      </c>
      <c r="D175" s="213"/>
      <c r="E175" s="217"/>
      <c r="F175" s="217"/>
      <c r="G175" s="217"/>
      <c r="H175" s="196"/>
      <c r="I175" s="196"/>
      <c r="J175" s="196"/>
      <c r="K175" s="219"/>
      <c r="L175" s="196"/>
      <c r="M175" s="196"/>
      <c r="N175" s="196"/>
      <c r="O175" s="196"/>
      <c r="P175" s="219"/>
      <c r="Q175" s="219"/>
      <c r="R175" s="196"/>
      <c r="S175" s="233"/>
      <c r="T175" s="217"/>
      <c r="U175" s="196"/>
      <c r="V175" s="196"/>
      <c r="W175" s="196"/>
      <c r="X175" s="227" t="str">
        <f>IFERROR(CONVERT(#REF!,"ft","m"),"")</f>
        <v/>
      </c>
      <c r="Y175" s="234"/>
      <c r="Z175" s="234"/>
      <c r="AA175" s="235"/>
      <c r="AB175" s="196"/>
      <c r="AC175" s="196"/>
      <c r="AD175" s="196"/>
      <c r="AE175" s="196"/>
      <c r="AF175" s="213"/>
      <c r="AG175" s="196"/>
      <c r="AH175" s="196"/>
      <c r="AI175" s="232"/>
      <c r="AJ175" s="232"/>
      <c r="AK175" s="196"/>
      <c r="AL175" s="196"/>
      <c r="AM175" s="196"/>
      <c r="AN175" s="196"/>
      <c r="AO175" s="196"/>
      <c r="AP175" s="196"/>
      <c r="AQ175" s="196"/>
      <c r="AR175" s="213"/>
      <c r="AS175" s="223"/>
      <c r="AT175" s="223"/>
      <c r="AU175" s="223"/>
      <c r="AV175" s="223"/>
      <c r="AW175" s="230" t="str">
        <f>IFERROR(ROUNDDOWN((('Master File'!$AU175*100)/'Master File'!$AV175)-Master[[#This Row],[Quantity On Hand]],0),"")</f>
        <v/>
      </c>
      <c r="AX175" s="217"/>
      <c r="AY175" s="217"/>
      <c r="AZ175" s="217"/>
      <c r="BA175" s="196"/>
      <c r="BB175" s="196" t="str">
        <f t="shared" si="2"/>
        <v xml:space="preserve"> </v>
      </c>
      <c r="BC175" s="196"/>
      <c r="BD175" s="213"/>
      <c r="BE175" s="196"/>
      <c r="BF175" s="196"/>
      <c r="BG175" s="213"/>
      <c r="BH175" s="213"/>
      <c r="BI175" s="197"/>
      <c r="BJ175" s="213"/>
      <c r="BK175" s="196"/>
      <c r="BL175" s="196"/>
      <c r="BM175" s="196"/>
      <c r="BN175" s="196"/>
      <c r="BO175" s="196"/>
      <c r="BP175" s="213"/>
      <c r="BQ175" s="196"/>
    </row>
    <row r="176" spans="1:69" x14ac:dyDescent="0.25">
      <c r="A176" s="196"/>
      <c r="B176" s="196">
        <v>175</v>
      </c>
      <c r="C176" s="196" t="str">
        <f>IFERROR(LEFT(Master[[#This Row],[Taxon -Lookup Picker in GRIN]],FIND(" ",Master[[#This Row],[Taxon -Lookup Picker in GRIN]],1)-1),"")</f>
        <v/>
      </c>
      <c r="D176" s="213"/>
      <c r="E176" s="217"/>
      <c r="F176" s="217"/>
      <c r="G176" s="217"/>
      <c r="H176" s="196"/>
      <c r="I176" s="196"/>
      <c r="J176" s="196"/>
      <c r="K176" s="219"/>
      <c r="L176" s="196"/>
      <c r="M176" s="196"/>
      <c r="N176" s="196"/>
      <c r="O176" s="196"/>
      <c r="P176" s="219"/>
      <c r="Q176" s="219"/>
      <c r="R176" s="196"/>
      <c r="S176" s="233"/>
      <c r="T176" s="217"/>
      <c r="U176" s="196"/>
      <c r="V176" s="196"/>
      <c r="W176" s="196"/>
      <c r="X176" s="227" t="str">
        <f>IFERROR(CONVERT(#REF!,"ft","m"),"")</f>
        <v/>
      </c>
      <c r="Y176" s="234"/>
      <c r="Z176" s="234"/>
      <c r="AA176" s="235"/>
      <c r="AB176" s="196"/>
      <c r="AC176" s="196"/>
      <c r="AD176" s="196"/>
      <c r="AE176" s="196"/>
      <c r="AF176" s="213"/>
      <c r="AG176" s="196"/>
      <c r="AH176" s="196"/>
      <c r="AI176" s="232"/>
      <c r="AJ176" s="232"/>
      <c r="AK176" s="196"/>
      <c r="AL176" s="196"/>
      <c r="AM176" s="196"/>
      <c r="AN176" s="196"/>
      <c r="AO176" s="196"/>
      <c r="AP176" s="196"/>
      <c r="AQ176" s="196"/>
      <c r="AR176" s="213"/>
      <c r="AS176" s="223"/>
      <c r="AT176" s="223"/>
      <c r="AU176" s="223"/>
      <c r="AV176" s="223"/>
      <c r="AW176" s="230" t="str">
        <f>IFERROR(ROUNDDOWN((('Master File'!$AU176*100)/'Master File'!$AV176)-Master[[#This Row],[Quantity On Hand]],0),"")</f>
        <v/>
      </c>
      <c r="AX176" s="217"/>
      <c r="AY176" s="217"/>
      <c r="AZ176" s="217"/>
      <c r="BA176" s="196"/>
      <c r="BB176" s="196" t="str">
        <f t="shared" si="2"/>
        <v xml:space="preserve"> </v>
      </c>
      <c r="BC176" s="196"/>
      <c r="BD176" s="213"/>
      <c r="BE176" s="196"/>
      <c r="BF176" s="196"/>
      <c r="BG176" s="213"/>
      <c r="BH176" s="213"/>
      <c r="BI176" s="197"/>
      <c r="BJ176" s="213"/>
      <c r="BK176" s="196"/>
      <c r="BL176" s="196"/>
      <c r="BM176" s="196"/>
      <c r="BN176" s="196"/>
      <c r="BO176" s="196"/>
      <c r="BP176" s="213"/>
      <c r="BQ176" s="196"/>
    </row>
    <row r="177" spans="1:69" x14ac:dyDescent="0.25">
      <c r="A177" s="196"/>
      <c r="B177" s="196">
        <v>176</v>
      </c>
      <c r="C177" s="196" t="str">
        <f>IFERROR(LEFT(Master[[#This Row],[Taxon -Lookup Picker in GRIN]],FIND(" ",Master[[#This Row],[Taxon -Lookup Picker in GRIN]],1)-1),"")</f>
        <v/>
      </c>
      <c r="D177" s="213"/>
      <c r="E177" s="217"/>
      <c r="F177" s="217"/>
      <c r="G177" s="217"/>
      <c r="H177" s="196"/>
      <c r="I177" s="196"/>
      <c r="J177" s="196"/>
      <c r="K177" s="219"/>
      <c r="L177" s="196"/>
      <c r="M177" s="196"/>
      <c r="N177" s="196"/>
      <c r="O177" s="196"/>
      <c r="P177" s="219"/>
      <c r="Q177" s="219"/>
      <c r="R177" s="196"/>
      <c r="S177" s="233"/>
      <c r="T177" s="217"/>
      <c r="U177" s="196"/>
      <c r="V177" s="196"/>
      <c r="W177" s="196"/>
      <c r="X177" s="227" t="str">
        <f>IFERROR(CONVERT(#REF!,"ft","m"),"")</f>
        <v/>
      </c>
      <c r="Y177" s="234"/>
      <c r="Z177" s="234"/>
      <c r="AA177" s="235"/>
      <c r="AB177" s="196"/>
      <c r="AC177" s="196"/>
      <c r="AD177" s="196"/>
      <c r="AE177" s="196"/>
      <c r="AF177" s="213"/>
      <c r="AG177" s="196"/>
      <c r="AH177" s="196"/>
      <c r="AI177" s="232"/>
      <c r="AJ177" s="232"/>
      <c r="AK177" s="196"/>
      <c r="AL177" s="196"/>
      <c r="AM177" s="196"/>
      <c r="AN177" s="196"/>
      <c r="AO177" s="196"/>
      <c r="AP177" s="196"/>
      <c r="AQ177" s="196"/>
      <c r="AR177" s="213"/>
      <c r="AS177" s="223"/>
      <c r="AT177" s="223"/>
      <c r="AU177" s="223"/>
      <c r="AV177" s="223"/>
      <c r="AW177" s="230" t="str">
        <f>IFERROR(ROUNDDOWN((('Master File'!$AU177*100)/'Master File'!$AV177)-Master[[#This Row],[Quantity On Hand]],0),"")</f>
        <v/>
      </c>
      <c r="AX177" s="217"/>
      <c r="AY177" s="217"/>
      <c r="AZ177" s="217"/>
      <c r="BA177" s="196"/>
      <c r="BB177" s="196" t="str">
        <f t="shared" si="2"/>
        <v xml:space="preserve"> </v>
      </c>
      <c r="BC177" s="196"/>
      <c r="BD177" s="213"/>
      <c r="BE177" s="196"/>
      <c r="BF177" s="196"/>
      <c r="BG177" s="213"/>
      <c r="BH177" s="213"/>
      <c r="BI177" s="197"/>
      <c r="BJ177" s="213"/>
      <c r="BK177" s="196"/>
      <c r="BL177" s="196"/>
      <c r="BM177" s="196"/>
      <c r="BN177" s="196"/>
      <c r="BO177" s="196"/>
      <c r="BP177" s="213"/>
      <c r="BQ177" s="196"/>
    </row>
    <row r="178" spans="1:69" x14ac:dyDescent="0.25">
      <c r="A178" s="196"/>
      <c r="B178" s="196">
        <v>177</v>
      </c>
      <c r="C178" s="196" t="str">
        <f>IFERROR(LEFT(Master[[#This Row],[Taxon -Lookup Picker in GRIN]],FIND(" ",Master[[#This Row],[Taxon -Lookup Picker in GRIN]],1)-1),"")</f>
        <v/>
      </c>
      <c r="D178" s="213"/>
      <c r="E178" s="217"/>
      <c r="F178" s="217"/>
      <c r="G178" s="217"/>
      <c r="H178" s="196"/>
      <c r="I178" s="196"/>
      <c r="J178" s="196"/>
      <c r="K178" s="219"/>
      <c r="L178" s="196"/>
      <c r="M178" s="196"/>
      <c r="N178" s="196"/>
      <c r="O178" s="196"/>
      <c r="P178" s="219"/>
      <c r="Q178" s="219"/>
      <c r="R178" s="196"/>
      <c r="S178" s="233"/>
      <c r="T178" s="217"/>
      <c r="U178" s="196"/>
      <c r="V178" s="196"/>
      <c r="W178" s="196"/>
      <c r="X178" s="227" t="str">
        <f>IFERROR(CONVERT(#REF!,"ft","m"),"")</f>
        <v/>
      </c>
      <c r="Y178" s="234"/>
      <c r="Z178" s="234"/>
      <c r="AA178" s="235"/>
      <c r="AB178" s="196"/>
      <c r="AC178" s="196"/>
      <c r="AD178" s="196"/>
      <c r="AE178" s="196"/>
      <c r="AF178" s="213"/>
      <c r="AG178" s="196"/>
      <c r="AH178" s="196"/>
      <c r="AI178" s="232"/>
      <c r="AJ178" s="232"/>
      <c r="AK178" s="196"/>
      <c r="AL178" s="196"/>
      <c r="AM178" s="196"/>
      <c r="AN178" s="196"/>
      <c r="AO178" s="196"/>
      <c r="AP178" s="196"/>
      <c r="AQ178" s="196"/>
      <c r="AR178" s="213"/>
      <c r="AS178" s="223"/>
      <c r="AT178" s="223"/>
      <c r="AU178" s="223"/>
      <c r="AV178" s="223"/>
      <c r="AW178" s="230" t="str">
        <f>IFERROR(ROUNDDOWN((('Master File'!$AU178*100)/'Master File'!$AV178)-Master[[#This Row],[Quantity On Hand]],0),"")</f>
        <v/>
      </c>
      <c r="AX178" s="217"/>
      <c r="AY178" s="217"/>
      <c r="AZ178" s="217"/>
      <c r="BA178" s="196"/>
      <c r="BB178" s="196" t="str">
        <f t="shared" si="2"/>
        <v xml:space="preserve"> </v>
      </c>
      <c r="BC178" s="196"/>
      <c r="BD178" s="213"/>
      <c r="BE178" s="196"/>
      <c r="BF178" s="196"/>
      <c r="BG178" s="213"/>
      <c r="BH178" s="213"/>
      <c r="BI178" s="197"/>
      <c r="BJ178" s="213"/>
      <c r="BK178" s="196"/>
      <c r="BL178" s="196"/>
      <c r="BM178" s="196"/>
      <c r="BN178" s="196"/>
      <c r="BO178" s="196"/>
      <c r="BP178" s="213"/>
      <c r="BQ178" s="196"/>
    </row>
    <row r="179" spans="1:69" x14ac:dyDescent="0.25">
      <c r="A179" s="196"/>
      <c r="B179" s="197">
        <v>178</v>
      </c>
      <c r="C179" s="196" t="str">
        <f>IFERROR(LEFT(Master[[#This Row],[Taxon -Lookup Picker in GRIN]],FIND(" ",Master[[#This Row],[Taxon -Lookup Picker in GRIN]],1)-1),"")</f>
        <v/>
      </c>
      <c r="D179" s="213"/>
      <c r="E179" s="217"/>
      <c r="F179" s="217"/>
      <c r="G179" s="217"/>
      <c r="H179" s="196"/>
      <c r="I179" s="196"/>
      <c r="J179" s="196"/>
      <c r="K179" s="219"/>
      <c r="L179" s="196"/>
      <c r="M179" s="196"/>
      <c r="N179" s="196"/>
      <c r="O179" s="196"/>
      <c r="P179" s="219"/>
      <c r="Q179" s="219"/>
      <c r="R179" s="196"/>
      <c r="S179" s="233"/>
      <c r="T179" s="217"/>
      <c r="U179" s="196"/>
      <c r="V179" s="196"/>
      <c r="W179" s="196"/>
      <c r="X179" s="227" t="str">
        <f>IFERROR(CONVERT(#REF!,"ft","m"),"")</f>
        <v/>
      </c>
      <c r="Y179" s="234"/>
      <c r="Z179" s="234"/>
      <c r="AA179" s="235"/>
      <c r="AB179" s="196"/>
      <c r="AC179" s="196"/>
      <c r="AD179" s="196"/>
      <c r="AE179" s="196"/>
      <c r="AF179" s="213"/>
      <c r="AG179" s="196"/>
      <c r="AH179" s="196"/>
      <c r="AI179" s="232"/>
      <c r="AJ179" s="232"/>
      <c r="AK179" s="196"/>
      <c r="AL179" s="196"/>
      <c r="AM179" s="196"/>
      <c r="AN179" s="196"/>
      <c r="AO179" s="196"/>
      <c r="AP179" s="196"/>
      <c r="AQ179" s="196"/>
      <c r="AR179" s="213"/>
      <c r="AS179" s="223"/>
      <c r="AT179" s="223"/>
      <c r="AU179" s="223"/>
      <c r="AV179" s="223"/>
      <c r="AW179" s="230" t="str">
        <f>IFERROR(ROUNDDOWN((('Master File'!$AU179*100)/'Master File'!$AV179)-Master[[#This Row],[Quantity On Hand]],0),"")</f>
        <v/>
      </c>
      <c r="AX179" s="217"/>
      <c r="AY179" s="217"/>
      <c r="AZ179" s="217"/>
      <c r="BA179" s="196"/>
      <c r="BB179" s="196" t="str">
        <f t="shared" si="2"/>
        <v xml:space="preserve"> </v>
      </c>
      <c r="BC179" s="196"/>
      <c r="BD179" s="213"/>
      <c r="BE179" s="196"/>
      <c r="BF179" s="196"/>
      <c r="BG179" s="213"/>
      <c r="BH179" s="213"/>
      <c r="BI179" s="197"/>
      <c r="BJ179" s="213"/>
      <c r="BK179" s="196"/>
      <c r="BL179" s="196"/>
      <c r="BM179" s="196"/>
      <c r="BN179" s="196"/>
      <c r="BO179" s="196"/>
      <c r="BP179" s="213"/>
      <c r="BQ179" s="196"/>
    </row>
    <row r="180" spans="1:69" x14ac:dyDescent="0.25">
      <c r="A180" s="196"/>
      <c r="B180" s="196">
        <v>179</v>
      </c>
      <c r="C180" s="196" t="str">
        <f>IFERROR(LEFT(Master[[#This Row],[Taxon -Lookup Picker in GRIN]],FIND(" ",Master[[#This Row],[Taxon -Lookup Picker in GRIN]],1)-1),"")</f>
        <v/>
      </c>
      <c r="D180" s="213"/>
      <c r="E180" s="217"/>
      <c r="F180" s="217"/>
      <c r="G180" s="217"/>
      <c r="H180" s="196"/>
      <c r="I180" s="196"/>
      <c r="J180" s="196"/>
      <c r="K180" s="219"/>
      <c r="L180" s="196"/>
      <c r="M180" s="196"/>
      <c r="N180" s="196"/>
      <c r="O180" s="196"/>
      <c r="P180" s="219"/>
      <c r="Q180" s="219"/>
      <c r="R180" s="196"/>
      <c r="S180" s="233"/>
      <c r="T180" s="217"/>
      <c r="U180" s="196"/>
      <c r="V180" s="196"/>
      <c r="W180" s="196"/>
      <c r="X180" s="227" t="str">
        <f>IFERROR(CONVERT(#REF!,"ft","m"),"")</f>
        <v/>
      </c>
      <c r="Y180" s="234"/>
      <c r="Z180" s="234"/>
      <c r="AA180" s="235"/>
      <c r="AB180" s="196"/>
      <c r="AC180" s="196"/>
      <c r="AD180" s="196"/>
      <c r="AE180" s="196"/>
      <c r="AF180" s="213"/>
      <c r="AG180" s="196"/>
      <c r="AH180" s="196"/>
      <c r="AI180" s="232"/>
      <c r="AJ180" s="232"/>
      <c r="AK180" s="196"/>
      <c r="AL180" s="196"/>
      <c r="AM180" s="196"/>
      <c r="AN180" s="196"/>
      <c r="AO180" s="196"/>
      <c r="AP180" s="196"/>
      <c r="AQ180" s="196"/>
      <c r="AR180" s="213"/>
      <c r="AS180" s="223"/>
      <c r="AT180" s="223"/>
      <c r="AU180" s="223"/>
      <c r="AV180" s="223"/>
      <c r="AW180" s="230" t="str">
        <f>IFERROR(ROUNDDOWN((('Master File'!$AU180*100)/'Master File'!$AV180)-Master[[#This Row],[Quantity On Hand]],0),"")</f>
        <v/>
      </c>
      <c r="AX180" s="217"/>
      <c r="AY180" s="217"/>
      <c r="AZ180" s="217"/>
      <c r="BA180" s="196"/>
      <c r="BB180" s="196" t="str">
        <f t="shared" si="2"/>
        <v xml:space="preserve"> </v>
      </c>
      <c r="BC180" s="196"/>
      <c r="BD180" s="213"/>
      <c r="BE180" s="196"/>
      <c r="BF180" s="196"/>
      <c r="BG180" s="213"/>
      <c r="BH180" s="213"/>
      <c r="BI180" s="197"/>
      <c r="BJ180" s="213"/>
      <c r="BK180" s="196"/>
      <c r="BL180" s="196"/>
      <c r="BM180" s="196"/>
      <c r="BN180" s="196"/>
      <c r="BO180" s="196"/>
      <c r="BP180" s="213"/>
      <c r="BQ180" s="196"/>
    </row>
    <row r="181" spans="1:69" x14ac:dyDescent="0.25">
      <c r="A181" s="196"/>
      <c r="B181" s="197">
        <v>180</v>
      </c>
      <c r="C181" s="196" t="str">
        <f>IFERROR(LEFT(Master[[#This Row],[Taxon -Lookup Picker in GRIN]],FIND(" ",Master[[#This Row],[Taxon -Lookup Picker in GRIN]],1)-1),"")</f>
        <v/>
      </c>
      <c r="D181" s="213"/>
      <c r="E181" s="217"/>
      <c r="F181" s="217"/>
      <c r="G181" s="217"/>
      <c r="H181" s="196"/>
      <c r="I181" s="196"/>
      <c r="J181" s="196"/>
      <c r="K181" s="219"/>
      <c r="L181" s="196"/>
      <c r="M181" s="196"/>
      <c r="N181" s="196"/>
      <c r="O181" s="196"/>
      <c r="P181" s="219"/>
      <c r="Q181" s="219"/>
      <c r="R181" s="196"/>
      <c r="S181" s="233"/>
      <c r="T181" s="217"/>
      <c r="U181" s="196"/>
      <c r="V181" s="196"/>
      <c r="W181" s="196"/>
      <c r="X181" s="227" t="str">
        <f>IFERROR(CONVERT(#REF!,"ft","m"),"")</f>
        <v/>
      </c>
      <c r="Y181" s="234"/>
      <c r="Z181" s="234"/>
      <c r="AA181" s="235"/>
      <c r="AB181" s="196"/>
      <c r="AC181" s="196"/>
      <c r="AD181" s="196"/>
      <c r="AE181" s="196"/>
      <c r="AF181" s="213"/>
      <c r="AG181" s="196"/>
      <c r="AH181" s="196"/>
      <c r="AI181" s="232"/>
      <c r="AJ181" s="232"/>
      <c r="AK181" s="196"/>
      <c r="AL181" s="196"/>
      <c r="AM181" s="196"/>
      <c r="AN181" s="196"/>
      <c r="AO181" s="196"/>
      <c r="AP181" s="196"/>
      <c r="AQ181" s="196"/>
      <c r="AR181" s="213"/>
      <c r="AS181" s="223"/>
      <c r="AT181" s="223"/>
      <c r="AU181" s="223"/>
      <c r="AV181" s="223"/>
      <c r="AW181" s="230" t="str">
        <f>IFERROR(ROUNDDOWN((('Master File'!$AU181*100)/'Master File'!$AV181)-Master[[#This Row],[Quantity On Hand]],0),"")</f>
        <v/>
      </c>
      <c r="AX181" s="217"/>
      <c r="AY181" s="217"/>
      <c r="AZ181" s="217"/>
      <c r="BA181" s="196"/>
      <c r="BB181" s="196" t="str">
        <f t="shared" si="2"/>
        <v xml:space="preserve"> </v>
      </c>
      <c r="BC181" s="196"/>
      <c r="BD181" s="213"/>
      <c r="BE181" s="196"/>
      <c r="BF181" s="196"/>
      <c r="BG181" s="213"/>
      <c r="BH181" s="213"/>
      <c r="BI181" s="197"/>
      <c r="BJ181" s="213"/>
      <c r="BK181" s="196"/>
      <c r="BL181" s="196"/>
      <c r="BM181" s="196"/>
      <c r="BN181" s="196"/>
      <c r="BO181" s="196"/>
      <c r="BP181" s="213"/>
      <c r="BQ181" s="196"/>
    </row>
    <row r="182" spans="1:69" x14ac:dyDescent="0.25">
      <c r="A182" s="196"/>
      <c r="B182" s="196">
        <v>181</v>
      </c>
      <c r="C182" s="196" t="str">
        <f>IFERROR(LEFT(Master[[#This Row],[Taxon -Lookup Picker in GRIN]],FIND(" ",Master[[#This Row],[Taxon -Lookup Picker in GRIN]],1)-1),"")</f>
        <v/>
      </c>
      <c r="D182" s="213"/>
      <c r="E182" s="217"/>
      <c r="F182" s="217"/>
      <c r="G182" s="217"/>
      <c r="H182" s="196"/>
      <c r="I182" s="196"/>
      <c r="J182" s="196"/>
      <c r="K182" s="219"/>
      <c r="L182" s="196"/>
      <c r="M182" s="196"/>
      <c r="N182" s="196"/>
      <c r="O182" s="196"/>
      <c r="P182" s="219"/>
      <c r="Q182" s="219"/>
      <c r="R182" s="196"/>
      <c r="S182" s="233"/>
      <c r="T182" s="217"/>
      <c r="U182" s="196"/>
      <c r="V182" s="196"/>
      <c r="W182" s="196"/>
      <c r="X182" s="227" t="str">
        <f>IFERROR(CONVERT(#REF!,"ft","m"),"")</f>
        <v/>
      </c>
      <c r="Y182" s="234"/>
      <c r="Z182" s="234"/>
      <c r="AA182" s="235"/>
      <c r="AB182" s="196"/>
      <c r="AC182" s="196"/>
      <c r="AD182" s="196"/>
      <c r="AE182" s="196"/>
      <c r="AF182" s="213"/>
      <c r="AG182" s="196"/>
      <c r="AH182" s="196"/>
      <c r="AI182" s="232"/>
      <c r="AJ182" s="232"/>
      <c r="AK182" s="196"/>
      <c r="AL182" s="196"/>
      <c r="AM182" s="196"/>
      <c r="AN182" s="196"/>
      <c r="AO182" s="196"/>
      <c r="AP182" s="196"/>
      <c r="AQ182" s="196"/>
      <c r="AR182" s="213"/>
      <c r="AS182" s="223"/>
      <c r="AT182" s="223"/>
      <c r="AU182" s="223"/>
      <c r="AV182" s="223"/>
      <c r="AW182" s="230" t="str">
        <f>IFERROR(ROUNDDOWN((('Master File'!$AU182*100)/'Master File'!$AV182)-Master[[#This Row],[Quantity On Hand]],0),"")</f>
        <v/>
      </c>
      <c r="AX182" s="217"/>
      <c r="AY182" s="217"/>
      <c r="AZ182" s="217"/>
      <c r="BA182" s="196"/>
      <c r="BB182" s="196" t="str">
        <f t="shared" si="2"/>
        <v xml:space="preserve"> </v>
      </c>
      <c r="BC182" s="196"/>
      <c r="BD182" s="213"/>
      <c r="BE182" s="196"/>
      <c r="BF182" s="196"/>
      <c r="BG182" s="213"/>
      <c r="BH182" s="213"/>
      <c r="BI182" s="197"/>
      <c r="BJ182" s="213"/>
      <c r="BK182" s="196"/>
      <c r="BL182" s="196"/>
      <c r="BM182" s="196"/>
      <c r="BN182" s="196"/>
      <c r="BO182" s="196"/>
      <c r="BP182" s="213"/>
      <c r="BQ182" s="196"/>
    </row>
    <row r="183" spans="1:69" x14ac:dyDescent="0.25">
      <c r="A183" s="196"/>
      <c r="B183" s="196">
        <v>182</v>
      </c>
      <c r="C183" s="196" t="str">
        <f>IFERROR(LEFT(Master[[#This Row],[Taxon -Lookup Picker in GRIN]],FIND(" ",Master[[#This Row],[Taxon -Lookup Picker in GRIN]],1)-1),"")</f>
        <v/>
      </c>
      <c r="D183" s="213"/>
      <c r="E183" s="217"/>
      <c r="F183" s="217"/>
      <c r="G183" s="217"/>
      <c r="H183" s="196"/>
      <c r="I183" s="196"/>
      <c r="J183" s="196"/>
      <c r="K183" s="219"/>
      <c r="L183" s="196"/>
      <c r="M183" s="196"/>
      <c r="N183" s="196"/>
      <c r="O183" s="196"/>
      <c r="P183" s="219"/>
      <c r="Q183" s="219"/>
      <c r="R183" s="196"/>
      <c r="S183" s="233"/>
      <c r="T183" s="217"/>
      <c r="U183" s="196"/>
      <c r="V183" s="196"/>
      <c r="W183" s="196"/>
      <c r="X183" s="227" t="str">
        <f>IFERROR(CONVERT(#REF!,"ft","m"),"")</f>
        <v/>
      </c>
      <c r="Y183" s="234"/>
      <c r="Z183" s="234"/>
      <c r="AA183" s="235"/>
      <c r="AB183" s="196"/>
      <c r="AC183" s="196"/>
      <c r="AD183" s="196"/>
      <c r="AE183" s="196"/>
      <c r="AF183" s="213"/>
      <c r="AG183" s="196"/>
      <c r="AH183" s="196"/>
      <c r="AI183" s="232"/>
      <c r="AJ183" s="232"/>
      <c r="AK183" s="196"/>
      <c r="AL183" s="196"/>
      <c r="AM183" s="196"/>
      <c r="AN183" s="196"/>
      <c r="AO183" s="196"/>
      <c r="AP183" s="196"/>
      <c r="AQ183" s="196"/>
      <c r="AR183" s="213"/>
      <c r="AS183" s="223"/>
      <c r="AT183" s="223"/>
      <c r="AU183" s="223"/>
      <c r="AV183" s="223"/>
      <c r="AW183" s="230" t="str">
        <f>IFERROR(ROUNDDOWN((('Master File'!$AU183*100)/'Master File'!$AV183)-Master[[#This Row],[Quantity On Hand]],0),"")</f>
        <v/>
      </c>
      <c r="AX183" s="217"/>
      <c r="AY183" s="217"/>
      <c r="AZ183" s="217"/>
      <c r="BA183" s="196"/>
      <c r="BB183" s="196" t="str">
        <f t="shared" si="2"/>
        <v xml:space="preserve"> </v>
      </c>
      <c r="BC183" s="196"/>
      <c r="BD183" s="213"/>
      <c r="BE183" s="196"/>
      <c r="BF183" s="196"/>
      <c r="BG183" s="213"/>
      <c r="BH183" s="213"/>
      <c r="BI183" s="197"/>
      <c r="BJ183" s="213"/>
      <c r="BK183" s="196"/>
      <c r="BL183" s="196"/>
      <c r="BM183" s="196"/>
      <c r="BN183" s="196"/>
      <c r="BO183" s="196"/>
      <c r="BP183" s="213"/>
      <c r="BQ183" s="196"/>
    </row>
    <row r="184" spans="1:69" x14ac:dyDescent="0.25">
      <c r="A184" s="196"/>
      <c r="B184" s="196">
        <v>183</v>
      </c>
      <c r="C184" s="196" t="str">
        <f>IFERROR(LEFT(Master[[#This Row],[Taxon -Lookup Picker in GRIN]],FIND(" ",Master[[#This Row],[Taxon -Lookup Picker in GRIN]],1)-1),"")</f>
        <v/>
      </c>
      <c r="D184" s="213"/>
      <c r="E184" s="217"/>
      <c r="F184" s="217"/>
      <c r="G184" s="217"/>
      <c r="H184" s="196"/>
      <c r="I184" s="196"/>
      <c r="J184" s="196"/>
      <c r="K184" s="219"/>
      <c r="L184" s="196"/>
      <c r="M184" s="196"/>
      <c r="N184" s="196"/>
      <c r="O184" s="196"/>
      <c r="P184" s="219"/>
      <c r="Q184" s="219"/>
      <c r="R184" s="196"/>
      <c r="S184" s="233"/>
      <c r="T184" s="217"/>
      <c r="U184" s="196"/>
      <c r="V184" s="196"/>
      <c r="W184" s="196"/>
      <c r="X184" s="227" t="str">
        <f>IFERROR(CONVERT(#REF!,"ft","m"),"")</f>
        <v/>
      </c>
      <c r="Y184" s="234"/>
      <c r="Z184" s="234"/>
      <c r="AA184" s="235"/>
      <c r="AB184" s="196"/>
      <c r="AC184" s="196"/>
      <c r="AD184" s="196"/>
      <c r="AE184" s="196"/>
      <c r="AF184" s="213"/>
      <c r="AG184" s="196"/>
      <c r="AH184" s="196"/>
      <c r="AI184" s="232"/>
      <c r="AJ184" s="232"/>
      <c r="AK184" s="196"/>
      <c r="AL184" s="196"/>
      <c r="AM184" s="196"/>
      <c r="AN184" s="196"/>
      <c r="AO184" s="196"/>
      <c r="AP184" s="196"/>
      <c r="AQ184" s="196"/>
      <c r="AR184" s="213"/>
      <c r="AS184" s="223"/>
      <c r="AT184" s="223"/>
      <c r="AU184" s="223"/>
      <c r="AV184" s="223"/>
      <c r="AW184" s="230" t="str">
        <f>IFERROR(ROUNDDOWN((('Master File'!$AU184*100)/'Master File'!$AV184)-Master[[#This Row],[Quantity On Hand]],0),"")</f>
        <v/>
      </c>
      <c r="AX184" s="217"/>
      <c r="AY184" s="217"/>
      <c r="AZ184" s="217"/>
      <c r="BA184" s="196"/>
      <c r="BB184" s="196" t="str">
        <f t="shared" si="2"/>
        <v xml:space="preserve"> </v>
      </c>
      <c r="BC184" s="196"/>
      <c r="BD184" s="213"/>
      <c r="BE184" s="196"/>
      <c r="BF184" s="196"/>
      <c r="BG184" s="213"/>
      <c r="BH184" s="213"/>
      <c r="BI184" s="197"/>
      <c r="BJ184" s="213"/>
      <c r="BK184" s="196"/>
      <c r="BL184" s="196"/>
      <c r="BM184" s="196"/>
      <c r="BN184" s="196"/>
      <c r="BO184" s="196"/>
      <c r="BP184" s="213"/>
      <c r="BQ184" s="196"/>
    </row>
    <row r="185" spans="1:69" x14ac:dyDescent="0.25">
      <c r="A185" s="196"/>
      <c r="B185" s="197">
        <v>184</v>
      </c>
      <c r="C185" s="196" t="str">
        <f>IFERROR(LEFT(Master[[#This Row],[Taxon -Lookup Picker in GRIN]],FIND(" ",Master[[#This Row],[Taxon -Lookup Picker in GRIN]],1)-1),"")</f>
        <v/>
      </c>
      <c r="D185" s="213"/>
      <c r="E185" s="217"/>
      <c r="F185" s="217"/>
      <c r="G185" s="217"/>
      <c r="H185" s="196"/>
      <c r="I185" s="196"/>
      <c r="J185" s="196"/>
      <c r="K185" s="219"/>
      <c r="L185" s="196"/>
      <c r="M185" s="196"/>
      <c r="N185" s="196"/>
      <c r="O185" s="196"/>
      <c r="P185" s="219"/>
      <c r="Q185" s="219"/>
      <c r="R185" s="196"/>
      <c r="S185" s="233"/>
      <c r="T185" s="217"/>
      <c r="U185" s="196"/>
      <c r="V185" s="196"/>
      <c r="W185" s="196"/>
      <c r="X185" s="227" t="str">
        <f>IFERROR(CONVERT(#REF!,"ft","m"),"")</f>
        <v/>
      </c>
      <c r="Y185" s="234"/>
      <c r="Z185" s="234"/>
      <c r="AA185" s="235"/>
      <c r="AB185" s="196"/>
      <c r="AC185" s="196"/>
      <c r="AD185" s="196"/>
      <c r="AE185" s="196"/>
      <c r="AF185" s="213"/>
      <c r="AG185" s="196"/>
      <c r="AH185" s="196"/>
      <c r="AI185" s="232"/>
      <c r="AJ185" s="232"/>
      <c r="AK185" s="196"/>
      <c r="AL185" s="196"/>
      <c r="AM185" s="196"/>
      <c r="AN185" s="196"/>
      <c r="AO185" s="196"/>
      <c r="AP185" s="196"/>
      <c r="AQ185" s="196"/>
      <c r="AR185" s="213"/>
      <c r="AS185" s="223"/>
      <c r="AT185" s="223"/>
      <c r="AU185" s="223"/>
      <c r="AV185" s="223"/>
      <c r="AW185" s="230" t="str">
        <f>IFERROR(ROUNDDOWN((('Master File'!$AU185*100)/'Master File'!$AV185)-Master[[#This Row],[Quantity On Hand]],0),"")</f>
        <v/>
      </c>
      <c r="AX185" s="217"/>
      <c r="AY185" s="217"/>
      <c r="AZ185" s="217"/>
      <c r="BA185" s="196"/>
      <c r="BB185" s="196" t="str">
        <f t="shared" si="2"/>
        <v xml:space="preserve"> </v>
      </c>
      <c r="BC185" s="196"/>
      <c r="BD185" s="213"/>
      <c r="BE185" s="196"/>
      <c r="BF185" s="196"/>
      <c r="BG185" s="213"/>
      <c r="BH185" s="213"/>
      <c r="BI185" s="197"/>
      <c r="BJ185" s="213"/>
      <c r="BK185" s="196"/>
      <c r="BL185" s="196"/>
      <c r="BM185" s="196"/>
      <c r="BN185" s="196"/>
      <c r="BO185" s="196"/>
      <c r="BP185" s="213"/>
      <c r="BQ185" s="196"/>
    </row>
    <row r="186" spans="1:69" x14ac:dyDescent="0.25">
      <c r="A186" s="196"/>
      <c r="B186" s="196">
        <v>185</v>
      </c>
      <c r="C186" s="196" t="str">
        <f>IFERROR(LEFT(Master[[#This Row],[Taxon -Lookup Picker in GRIN]],FIND(" ",Master[[#This Row],[Taxon -Lookup Picker in GRIN]],1)-1),"")</f>
        <v/>
      </c>
      <c r="D186" s="213"/>
      <c r="E186" s="217"/>
      <c r="F186" s="217"/>
      <c r="G186" s="217"/>
      <c r="H186" s="196"/>
      <c r="I186" s="196"/>
      <c r="J186" s="196"/>
      <c r="K186" s="219"/>
      <c r="L186" s="196"/>
      <c r="M186" s="196"/>
      <c r="N186" s="196"/>
      <c r="O186" s="196"/>
      <c r="P186" s="219"/>
      <c r="Q186" s="219"/>
      <c r="R186" s="196"/>
      <c r="S186" s="233"/>
      <c r="T186" s="217"/>
      <c r="U186" s="196"/>
      <c r="V186" s="196"/>
      <c r="W186" s="196"/>
      <c r="X186" s="227" t="str">
        <f>IFERROR(CONVERT(#REF!,"ft","m"),"")</f>
        <v/>
      </c>
      <c r="Y186" s="234"/>
      <c r="Z186" s="234"/>
      <c r="AA186" s="235"/>
      <c r="AB186" s="196"/>
      <c r="AC186" s="196"/>
      <c r="AD186" s="196"/>
      <c r="AE186" s="196"/>
      <c r="AF186" s="213"/>
      <c r="AG186" s="196"/>
      <c r="AH186" s="196"/>
      <c r="AI186" s="232"/>
      <c r="AJ186" s="232"/>
      <c r="AK186" s="196"/>
      <c r="AL186" s="196"/>
      <c r="AM186" s="196"/>
      <c r="AN186" s="196"/>
      <c r="AO186" s="196"/>
      <c r="AP186" s="196"/>
      <c r="AQ186" s="196"/>
      <c r="AR186" s="213"/>
      <c r="AS186" s="223"/>
      <c r="AT186" s="223"/>
      <c r="AU186" s="223"/>
      <c r="AV186" s="223"/>
      <c r="AW186" s="230" t="str">
        <f>IFERROR(ROUNDDOWN((('Master File'!$AU186*100)/'Master File'!$AV186)-Master[[#This Row],[Quantity On Hand]],0),"")</f>
        <v/>
      </c>
      <c r="AX186" s="217"/>
      <c r="AY186" s="217"/>
      <c r="AZ186" s="217"/>
      <c r="BA186" s="196"/>
      <c r="BB186" s="196" t="str">
        <f t="shared" si="2"/>
        <v xml:space="preserve"> </v>
      </c>
      <c r="BC186" s="196"/>
      <c r="BD186" s="213"/>
      <c r="BE186" s="196"/>
      <c r="BF186" s="196"/>
      <c r="BG186" s="213"/>
      <c r="BH186" s="213"/>
      <c r="BI186" s="197"/>
      <c r="BJ186" s="213"/>
      <c r="BK186" s="196"/>
      <c r="BL186" s="196"/>
      <c r="BM186" s="196"/>
      <c r="BN186" s="196"/>
      <c r="BO186" s="196"/>
      <c r="BP186" s="213"/>
      <c r="BQ186" s="196"/>
    </row>
    <row r="187" spans="1:69" x14ac:dyDescent="0.25">
      <c r="A187" s="196"/>
      <c r="B187" s="197">
        <v>186</v>
      </c>
      <c r="C187" s="196" t="str">
        <f>IFERROR(LEFT(Master[[#This Row],[Taxon -Lookup Picker in GRIN]],FIND(" ",Master[[#This Row],[Taxon -Lookup Picker in GRIN]],1)-1),"")</f>
        <v/>
      </c>
      <c r="D187" s="213"/>
      <c r="E187" s="217"/>
      <c r="F187" s="217"/>
      <c r="G187" s="217"/>
      <c r="H187" s="196"/>
      <c r="I187" s="196"/>
      <c r="J187" s="196"/>
      <c r="K187" s="219"/>
      <c r="L187" s="196"/>
      <c r="M187" s="196"/>
      <c r="N187" s="196"/>
      <c r="O187" s="196"/>
      <c r="P187" s="219"/>
      <c r="Q187" s="219"/>
      <c r="R187" s="196"/>
      <c r="S187" s="233"/>
      <c r="T187" s="217"/>
      <c r="U187" s="196"/>
      <c r="V187" s="196"/>
      <c r="W187" s="196"/>
      <c r="X187" s="227" t="str">
        <f>IFERROR(CONVERT(#REF!,"ft","m"),"")</f>
        <v/>
      </c>
      <c r="Y187" s="234"/>
      <c r="Z187" s="234"/>
      <c r="AA187" s="235"/>
      <c r="AB187" s="196"/>
      <c r="AC187" s="196"/>
      <c r="AD187" s="196"/>
      <c r="AE187" s="196"/>
      <c r="AF187" s="213"/>
      <c r="AG187" s="196"/>
      <c r="AH187" s="196"/>
      <c r="AI187" s="232"/>
      <c r="AJ187" s="232"/>
      <c r="AK187" s="196"/>
      <c r="AL187" s="196"/>
      <c r="AM187" s="196"/>
      <c r="AN187" s="196"/>
      <c r="AO187" s="196"/>
      <c r="AP187" s="196"/>
      <c r="AQ187" s="196"/>
      <c r="AR187" s="213"/>
      <c r="AS187" s="223"/>
      <c r="AT187" s="223"/>
      <c r="AU187" s="223"/>
      <c r="AV187" s="223"/>
      <c r="AW187" s="230" t="str">
        <f>IFERROR(ROUNDDOWN((('Master File'!$AU187*100)/'Master File'!$AV187)-Master[[#This Row],[Quantity On Hand]],0),"")</f>
        <v/>
      </c>
      <c r="AX187" s="217"/>
      <c r="AY187" s="217"/>
      <c r="AZ187" s="217"/>
      <c r="BA187" s="196"/>
      <c r="BB187" s="196" t="str">
        <f t="shared" si="2"/>
        <v xml:space="preserve"> </v>
      </c>
      <c r="BC187" s="196"/>
      <c r="BD187" s="213"/>
      <c r="BE187" s="196"/>
      <c r="BF187" s="196"/>
      <c r="BG187" s="213"/>
      <c r="BH187" s="213"/>
      <c r="BI187" s="197"/>
      <c r="BJ187" s="213"/>
      <c r="BK187" s="196"/>
      <c r="BL187" s="196"/>
      <c r="BM187" s="196"/>
      <c r="BN187" s="196"/>
      <c r="BO187" s="196"/>
      <c r="BP187" s="213"/>
      <c r="BQ187" s="196"/>
    </row>
    <row r="188" spans="1:69" x14ac:dyDescent="0.25">
      <c r="A188" s="196"/>
      <c r="B188" s="196">
        <v>187</v>
      </c>
      <c r="C188" s="196" t="str">
        <f>IFERROR(LEFT(Master[[#This Row],[Taxon -Lookup Picker in GRIN]],FIND(" ",Master[[#This Row],[Taxon -Lookup Picker in GRIN]],1)-1),"")</f>
        <v/>
      </c>
      <c r="D188" s="213"/>
      <c r="E188" s="217"/>
      <c r="F188" s="217"/>
      <c r="G188" s="217"/>
      <c r="H188" s="196"/>
      <c r="I188" s="196"/>
      <c r="J188" s="196"/>
      <c r="K188" s="219"/>
      <c r="L188" s="196"/>
      <c r="M188" s="196"/>
      <c r="N188" s="196"/>
      <c r="O188" s="196"/>
      <c r="P188" s="219"/>
      <c r="Q188" s="219"/>
      <c r="R188" s="196"/>
      <c r="S188" s="233"/>
      <c r="T188" s="217"/>
      <c r="U188" s="196"/>
      <c r="V188" s="196"/>
      <c r="W188" s="196"/>
      <c r="X188" s="227" t="str">
        <f>IFERROR(CONVERT(#REF!,"ft","m"),"")</f>
        <v/>
      </c>
      <c r="Y188" s="234"/>
      <c r="Z188" s="234"/>
      <c r="AA188" s="235"/>
      <c r="AB188" s="196"/>
      <c r="AC188" s="196"/>
      <c r="AD188" s="196"/>
      <c r="AE188" s="196"/>
      <c r="AF188" s="213"/>
      <c r="AG188" s="196"/>
      <c r="AH188" s="196"/>
      <c r="AI188" s="232"/>
      <c r="AJ188" s="232"/>
      <c r="AK188" s="196"/>
      <c r="AL188" s="196"/>
      <c r="AM188" s="196"/>
      <c r="AN188" s="196"/>
      <c r="AO188" s="196"/>
      <c r="AP188" s="196"/>
      <c r="AQ188" s="196"/>
      <c r="AR188" s="213"/>
      <c r="AS188" s="223"/>
      <c r="AT188" s="223"/>
      <c r="AU188" s="223"/>
      <c r="AV188" s="223"/>
      <c r="AW188" s="230" t="str">
        <f>IFERROR(ROUNDDOWN((('Master File'!$AU188*100)/'Master File'!$AV188)-Master[[#This Row],[Quantity On Hand]],0),"")</f>
        <v/>
      </c>
      <c r="AX188" s="217"/>
      <c r="AY188" s="217"/>
      <c r="AZ188" s="217"/>
      <c r="BA188" s="196"/>
      <c r="BB188" s="196" t="str">
        <f t="shared" si="2"/>
        <v xml:space="preserve"> </v>
      </c>
      <c r="BC188" s="196"/>
      <c r="BD188" s="213"/>
      <c r="BE188" s="196"/>
      <c r="BF188" s="196"/>
      <c r="BG188" s="213"/>
      <c r="BH188" s="213"/>
      <c r="BI188" s="197"/>
      <c r="BJ188" s="213"/>
      <c r="BK188" s="196"/>
      <c r="BL188" s="196"/>
      <c r="BM188" s="196"/>
      <c r="BN188" s="196"/>
      <c r="BO188" s="196"/>
      <c r="BP188" s="213"/>
      <c r="BQ188" s="196"/>
    </row>
    <row r="189" spans="1:69" x14ac:dyDescent="0.25">
      <c r="A189" s="196"/>
      <c r="B189" s="196">
        <v>188</v>
      </c>
      <c r="C189" s="196" t="str">
        <f>IFERROR(LEFT(Master[[#This Row],[Taxon -Lookup Picker in GRIN]],FIND(" ",Master[[#This Row],[Taxon -Lookup Picker in GRIN]],1)-1),"")</f>
        <v/>
      </c>
      <c r="D189" s="213"/>
      <c r="E189" s="217"/>
      <c r="F189" s="217"/>
      <c r="G189" s="217"/>
      <c r="H189" s="196"/>
      <c r="I189" s="196"/>
      <c r="J189" s="196"/>
      <c r="K189" s="219"/>
      <c r="L189" s="196"/>
      <c r="M189" s="196"/>
      <c r="N189" s="196"/>
      <c r="O189" s="196"/>
      <c r="P189" s="219"/>
      <c r="Q189" s="219"/>
      <c r="R189" s="196"/>
      <c r="S189" s="233"/>
      <c r="T189" s="217"/>
      <c r="U189" s="196"/>
      <c r="V189" s="196"/>
      <c r="W189" s="196"/>
      <c r="X189" s="227" t="str">
        <f>IFERROR(CONVERT(#REF!,"ft","m"),"")</f>
        <v/>
      </c>
      <c r="Y189" s="234"/>
      <c r="Z189" s="234"/>
      <c r="AA189" s="235"/>
      <c r="AB189" s="196"/>
      <c r="AC189" s="196"/>
      <c r="AD189" s="196"/>
      <c r="AE189" s="196"/>
      <c r="AF189" s="213"/>
      <c r="AG189" s="196"/>
      <c r="AH189" s="196"/>
      <c r="AI189" s="232"/>
      <c r="AJ189" s="232"/>
      <c r="AK189" s="196"/>
      <c r="AL189" s="196"/>
      <c r="AM189" s="196"/>
      <c r="AN189" s="196"/>
      <c r="AO189" s="196"/>
      <c r="AP189" s="196"/>
      <c r="AQ189" s="196"/>
      <c r="AR189" s="213"/>
      <c r="AS189" s="223"/>
      <c r="AT189" s="223"/>
      <c r="AU189" s="223"/>
      <c r="AV189" s="223"/>
      <c r="AW189" s="230" t="str">
        <f>IFERROR(ROUNDDOWN((('Master File'!$AU189*100)/'Master File'!$AV189)-Master[[#This Row],[Quantity On Hand]],0),"")</f>
        <v/>
      </c>
      <c r="AX189" s="217"/>
      <c r="AY189" s="217"/>
      <c r="AZ189" s="217"/>
      <c r="BA189" s="196"/>
      <c r="BB189" s="196" t="str">
        <f t="shared" si="2"/>
        <v xml:space="preserve"> </v>
      </c>
      <c r="BC189" s="196"/>
      <c r="BD189" s="213"/>
      <c r="BE189" s="196"/>
      <c r="BF189" s="196"/>
      <c r="BG189" s="213"/>
      <c r="BH189" s="213"/>
      <c r="BI189" s="197"/>
      <c r="BJ189" s="213"/>
      <c r="BK189" s="196"/>
      <c r="BL189" s="196"/>
      <c r="BM189" s="196"/>
      <c r="BN189" s="196"/>
      <c r="BO189" s="196"/>
      <c r="BP189" s="213"/>
      <c r="BQ189" s="196"/>
    </row>
    <row r="190" spans="1:69" x14ac:dyDescent="0.25">
      <c r="A190" s="196"/>
      <c r="B190" s="196">
        <v>189</v>
      </c>
      <c r="C190" s="196" t="str">
        <f>IFERROR(LEFT(Master[[#This Row],[Taxon -Lookup Picker in GRIN]],FIND(" ",Master[[#This Row],[Taxon -Lookup Picker in GRIN]],1)-1),"")</f>
        <v/>
      </c>
      <c r="D190" s="213"/>
      <c r="E190" s="217"/>
      <c r="F190" s="217"/>
      <c r="G190" s="217"/>
      <c r="H190" s="196"/>
      <c r="I190" s="196"/>
      <c r="J190" s="196"/>
      <c r="K190" s="219"/>
      <c r="L190" s="196"/>
      <c r="M190" s="196"/>
      <c r="N190" s="196"/>
      <c r="O190" s="196"/>
      <c r="P190" s="219"/>
      <c r="Q190" s="219"/>
      <c r="R190" s="196"/>
      <c r="S190" s="233"/>
      <c r="T190" s="217"/>
      <c r="U190" s="196"/>
      <c r="V190" s="196"/>
      <c r="W190" s="196"/>
      <c r="X190" s="227" t="str">
        <f>IFERROR(CONVERT(#REF!,"ft","m"),"")</f>
        <v/>
      </c>
      <c r="Y190" s="234"/>
      <c r="Z190" s="234"/>
      <c r="AA190" s="235"/>
      <c r="AB190" s="196"/>
      <c r="AC190" s="196"/>
      <c r="AD190" s="196"/>
      <c r="AE190" s="196"/>
      <c r="AF190" s="213"/>
      <c r="AG190" s="196"/>
      <c r="AH190" s="196"/>
      <c r="AI190" s="232"/>
      <c r="AJ190" s="232"/>
      <c r="AK190" s="196"/>
      <c r="AL190" s="196"/>
      <c r="AM190" s="196"/>
      <c r="AN190" s="196"/>
      <c r="AO190" s="196"/>
      <c r="AP190" s="196"/>
      <c r="AQ190" s="196"/>
      <c r="AR190" s="213"/>
      <c r="AS190" s="223"/>
      <c r="AT190" s="223"/>
      <c r="AU190" s="223"/>
      <c r="AV190" s="223"/>
      <c r="AW190" s="230" t="str">
        <f>IFERROR(ROUNDDOWN((('Master File'!$AU190*100)/'Master File'!$AV190)-Master[[#This Row],[Quantity On Hand]],0),"")</f>
        <v/>
      </c>
      <c r="AX190" s="217"/>
      <c r="AY190" s="217"/>
      <c r="AZ190" s="217"/>
      <c r="BA190" s="196"/>
      <c r="BB190" s="196" t="str">
        <f t="shared" si="2"/>
        <v xml:space="preserve"> </v>
      </c>
      <c r="BC190" s="196"/>
      <c r="BD190" s="213"/>
      <c r="BE190" s="196"/>
      <c r="BF190" s="196"/>
      <c r="BG190" s="213"/>
      <c r="BH190" s="213"/>
      <c r="BI190" s="197"/>
      <c r="BJ190" s="213"/>
      <c r="BK190" s="196"/>
      <c r="BL190" s="196"/>
      <c r="BM190" s="196"/>
      <c r="BN190" s="196"/>
      <c r="BO190" s="196"/>
      <c r="BP190" s="213"/>
      <c r="BQ190" s="196"/>
    </row>
    <row r="191" spans="1:69" x14ac:dyDescent="0.25">
      <c r="A191" s="196"/>
      <c r="B191" s="197">
        <v>190</v>
      </c>
      <c r="C191" s="196" t="str">
        <f>IFERROR(LEFT(Master[[#This Row],[Taxon -Lookup Picker in GRIN]],FIND(" ",Master[[#This Row],[Taxon -Lookup Picker in GRIN]],1)-1),"")</f>
        <v/>
      </c>
      <c r="D191" s="213"/>
      <c r="E191" s="217"/>
      <c r="F191" s="217"/>
      <c r="G191" s="217"/>
      <c r="H191" s="196"/>
      <c r="I191" s="196"/>
      <c r="J191" s="196"/>
      <c r="K191" s="219"/>
      <c r="L191" s="196"/>
      <c r="M191" s="196"/>
      <c r="N191" s="196"/>
      <c r="O191" s="196"/>
      <c r="P191" s="219"/>
      <c r="Q191" s="219"/>
      <c r="R191" s="196"/>
      <c r="S191" s="233"/>
      <c r="T191" s="217"/>
      <c r="U191" s="196"/>
      <c r="V191" s="196"/>
      <c r="W191" s="196"/>
      <c r="X191" s="227" t="str">
        <f>IFERROR(CONVERT(#REF!,"ft","m"),"")</f>
        <v/>
      </c>
      <c r="Y191" s="234"/>
      <c r="Z191" s="234"/>
      <c r="AA191" s="235"/>
      <c r="AB191" s="196"/>
      <c r="AC191" s="196"/>
      <c r="AD191" s="196"/>
      <c r="AE191" s="196"/>
      <c r="AF191" s="213"/>
      <c r="AG191" s="196"/>
      <c r="AH191" s="196"/>
      <c r="AI191" s="232"/>
      <c r="AJ191" s="232"/>
      <c r="AK191" s="196"/>
      <c r="AL191" s="196"/>
      <c r="AM191" s="196"/>
      <c r="AN191" s="196"/>
      <c r="AO191" s="196"/>
      <c r="AP191" s="196"/>
      <c r="AQ191" s="196"/>
      <c r="AR191" s="213"/>
      <c r="AS191" s="223"/>
      <c r="AT191" s="223"/>
      <c r="AU191" s="223"/>
      <c r="AV191" s="223"/>
      <c r="AW191" s="230" t="str">
        <f>IFERROR(ROUNDDOWN((('Master File'!$AU191*100)/'Master File'!$AV191)-Master[[#This Row],[Quantity On Hand]],0),"")</f>
        <v/>
      </c>
      <c r="AX191" s="217"/>
      <c r="AY191" s="217"/>
      <c r="AZ191" s="217"/>
      <c r="BA191" s="196"/>
      <c r="BB191" s="196" t="str">
        <f t="shared" si="2"/>
        <v xml:space="preserve"> </v>
      </c>
      <c r="BC191" s="196"/>
      <c r="BD191" s="213"/>
      <c r="BE191" s="196"/>
      <c r="BF191" s="196"/>
      <c r="BG191" s="213"/>
      <c r="BH191" s="213"/>
      <c r="BI191" s="197"/>
      <c r="BJ191" s="213"/>
      <c r="BK191" s="196"/>
      <c r="BL191" s="196"/>
      <c r="BM191" s="196"/>
      <c r="BN191" s="196"/>
      <c r="BO191" s="196"/>
      <c r="BP191" s="213"/>
      <c r="BQ191" s="196"/>
    </row>
    <row r="192" spans="1:69" x14ac:dyDescent="0.25">
      <c r="A192" s="196"/>
      <c r="B192" s="196">
        <v>191</v>
      </c>
      <c r="C192" s="196" t="str">
        <f>IFERROR(LEFT(Master[[#This Row],[Taxon -Lookup Picker in GRIN]],FIND(" ",Master[[#This Row],[Taxon -Lookup Picker in GRIN]],1)-1),"")</f>
        <v/>
      </c>
      <c r="D192" s="213"/>
      <c r="E192" s="217"/>
      <c r="F192" s="217"/>
      <c r="G192" s="217"/>
      <c r="H192" s="196"/>
      <c r="I192" s="196"/>
      <c r="J192" s="196"/>
      <c r="K192" s="219"/>
      <c r="L192" s="196"/>
      <c r="M192" s="196"/>
      <c r="N192" s="196"/>
      <c r="O192" s="196"/>
      <c r="P192" s="219"/>
      <c r="Q192" s="219"/>
      <c r="R192" s="196"/>
      <c r="S192" s="233"/>
      <c r="T192" s="217"/>
      <c r="U192" s="196"/>
      <c r="V192" s="196"/>
      <c r="W192" s="196"/>
      <c r="X192" s="227" t="str">
        <f>IFERROR(CONVERT(#REF!,"ft","m"),"")</f>
        <v/>
      </c>
      <c r="Y192" s="234"/>
      <c r="Z192" s="234"/>
      <c r="AA192" s="235"/>
      <c r="AB192" s="196"/>
      <c r="AC192" s="196"/>
      <c r="AD192" s="196"/>
      <c r="AE192" s="196"/>
      <c r="AF192" s="213"/>
      <c r="AG192" s="196"/>
      <c r="AH192" s="196"/>
      <c r="AI192" s="232"/>
      <c r="AJ192" s="232"/>
      <c r="AK192" s="196"/>
      <c r="AL192" s="196"/>
      <c r="AM192" s="196"/>
      <c r="AN192" s="196"/>
      <c r="AO192" s="196"/>
      <c r="AP192" s="196"/>
      <c r="AQ192" s="196"/>
      <c r="AR192" s="213"/>
      <c r="AS192" s="223"/>
      <c r="AT192" s="223"/>
      <c r="AU192" s="223"/>
      <c r="AV192" s="223"/>
      <c r="AW192" s="230" t="str">
        <f>IFERROR(ROUNDDOWN((('Master File'!$AU192*100)/'Master File'!$AV192)-Master[[#This Row],[Quantity On Hand]],0),"")</f>
        <v/>
      </c>
      <c r="AX192" s="217"/>
      <c r="AY192" s="217"/>
      <c r="AZ192" s="217"/>
      <c r="BA192" s="196"/>
      <c r="BB192" s="196" t="str">
        <f t="shared" si="2"/>
        <v xml:space="preserve"> </v>
      </c>
      <c r="BC192" s="196"/>
      <c r="BD192" s="213"/>
      <c r="BE192" s="196"/>
      <c r="BF192" s="196"/>
      <c r="BG192" s="213"/>
      <c r="BH192" s="213"/>
      <c r="BI192" s="197"/>
      <c r="BJ192" s="213"/>
      <c r="BK192" s="196"/>
      <c r="BL192" s="196"/>
      <c r="BM192" s="196"/>
      <c r="BN192" s="196"/>
      <c r="BO192" s="196"/>
      <c r="BP192" s="213"/>
      <c r="BQ192" s="196"/>
    </row>
    <row r="193" spans="1:69" x14ac:dyDescent="0.25">
      <c r="A193" s="196"/>
      <c r="B193" s="197">
        <v>192</v>
      </c>
      <c r="C193" s="196" t="str">
        <f>IFERROR(LEFT(Master[[#This Row],[Taxon -Lookup Picker in GRIN]],FIND(" ",Master[[#This Row],[Taxon -Lookup Picker in GRIN]],1)-1),"")</f>
        <v/>
      </c>
      <c r="D193" s="213"/>
      <c r="E193" s="217"/>
      <c r="F193" s="217"/>
      <c r="G193" s="217"/>
      <c r="H193" s="196"/>
      <c r="I193" s="196"/>
      <c r="J193" s="196"/>
      <c r="K193" s="219"/>
      <c r="L193" s="196"/>
      <c r="M193" s="196"/>
      <c r="N193" s="196"/>
      <c r="O193" s="196"/>
      <c r="P193" s="219"/>
      <c r="Q193" s="219"/>
      <c r="R193" s="196"/>
      <c r="S193" s="233"/>
      <c r="T193" s="217"/>
      <c r="U193" s="196"/>
      <c r="V193" s="196"/>
      <c r="W193" s="196"/>
      <c r="X193" s="227" t="str">
        <f>IFERROR(CONVERT(#REF!,"ft","m"),"")</f>
        <v/>
      </c>
      <c r="Y193" s="234"/>
      <c r="Z193" s="234"/>
      <c r="AA193" s="235"/>
      <c r="AB193" s="196"/>
      <c r="AC193" s="196"/>
      <c r="AD193" s="196"/>
      <c r="AE193" s="196"/>
      <c r="AF193" s="213"/>
      <c r="AG193" s="196"/>
      <c r="AH193" s="196"/>
      <c r="AI193" s="232"/>
      <c r="AJ193" s="232"/>
      <c r="AK193" s="196"/>
      <c r="AL193" s="196"/>
      <c r="AM193" s="196"/>
      <c r="AN193" s="196"/>
      <c r="AO193" s="196"/>
      <c r="AP193" s="196"/>
      <c r="AQ193" s="196"/>
      <c r="AR193" s="213"/>
      <c r="AS193" s="223"/>
      <c r="AT193" s="223"/>
      <c r="AU193" s="223"/>
      <c r="AV193" s="223"/>
      <c r="AW193" s="230" t="str">
        <f>IFERROR(ROUNDDOWN((('Master File'!$AU193*100)/'Master File'!$AV193)-Master[[#This Row],[Quantity On Hand]],0),"")</f>
        <v/>
      </c>
      <c r="AX193" s="217"/>
      <c r="AY193" s="217"/>
      <c r="AZ193" s="217"/>
      <c r="BA193" s="196"/>
      <c r="BB193" s="196" t="str">
        <f t="shared" si="2"/>
        <v xml:space="preserve"> </v>
      </c>
      <c r="BC193" s="196"/>
      <c r="BD193" s="213"/>
      <c r="BE193" s="196"/>
      <c r="BF193" s="196"/>
      <c r="BG193" s="213"/>
      <c r="BH193" s="213"/>
      <c r="BI193" s="197"/>
      <c r="BJ193" s="213"/>
      <c r="BK193" s="196"/>
      <c r="BL193" s="196"/>
      <c r="BM193" s="196"/>
      <c r="BN193" s="196"/>
      <c r="BO193" s="196"/>
      <c r="BP193" s="213"/>
      <c r="BQ193" s="196"/>
    </row>
    <row r="194" spans="1:69" x14ac:dyDescent="0.25">
      <c r="A194" s="196"/>
      <c r="B194" s="196">
        <v>193</v>
      </c>
      <c r="C194" s="196" t="str">
        <f>IFERROR(LEFT(Master[[#This Row],[Taxon -Lookup Picker in GRIN]],FIND(" ",Master[[#This Row],[Taxon -Lookup Picker in GRIN]],1)-1),"")</f>
        <v/>
      </c>
      <c r="D194" s="213"/>
      <c r="E194" s="217"/>
      <c r="F194" s="217"/>
      <c r="G194" s="217"/>
      <c r="H194" s="196"/>
      <c r="I194" s="196"/>
      <c r="J194" s="196"/>
      <c r="K194" s="219"/>
      <c r="L194" s="196"/>
      <c r="M194" s="196"/>
      <c r="N194" s="196"/>
      <c r="O194" s="196"/>
      <c r="P194" s="219"/>
      <c r="Q194" s="219"/>
      <c r="R194" s="196"/>
      <c r="S194" s="233"/>
      <c r="T194" s="217"/>
      <c r="U194" s="196"/>
      <c r="V194" s="196"/>
      <c r="W194" s="196"/>
      <c r="X194" s="227" t="str">
        <f>IFERROR(CONVERT(#REF!,"ft","m"),"")</f>
        <v/>
      </c>
      <c r="Y194" s="234"/>
      <c r="Z194" s="234"/>
      <c r="AA194" s="235"/>
      <c r="AB194" s="196"/>
      <c r="AC194" s="196"/>
      <c r="AD194" s="196"/>
      <c r="AE194" s="196"/>
      <c r="AF194" s="213"/>
      <c r="AG194" s="196"/>
      <c r="AH194" s="196"/>
      <c r="AI194" s="232"/>
      <c r="AJ194" s="232"/>
      <c r="AK194" s="196"/>
      <c r="AL194" s="196"/>
      <c r="AM194" s="196"/>
      <c r="AN194" s="196"/>
      <c r="AO194" s="196"/>
      <c r="AP194" s="196"/>
      <c r="AQ194" s="196"/>
      <c r="AR194" s="213"/>
      <c r="AS194" s="223"/>
      <c r="AT194" s="223"/>
      <c r="AU194" s="223"/>
      <c r="AV194" s="223"/>
      <c r="AW194" s="230" t="str">
        <f>IFERROR(ROUNDDOWN((('Master File'!$AU194*100)/'Master File'!$AV194)-Master[[#This Row],[Quantity On Hand]],0),"")</f>
        <v/>
      </c>
      <c r="AX194" s="217"/>
      <c r="AY194" s="217"/>
      <c r="AZ194" s="217"/>
      <c r="BA194" s="196"/>
      <c r="BB194" s="196" t="str">
        <f t="shared" ref="BB194:BB200" si="3">CONCATENATE(D194," ",E194)</f>
        <v xml:space="preserve"> </v>
      </c>
      <c r="BC194" s="196"/>
      <c r="BD194" s="213"/>
      <c r="BE194" s="196"/>
      <c r="BF194" s="196"/>
      <c r="BG194" s="213"/>
      <c r="BH194" s="213"/>
      <c r="BI194" s="197"/>
      <c r="BJ194" s="213"/>
      <c r="BK194" s="196"/>
      <c r="BL194" s="196"/>
      <c r="BM194" s="196"/>
      <c r="BN194" s="196"/>
      <c r="BO194" s="196"/>
      <c r="BP194" s="213"/>
      <c r="BQ194" s="196"/>
    </row>
    <row r="195" spans="1:69" x14ac:dyDescent="0.25">
      <c r="A195" s="196"/>
      <c r="B195" s="196">
        <v>194</v>
      </c>
      <c r="C195" s="196" t="str">
        <f>IFERROR(LEFT(Master[[#This Row],[Taxon -Lookup Picker in GRIN]],FIND(" ",Master[[#This Row],[Taxon -Lookup Picker in GRIN]],1)-1),"")</f>
        <v/>
      </c>
      <c r="D195" s="213"/>
      <c r="E195" s="217"/>
      <c r="F195" s="217"/>
      <c r="G195" s="217"/>
      <c r="H195" s="196"/>
      <c r="I195" s="196"/>
      <c r="J195" s="196"/>
      <c r="K195" s="219"/>
      <c r="L195" s="196"/>
      <c r="M195" s="196"/>
      <c r="N195" s="196"/>
      <c r="O195" s="196"/>
      <c r="P195" s="219"/>
      <c r="Q195" s="219"/>
      <c r="R195" s="196"/>
      <c r="S195" s="233"/>
      <c r="T195" s="217"/>
      <c r="U195" s="196"/>
      <c r="V195" s="196"/>
      <c r="W195" s="196"/>
      <c r="X195" s="227" t="str">
        <f>IFERROR(CONVERT(#REF!,"ft","m"),"")</f>
        <v/>
      </c>
      <c r="Y195" s="234"/>
      <c r="Z195" s="234"/>
      <c r="AA195" s="235"/>
      <c r="AB195" s="196"/>
      <c r="AC195" s="196"/>
      <c r="AD195" s="196"/>
      <c r="AE195" s="196"/>
      <c r="AF195" s="213"/>
      <c r="AG195" s="196"/>
      <c r="AH195" s="196"/>
      <c r="AI195" s="232"/>
      <c r="AJ195" s="232"/>
      <c r="AK195" s="196"/>
      <c r="AL195" s="196"/>
      <c r="AM195" s="196"/>
      <c r="AN195" s="196"/>
      <c r="AO195" s="196"/>
      <c r="AP195" s="196"/>
      <c r="AQ195" s="196"/>
      <c r="AR195" s="213"/>
      <c r="AS195" s="223"/>
      <c r="AT195" s="223"/>
      <c r="AU195" s="223"/>
      <c r="AV195" s="223"/>
      <c r="AW195" s="230" t="str">
        <f>IFERROR(ROUNDDOWN((('Master File'!$AU195*100)/'Master File'!$AV195)-Master[[#This Row],[Quantity On Hand]],0),"")</f>
        <v/>
      </c>
      <c r="AX195" s="217"/>
      <c r="AY195" s="217"/>
      <c r="AZ195" s="217"/>
      <c r="BA195" s="196"/>
      <c r="BB195" s="196" t="str">
        <f t="shared" si="3"/>
        <v xml:space="preserve"> </v>
      </c>
      <c r="BC195" s="196"/>
      <c r="BD195" s="213"/>
      <c r="BE195" s="196"/>
      <c r="BF195" s="196"/>
      <c r="BG195" s="213"/>
      <c r="BH195" s="213"/>
      <c r="BI195" s="197"/>
      <c r="BJ195" s="213"/>
      <c r="BK195" s="196"/>
      <c r="BL195" s="196"/>
      <c r="BM195" s="196"/>
      <c r="BN195" s="196"/>
      <c r="BO195" s="196"/>
      <c r="BP195" s="213"/>
      <c r="BQ195" s="196"/>
    </row>
    <row r="196" spans="1:69" x14ac:dyDescent="0.25">
      <c r="A196" s="196"/>
      <c r="B196" s="196">
        <v>195</v>
      </c>
      <c r="C196" s="196" t="str">
        <f>IFERROR(LEFT(Master[[#This Row],[Taxon -Lookup Picker in GRIN]],FIND(" ",Master[[#This Row],[Taxon -Lookup Picker in GRIN]],1)-1),"")</f>
        <v/>
      </c>
      <c r="D196" s="213"/>
      <c r="E196" s="217"/>
      <c r="F196" s="217"/>
      <c r="G196" s="217"/>
      <c r="H196" s="196"/>
      <c r="I196" s="196"/>
      <c r="J196" s="196"/>
      <c r="K196" s="219"/>
      <c r="L196" s="196"/>
      <c r="M196" s="196"/>
      <c r="N196" s="196"/>
      <c r="O196" s="196"/>
      <c r="P196" s="219"/>
      <c r="Q196" s="219"/>
      <c r="R196" s="196"/>
      <c r="S196" s="233"/>
      <c r="T196" s="217"/>
      <c r="U196" s="196"/>
      <c r="V196" s="196"/>
      <c r="W196" s="196"/>
      <c r="X196" s="227" t="str">
        <f>IFERROR(CONVERT(#REF!,"ft","m"),"")</f>
        <v/>
      </c>
      <c r="Y196" s="234"/>
      <c r="Z196" s="234"/>
      <c r="AA196" s="235"/>
      <c r="AB196" s="196"/>
      <c r="AC196" s="196"/>
      <c r="AD196" s="196"/>
      <c r="AE196" s="196"/>
      <c r="AF196" s="213"/>
      <c r="AG196" s="196"/>
      <c r="AH196" s="196"/>
      <c r="AI196" s="232"/>
      <c r="AJ196" s="232"/>
      <c r="AK196" s="196"/>
      <c r="AL196" s="196"/>
      <c r="AM196" s="196"/>
      <c r="AN196" s="196"/>
      <c r="AO196" s="196"/>
      <c r="AP196" s="196"/>
      <c r="AQ196" s="196"/>
      <c r="AR196" s="213"/>
      <c r="AS196" s="223"/>
      <c r="AT196" s="223"/>
      <c r="AU196" s="223"/>
      <c r="AV196" s="223"/>
      <c r="AW196" s="230" t="str">
        <f>IFERROR(ROUNDDOWN((('Master File'!$AU196*100)/'Master File'!$AV196)-Master[[#This Row],[Quantity On Hand]],0),"")</f>
        <v/>
      </c>
      <c r="AX196" s="217"/>
      <c r="AY196" s="217"/>
      <c r="AZ196" s="217"/>
      <c r="BA196" s="196"/>
      <c r="BB196" s="196" t="str">
        <f t="shared" si="3"/>
        <v xml:space="preserve"> </v>
      </c>
      <c r="BC196" s="196"/>
      <c r="BD196" s="213"/>
      <c r="BE196" s="196"/>
      <c r="BF196" s="196"/>
      <c r="BG196" s="213"/>
      <c r="BH196" s="213"/>
      <c r="BI196" s="197"/>
      <c r="BJ196" s="213"/>
      <c r="BK196" s="196"/>
      <c r="BL196" s="196"/>
      <c r="BM196" s="196"/>
      <c r="BN196" s="196"/>
      <c r="BO196" s="196"/>
      <c r="BP196" s="213"/>
      <c r="BQ196" s="196"/>
    </row>
    <row r="197" spans="1:69" x14ac:dyDescent="0.25">
      <c r="A197" s="196"/>
      <c r="B197" s="197">
        <v>196</v>
      </c>
      <c r="C197" s="196" t="str">
        <f>IFERROR(LEFT(Master[[#This Row],[Taxon -Lookup Picker in GRIN]],FIND(" ",Master[[#This Row],[Taxon -Lookup Picker in GRIN]],1)-1),"")</f>
        <v/>
      </c>
      <c r="D197" s="213"/>
      <c r="E197" s="217"/>
      <c r="F197" s="217"/>
      <c r="G197" s="217"/>
      <c r="H197" s="196"/>
      <c r="I197" s="196"/>
      <c r="J197" s="196"/>
      <c r="K197" s="219"/>
      <c r="L197" s="196"/>
      <c r="M197" s="196"/>
      <c r="N197" s="196"/>
      <c r="O197" s="196"/>
      <c r="P197" s="219"/>
      <c r="Q197" s="219"/>
      <c r="R197" s="196"/>
      <c r="S197" s="233"/>
      <c r="T197" s="217"/>
      <c r="U197" s="196"/>
      <c r="V197" s="196"/>
      <c r="W197" s="196"/>
      <c r="X197" s="227" t="str">
        <f>IFERROR(CONVERT(#REF!,"ft","m"),"")</f>
        <v/>
      </c>
      <c r="Y197" s="234"/>
      <c r="Z197" s="234"/>
      <c r="AA197" s="235"/>
      <c r="AB197" s="196"/>
      <c r="AC197" s="196"/>
      <c r="AD197" s="196"/>
      <c r="AE197" s="196"/>
      <c r="AF197" s="213"/>
      <c r="AG197" s="196"/>
      <c r="AH197" s="196"/>
      <c r="AI197" s="232"/>
      <c r="AJ197" s="232"/>
      <c r="AK197" s="196"/>
      <c r="AL197" s="196"/>
      <c r="AM197" s="196"/>
      <c r="AN197" s="196"/>
      <c r="AO197" s="196"/>
      <c r="AP197" s="196"/>
      <c r="AQ197" s="196"/>
      <c r="AR197" s="213"/>
      <c r="AS197" s="223"/>
      <c r="AT197" s="223"/>
      <c r="AU197" s="223"/>
      <c r="AV197" s="223"/>
      <c r="AW197" s="230" t="str">
        <f>IFERROR(ROUNDDOWN((('Master File'!$AU197*100)/'Master File'!$AV197)-Master[[#This Row],[Quantity On Hand]],0),"")</f>
        <v/>
      </c>
      <c r="AX197" s="217"/>
      <c r="AY197" s="217"/>
      <c r="AZ197" s="217"/>
      <c r="BA197" s="196"/>
      <c r="BB197" s="196" t="str">
        <f t="shared" si="3"/>
        <v xml:space="preserve"> </v>
      </c>
      <c r="BC197" s="196"/>
      <c r="BD197" s="213"/>
      <c r="BE197" s="196"/>
      <c r="BF197" s="196"/>
      <c r="BG197" s="213"/>
      <c r="BH197" s="213"/>
      <c r="BI197" s="197"/>
      <c r="BJ197" s="213"/>
      <c r="BK197" s="196"/>
      <c r="BL197" s="196"/>
      <c r="BM197" s="196"/>
      <c r="BN197" s="196"/>
      <c r="BO197" s="196"/>
      <c r="BP197" s="213"/>
      <c r="BQ197" s="196"/>
    </row>
    <row r="198" spans="1:69" x14ac:dyDescent="0.25">
      <c r="A198" s="196"/>
      <c r="B198" s="196">
        <v>197</v>
      </c>
      <c r="C198" s="196" t="str">
        <f>IFERROR(LEFT(Master[[#This Row],[Taxon -Lookup Picker in GRIN]],FIND(" ",Master[[#This Row],[Taxon -Lookup Picker in GRIN]],1)-1),"")</f>
        <v/>
      </c>
      <c r="D198" s="213"/>
      <c r="E198" s="217"/>
      <c r="F198" s="217"/>
      <c r="G198" s="217"/>
      <c r="H198" s="196"/>
      <c r="I198" s="196"/>
      <c r="J198" s="196"/>
      <c r="K198" s="219"/>
      <c r="L198" s="196"/>
      <c r="M198" s="196"/>
      <c r="N198" s="196"/>
      <c r="O198" s="196"/>
      <c r="P198" s="219"/>
      <c r="Q198" s="219"/>
      <c r="R198" s="196"/>
      <c r="S198" s="233"/>
      <c r="T198" s="217"/>
      <c r="U198" s="196"/>
      <c r="V198" s="196"/>
      <c r="W198" s="196"/>
      <c r="X198" s="227" t="str">
        <f>IFERROR(CONVERT(#REF!,"ft","m"),"")</f>
        <v/>
      </c>
      <c r="Y198" s="234"/>
      <c r="Z198" s="234"/>
      <c r="AA198" s="235"/>
      <c r="AB198" s="196"/>
      <c r="AC198" s="196"/>
      <c r="AD198" s="196"/>
      <c r="AE198" s="196"/>
      <c r="AF198" s="213"/>
      <c r="AG198" s="196"/>
      <c r="AH198" s="196"/>
      <c r="AI198" s="232"/>
      <c r="AJ198" s="232"/>
      <c r="AK198" s="196"/>
      <c r="AL198" s="196"/>
      <c r="AM198" s="196"/>
      <c r="AN198" s="196"/>
      <c r="AO198" s="196"/>
      <c r="AP198" s="196"/>
      <c r="AQ198" s="196"/>
      <c r="AR198" s="213"/>
      <c r="AS198" s="223"/>
      <c r="AT198" s="223"/>
      <c r="AU198" s="223"/>
      <c r="AV198" s="223"/>
      <c r="AW198" s="230" t="str">
        <f>IFERROR(ROUNDDOWN((('Master File'!$AU198*100)/'Master File'!$AV198)-Master[[#This Row],[Quantity On Hand]],0),"")</f>
        <v/>
      </c>
      <c r="AX198" s="217"/>
      <c r="AY198" s="217"/>
      <c r="AZ198" s="217"/>
      <c r="BA198" s="196"/>
      <c r="BB198" s="196" t="str">
        <f t="shared" si="3"/>
        <v xml:space="preserve"> </v>
      </c>
      <c r="BC198" s="196"/>
      <c r="BD198" s="213"/>
      <c r="BE198" s="196"/>
      <c r="BF198" s="196"/>
      <c r="BG198" s="213"/>
      <c r="BH198" s="213"/>
      <c r="BI198" s="197"/>
      <c r="BJ198" s="213"/>
      <c r="BK198" s="196"/>
      <c r="BL198" s="196"/>
      <c r="BM198" s="196"/>
      <c r="BN198" s="196"/>
      <c r="BO198" s="196"/>
      <c r="BP198" s="213"/>
      <c r="BQ198" s="196"/>
    </row>
    <row r="199" spans="1:69" x14ac:dyDescent="0.25">
      <c r="A199" s="196"/>
      <c r="B199" s="197">
        <v>198</v>
      </c>
      <c r="C199" s="196" t="str">
        <f>IFERROR(LEFT(Master[[#This Row],[Taxon -Lookup Picker in GRIN]],FIND(" ",Master[[#This Row],[Taxon -Lookup Picker in GRIN]],1)-1),"")</f>
        <v/>
      </c>
      <c r="D199" s="213"/>
      <c r="E199" s="217"/>
      <c r="F199" s="217"/>
      <c r="G199" s="217"/>
      <c r="H199" s="196"/>
      <c r="I199" s="196"/>
      <c r="J199" s="196"/>
      <c r="K199" s="219"/>
      <c r="L199" s="196"/>
      <c r="M199" s="196"/>
      <c r="N199" s="196"/>
      <c r="O199" s="196"/>
      <c r="P199" s="219"/>
      <c r="Q199" s="219"/>
      <c r="R199" s="196"/>
      <c r="S199" s="233"/>
      <c r="T199" s="217"/>
      <c r="U199" s="196"/>
      <c r="V199" s="196"/>
      <c r="W199" s="196"/>
      <c r="X199" s="227" t="str">
        <f>IFERROR(CONVERT(#REF!,"ft","m"),"")</f>
        <v/>
      </c>
      <c r="Y199" s="234"/>
      <c r="Z199" s="234"/>
      <c r="AA199" s="235"/>
      <c r="AB199" s="196"/>
      <c r="AC199" s="196"/>
      <c r="AD199" s="196"/>
      <c r="AE199" s="196"/>
      <c r="AF199" s="213"/>
      <c r="AG199" s="196"/>
      <c r="AH199" s="196"/>
      <c r="AI199" s="232"/>
      <c r="AJ199" s="232"/>
      <c r="AK199" s="196"/>
      <c r="AL199" s="196"/>
      <c r="AM199" s="196"/>
      <c r="AN199" s="196"/>
      <c r="AO199" s="196"/>
      <c r="AP199" s="196"/>
      <c r="AQ199" s="196"/>
      <c r="AR199" s="213"/>
      <c r="AS199" s="223"/>
      <c r="AT199" s="223"/>
      <c r="AU199" s="223"/>
      <c r="AV199" s="223"/>
      <c r="AW199" s="230" t="str">
        <f>IFERROR(ROUNDDOWN((('Master File'!$AU199*100)/'Master File'!$AV199)-Master[[#This Row],[Quantity On Hand]],0),"")</f>
        <v/>
      </c>
      <c r="AX199" s="217"/>
      <c r="AY199" s="217"/>
      <c r="AZ199" s="217"/>
      <c r="BA199" s="196"/>
      <c r="BB199" s="196" t="str">
        <f t="shared" si="3"/>
        <v xml:space="preserve"> </v>
      </c>
      <c r="BC199" s="196"/>
      <c r="BD199" s="213"/>
      <c r="BE199" s="196"/>
      <c r="BF199" s="196"/>
      <c r="BG199" s="213"/>
      <c r="BH199" s="213"/>
      <c r="BI199" s="197"/>
      <c r="BJ199" s="213"/>
      <c r="BK199" s="196"/>
      <c r="BL199" s="196"/>
      <c r="BM199" s="196"/>
      <c r="BN199" s="196"/>
      <c r="BO199" s="196"/>
      <c r="BP199" s="213"/>
      <c r="BQ199" s="196"/>
    </row>
    <row r="200" spans="1:69" x14ac:dyDescent="0.25">
      <c r="A200" s="196"/>
      <c r="B200" s="196">
        <v>199</v>
      </c>
      <c r="C200" s="196" t="str">
        <f>IFERROR(LEFT(Master[[#This Row],[Taxon -Lookup Picker in GRIN]],FIND(" ",Master[[#This Row],[Taxon -Lookup Picker in GRIN]],1)-1),"")</f>
        <v/>
      </c>
      <c r="D200" s="213"/>
      <c r="E200" s="217"/>
      <c r="F200" s="217"/>
      <c r="G200" s="217"/>
      <c r="H200" s="196"/>
      <c r="I200" s="196"/>
      <c r="J200" s="196"/>
      <c r="K200" s="219"/>
      <c r="L200" s="196"/>
      <c r="M200" s="196"/>
      <c r="N200" s="196"/>
      <c r="O200" s="196"/>
      <c r="P200" s="219"/>
      <c r="Q200" s="219"/>
      <c r="R200" s="196"/>
      <c r="S200" s="233"/>
      <c r="T200" s="217"/>
      <c r="U200" s="196"/>
      <c r="V200" s="196"/>
      <c r="W200" s="196"/>
      <c r="X200" s="227" t="str">
        <f>IFERROR(CONVERT(#REF!,"ft","m"),"")</f>
        <v/>
      </c>
      <c r="Y200" s="234"/>
      <c r="Z200" s="234"/>
      <c r="AA200" s="235"/>
      <c r="AB200" s="196"/>
      <c r="AC200" s="196"/>
      <c r="AD200" s="196"/>
      <c r="AE200" s="196"/>
      <c r="AF200" s="213"/>
      <c r="AG200" s="196"/>
      <c r="AH200" s="196"/>
      <c r="AI200" s="232"/>
      <c r="AJ200" s="232"/>
      <c r="AK200" s="196"/>
      <c r="AL200" s="196"/>
      <c r="AM200" s="196"/>
      <c r="AN200" s="196"/>
      <c r="AO200" s="196"/>
      <c r="AP200" s="196"/>
      <c r="AQ200" s="196"/>
      <c r="AR200" s="213"/>
      <c r="AS200" s="223"/>
      <c r="AT200" s="223"/>
      <c r="AU200" s="223"/>
      <c r="AV200" s="223"/>
      <c r="AW200" s="230" t="str">
        <f>IFERROR(ROUNDDOWN((('Master File'!$AU200*100)/'Master File'!$AV200)-Master[[#This Row],[Quantity On Hand]],0),"")</f>
        <v/>
      </c>
      <c r="AX200" s="217"/>
      <c r="AY200" s="217"/>
      <c r="AZ200" s="217"/>
      <c r="BA200" s="196"/>
      <c r="BB200" s="196" t="str">
        <f t="shared" si="3"/>
        <v xml:space="preserve"> </v>
      </c>
      <c r="BC200" s="196"/>
      <c r="BD200" s="213"/>
      <c r="BE200" s="196"/>
      <c r="BF200" s="196"/>
      <c r="BG200" s="213"/>
      <c r="BH200" s="213"/>
      <c r="BI200" s="197"/>
      <c r="BJ200" s="213"/>
      <c r="BK200" s="196"/>
      <c r="BL200" s="196"/>
      <c r="BM200" s="196"/>
      <c r="BN200" s="196"/>
      <c r="BO200" s="196"/>
      <c r="BP200" s="213"/>
      <c r="BQ200" s="196"/>
    </row>
    <row r="201" spans="1:69" x14ac:dyDescent="0.25">
      <c r="A201" s="196"/>
      <c r="B201" s="196"/>
      <c r="C201" s="236" t="str">
        <f>IFERROR(LEFT(Master[[#This Row],[Taxon -Lookup Picker in GRIN]],FIND(" ",Master[[#This Row],[Taxon -Lookup Picker in GRIN]],1)-1),"")</f>
        <v/>
      </c>
      <c r="D201" s="237"/>
      <c r="E201" s="217"/>
      <c r="F201" s="217"/>
      <c r="G201" s="217"/>
      <c r="H201" s="196"/>
      <c r="I201" s="196"/>
      <c r="J201" s="196"/>
      <c r="K201" s="219"/>
      <c r="L201" s="196"/>
      <c r="M201" s="196"/>
      <c r="N201" s="196"/>
      <c r="O201" s="196"/>
      <c r="P201" s="219"/>
      <c r="Q201" s="219"/>
      <c r="R201" s="196"/>
      <c r="S201" s="233"/>
      <c r="T201" s="217"/>
      <c r="U201" s="196"/>
      <c r="V201" s="196"/>
      <c r="W201" s="196"/>
      <c r="X201" s="227" t="str">
        <f>IFERROR(CONVERT(#REF!,"ft","m"),"")</f>
        <v/>
      </c>
      <c r="Y201" s="234"/>
      <c r="Z201" s="234"/>
      <c r="AA201" s="235"/>
      <c r="AB201" s="196"/>
      <c r="AC201" s="196"/>
      <c r="AD201" s="196"/>
      <c r="AE201" s="196"/>
      <c r="AF201" s="237"/>
      <c r="AG201" s="196"/>
      <c r="AH201" s="196"/>
      <c r="AI201" s="232"/>
      <c r="AJ201" s="232"/>
      <c r="AK201" s="196"/>
      <c r="AL201" s="196"/>
      <c r="AM201" s="196"/>
      <c r="AN201" s="196"/>
      <c r="AO201" s="196"/>
      <c r="AP201" s="196"/>
      <c r="AQ201" s="196"/>
      <c r="AR201" s="237"/>
      <c r="AS201" s="223"/>
      <c r="AT201" s="223"/>
      <c r="AU201" s="223"/>
      <c r="AV201" s="223"/>
      <c r="AW201" s="238" t="str">
        <f>IFERROR(ROUNDDOWN((('Master File'!$AU201*100)/'Master File'!$AV201)-Master[[#This Row],[Quantity On Hand]],0),"")</f>
        <v/>
      </c>
      <c r="AX201" s="217"/>
      <c r="AY201" s="217"/>
      <c r="AZ201" s="217"/>
      <c r="BA201" s="196"/>
      <c r="BB201" s="236" t="str">
        <f t="shared" ref="BB201:BB232" si="4">CONCATENATE(D201," ",E201)</f>
        <v xml:space="preserve"> </v>
      </c>
      <c r="BC201" s="196"/>
      <c r="BD201" s="237"/>
      <c r="BE201" s="196"/>
      <c r="BF201" s="196"/>
      <c r="BG201" s="237"/>
      <c r="BH201" s="213"/>
      <c r="BI201" s="213"/>
      <c r="BJ201" s="213"/>
      <c r="BK201" s="196"/>
      <c r="BL201" s="196"/>
      <c r="BM201" s="196"/>
      <c r="BN201" s="196"/>
      <c r="BO201" s="196"/>
      <c r="BP201" s="237"/>
      <c r="BQ201" s="196"/>
    </row>
    <row r="202" spans="1:69" x14ac:dyDescent="0.25">
      <c r="A202" s="196"/>
      <c r="B202" s="196"/>
      <c r="C202" s="236" t="str">
        <f>IFERROR(LEFT(Master[[#This Row],[Taxon -Lookup Picker in GRIN]],FIND(" ",Master[[#This Row],[Taxon -Lookup Picker in GRIN]],1)-1),"")</f>
        <v/>
      </c>
      <c r="D202" s="237"/>
      <c r="E202" s="217"/>
      <c r="F202" s="217"/>
      <c r="G202" s="217"/>
      <c r="H202" s="196"/>
      <c r="I202" s="196"/>
      <c r="J202" s="196"/>
      <c r="K202" s="219"/>
      <c r="L202" s="196"/>
      <c r="M202" s="196"/>
      <c r="N202" s="196"/>
      <c r="O202" s="196"/>
      <c r="P202" s="219"/>
      <c r="Q202" s="219"/>
      <c r="R202" s="196"/>
      <c r="S202" s="233"/>
      <c r="T202" s="217"/>
      <c r="U202" s="196"/>
      <c r="V202" s="196"/>
      <c r="W202" s="196"/>
      <c r="X202" s="227" t="str">
        <f>IFERROR(CONVERT(#REF!,"ft","m"),"")</f>
        <v/>
      </c>
      <c r="Y202" s="234"/>
      <c r="Z202" s="234"/>
      <c r="AA202" s="235"/>
      <c r="AB202" s="196"/>
      <c r="AC202" s="196"/>
      <c r="AD202" s="196"/>
      <c r="AE202" s="196"/>
      <c r="AF202" s="237"/>
      <c r="AG202" s="196"/>
      <c r="AH202" s="196"/>
      <c r="AI202" s="232"/>
      <c r="AJ202" s="232"/>
      <c r="AK202" s="196"/>
      <c r="AL202" s="196"/>
      <c r="AM202" s="196"/>
      <c r="AN202" s="196"/>
      <c r="AO202" s="196"/>
      <c r="AP202" s="196"/>
      <c r="AQ202" s="196"/>
      <c r="AR202" s="237"/>
      <c r="AS202" s="223"/>
      <c r="AT202" s="223"/>
      <c r="AU202" s="223"/>
      <c r="AV202" s="223"/>
      <c r="AW202" s="238" t="str">
        <f>IFERROR(ROUNDDOWN((('Master File'!$AU202*100)/'Master File'!$AV202)-Master[[#This Row],[Quantity On Hand]],0),"")</f>
        <v/>
      </c>
      <c r="AX202" s="217"/>
      <c r="AY202" s="217"/>
      <c r="AZ202" s="217"/>
      <c r="BA202" s="196"/>
      <c r="BB202" s="236" t="str">
        <f t="shared" si="4"/>
        <v xml:space="preserve"> </v>
      </c>
      <c r="BC202" s="196"/>
      <c r="BD202" s="237"/>
      <c r="BE202" s="196"/>
      <c r="BF202" s="196"/>
      <c r="BG202" s="237"/>
      <c r="BH202" s="213"/>
      <c r="BI202" s="213"/>
      <c r="BJ202" s="213"/>
      <c r="BK202" s="196"/>
      <c r="BL202" s="196"/>
      <c r="BM202" s="196"/>
      <c r="BN202" s="196"/>
      <c r="BO202" s="196"/>
      <c r="BP202" s="237"/>
      <c r="BQ202" s="196"/>
    </row>
    <row r="203" spans="1:69" x14ac:dyDescent="0.25">
      <c r="A203" s="196"/>
      <c r="B203" s="196"/>
      <c r="C203" s="236" t="str">
        <f>IFERROR(LEFT(Master[[#This Row],[Taxon -Lookup Picker in GRIN]],FIND(" ",Master[[#This Row],[Taxon -Lookup Picker in GRIN]],1)-1),"")</f>
        <v/>
      </c>
      <c r="D203" s="237"/>
      <c r="E203" s="217"/>
      <c r="F203" s="217"/>
      <c r="G203" s="217"/>
      <c r="H203" s="196"/>
      <c r="I203" s="196"/>
      <c r="J203" s="196"/>
      <c r="K203" s="219"/>
      <c r="L203" s="196"/>
      <c r="M203" s="196"/>
      <c r="N203" s="196"/>
      <c r="O203" s="196"/>
      <c r="P203" s="219"/>
      <c r="Q203" s="219"/>
      <c r="R203" s="196"/>
      <c r="S203" s="233"/>
      <c r="T203" s="217"/>
      <c r="U203" s="196"/>
      <c r="V203" s="196"/>
      <c r="W203" s="196"/>
      <c r="X203" s="227" t="str">
        <f>IFERROR(CONVERT(#REF!,"ft","m"),"")</f>
        <v/>
      </c>
      <c r="Y203" s="234"/>
      <c r="Z203" s="234"/>
      <c r="AA203" s="235"/>
      <c r="AB203" s="196"/>
      <c r="AC203" s="196"/>
      <c r="AD203" s="196"/>
      <c r="AE203" s="196"/>
      <c r="AF203" s="237"/>
      <c r="AG203" s="196"/>
      <c r="AH203" s="196"/>
      <c r="AI203" s="232"/>
      <c r="AJ203" s="232"/>
      <c r="AK203" s="196"/>
      <c r="AL203" s="196"/>
      <c r="AM203" s="196"/>
      <c r="AN203" s="196"/>
      <c r="AO203" s="196"/>
      <c r="AP203" s="196"/>
      <c r="AQ203" s="196"/>
      <c r="AR203" s="237"/>
      <c r="AS203" s="223"/>
      <c r="AT203" s="223"/>
      <c r="AU203" s="223"/>
      <c r="AV203" s="223"/>
      <c r="AW203" s="238" t="str">
        <f>IFERROR(ROUNDDOWN((('Master File'!$AU203*100)/'Master File'!$AV203)-Master[[#This Row],[Quantity On Hand]],0),"")</f>
        <v/>
      </c>
      <c r="AX203" s="217"/>
      <c r="AY203" s="217"/>
      <c r="AZ203" s="217"/>
      <c r="BA203" s="196"/>
      <c r="BB203" s="236" t="str">
        <f t="shared" si="4"/>
        <v xml:space="preserve"> </v>
      </c>
      <c r="BC203" s="196"/>
      <c r="BD203" s="237"/>
      <c r="BE203" s="196"/>
      <c r="BF203" s="196"/>
      <c r="BG203" s="237"/>
      <c r="BH203" s="213"/>
      <c r="BI203" s="213"/>
      <c r="BJ203" s="213"/>
      <c r="BK203" s="196"/>
      <c r="BL203" s="196"/>
      <c r="BM203" s="196"/>
      <c r="BN203" s="196"/>
      <c r="BO203" s="196"/>
      <c r="BP203" s="237"/>
      <c r="BQ203" s="196"/>
    </row>
    <row r="204" spans="1:69" x14ac:dyDescent="0.25">
      <c r="A204" s="196"/>
      <c r="B204" s="196"/>
      <c r="C204" s="236" t="str">
        <f>IFERROR(LEFT(Master[[#This Row],[Taxon -Lookup Picker in GRIN]],FIND(" ",Master[[#This Row],[Taxon -Lookup Picker in GRIN]],1)-1),"")</f>
        <v/>
      </c>
      <c r="D204" s="237"/>
      <c r="E204" s="217"/>
      <c r="F204" s="217"/>
      <c r="G204" s="217"/>
      <c r="H204" s="196"/>
      <c r="I204" s="196"/>
      <c r="J204" s="196"/>
      <c r="K204" s="219"/>
      <c r="L204" s="196"/>
      <c r="M204" s="196"/>
      <c r="N204" s="196"/>
      <c r="O204" s="196"/>
      <c r="P204" s="219"/>
      <c r="Q204" s="219"/>
      <c r="R204" s="196"/>
      <c r="S204" s="233"/>
      <c r="T204" s="217"/>
      <c r="U204" s="196"/>
      <c r="V204" s="196"/>
      <c r="W204" s="196"/>
      <c r="X204" s="227" t="str">
        <f>IFERROR(CONVERT(#REF!,"ft","m"),"")</f>
        <v/>
      </c>
      <c r="Y204" s="234"/>
      <c r="Z204" s="234"/>
      <c r="AA204" s="235"/>
      <c r="AB204" s="196"/>
      <c r="AC204" s="196"/>
      <c r="AD204" s="196"/>
      <c r="AE204" s="196"/>
      <c r="AF204" s="237"/>
      <c r="AG204" s="196"/>
      <c r="AH204" s="196"/>
      <c r="AI204" s="232"/>
      <c r="AJ204" s="232"/>
      <c r="AK204" s="196"/>
      <c r="AL204" s="196"/>
      <c r="AM204" s="196"/>
      <c r="AN204" s="196"/>
      <c r="AO204" s="196"/>
      <c r="AP204" s="196"/>
      <c r="AQ204" s="196"/>
      <c r="AR204" s="237"/>
      <c r="AS204" s="223"/>
      <c r="AT204" s="223"/>
      <c r="AU204" s="223"/>
      <c r="AV204" s="223"/>
      <c r="AW204" s="238" t="str">
        <f>IFERROR(ROUNDDOWN((('Master File'!$AU204*100)/'Master File'!$AV204)-Master[[#This Row],[Quantity On Hand]],0),"")</f>
        <v/>
      </c>
      <c r="AX204" s="217"/>
      <c r="AY204" s="217"/>
      <c r="AZ204" s="217"/>
      <c r="BA204" s="196"/>
      <c r="BB204" s="236" t="str">
        <f t="shared" si="4"/>
        <v xml:space="preserve"> </v>
      </c>
      <c r="BC204" s="196"/>
      <c r="BD204" s="237"/>
      <c r="BE204" s="196"/>
      <c r="BF204" s="196"/>
      <c r="BG204" s="237"/>
      <c r="BH204" s="213"/>
      <c r="BI204" s="213"/>
      <c r="BJ204" s="213"/>
      <c r="BK204" s="196"/>
      <c r="BL204" s="196"/>
      <c r="BM204" s="196"/>
      <c r="BN204" s="196"/>
      <c r="BO204" s="196"/>
      <c r="BP204" s="237"/>
      <c r="BQ204" s="196"/>
    </row>
    <row r="205" spans="1:69" x14ac:dyDescent="0.25">
      <c r="A205" s="196"/>
      <c r="B205" s="196"/>
      <c r="C205" s="236" t="str">
        <f>IFERROR(LEFT(Master[[#This Row],[Taxon -Lookup Picker in GRIN]],FIND(" ",Master[[#This Row],[Taxon -Lookup Picker in GRIN]],1)-1),"")</f>
        <v/>
      </c>
      <c r="D205" s="237"/>
      <c r="E205" s="217"/>
      <c r="F205" s="217"/>
      <c r="G205" s="217"/>
      <c r="H205" s="196"/>
      <c r="I205" s="196"/>
      <c r="J205" s="196"/>
      <c r="K205" s="219"/>
      <c r="L205" s="196"/>
      <c r="M205" s="196"/>
      <c r="N205" s="196"/>
      <c r="O205" s="196"/>
      <c r="P205" s="219"/>
      <c r="Q205" s="219"/>
      <c r="R205" s="196"/>
      <c r="S205" s="233"/>
      <c r="T205" s="217"/>
      <c r="U205" s="196"/>
      <c r="V205" s="196"/>
      <c r="W205" s="196"/>
      <c r="X205" s="227" t="str">
        <f>IFERROR(CONVERT(#REF!,"ft","m"),"")</f>
        <v/>
      </c>
      <c r="Y205" s="234"/>
      <c r="Z205" s="234"/>
      <c r="AA205" s="235"/>
      <c r="AB205" s="196"/>
      <c r="AC205" s="196"/>
      <c r="AD205" s="196"/>
      <c r="AE205" s="196"/>
      <c r="AF205" s="237"/>
      <c r="AG205" s="196"/>
      <c r="AH205" s="196"/>
      <c r="AI205" s="232"/>
      <c r="AJ205" s="232"/>
      <c r="AK205" s="196"/>
      <c r="AL205" s="196"/>
      <c r="AM205" s="196"/>
      <c r="AN205" s="196"/>
      <c r="AO205" s="196"/>
      <c r="AP205" s="196"/>
      <c r="AQ205" s="196"/>
      <c r="AR205" s="237"/>
      <c r="AS205" s="223"/>
      <c r="AT205" s="223"/>
      <c r="AU205" s="223"/>
      <c r="AV205" s="223"/>
      <c r="AW205" s="238" t="str">
        <f>IFERROR(ROUNDDOWN((('Master File'!$AU205*100)/'Master File'!$AV205)-Master[[#This Row],[Quantity On Hand]],0),"")</f>
        <v/>
      </c>
      <c r="AX205" s="217"/>
      <c r="AY205" s="217"/>
      <c r="AZ205" s="217"/>
      <c r="BA205" s="196"/>
      <c r="BB205" s="236" t="str">
        <f t="shared" si="4"/>
        <v xml:space="preserve"> </v>
      </c>
      <c r="BC205" s="196"/>
      <c r="BD205" s="237"/>
      <c r="BE205" s="196"/>
      <c r="BF205" s="196"/>
      <c r="BG205" s="237"/>
      <c r="BH205" s="213"/>
      <c r="BI205" s="213"/>
      <c r="BJ205" s="213"/>
      <c r="BK205" s="196"/>
      <c r="BL205" s="196"/>
      <c r="BM205" s="196"/>
      <c r="BN205" s="196"/>
      <c r="BO205" s="196"/>
      <c r="BP205" s="237"/>
      <c r="BQ205" s="196"/>
    </row>
    <row r="206" spans="1:69" x14ac:dyDescent="0.25">
      <c r="A206" s="196"/>
      <c r="B206" s="196"/>
      <c r="C206" s="236" t="str">
        <f>IFERROR(LEFT(Master[[#This Row],[Taxon -Lookup Picker in GRIN]],FIND(" ",Master[[#This Row],[Taxon -Lookup Picker in GRIN]],1)-1),"")</f>
        <v/>
      </c>
      <c r="D206" s="237"/>
      <c r="E206" s="217"/>
      <c r="F206" s="217"/>
      <c r="G206" s="217"/>
      <c r="H206" s="196"/>
      <c r="I206" s="196"/>
      <c r="J206" s="196"/>
      <c r="K206" s="219"/>
      <c r="L206" s="196"/>
      <c r="M206" s="196"/>
      <c r="N206" s="196"/>
      <c r="O206" s="196"/>
      <c r="P206" s="219"/>
      <c r="Q206" s="219"/>
      <c r="R206" s="196"/>
      <c r="S206" s="233"/>
      <c r="T206" s="217"/>
      <c r="U206" s="196"/>
      <c r="V206" s="196"/>
      <c r="W206" s="196"/>
      <c r="X206" s="227" t="str">
        <f>IFERROR(CONVERT(#REF!,"ft","m"),"")</f>
        <v/>
      </c>
      <c r="Y206" s="234"/>
      <c r="Z206" s="234"/>
      <c r="AA206" s="235"/>
      <c r="AB206" s="196"/>
      <c r="AC206" s="196"/>
      <c r="AD206" s="196"/>
      <c r="AE206" s="196"/>
      <c r="AF206" s="237"/>
      <c r="AG206" s="196"/>
      <c r="AH206" s="196"/>
      <c r="AI206" s="232"/>
      <c r="AJ206" s="232"/>
      <c r="AK206" s="196"/>
      <c r="AL206" s="196"/>
      <c r="AM206" s="196"/>
      <c r="AN206" s="196"/>
      <c r="AO206" s="196"/>
      <c r="AP206" s="196"/>
      <c r="AQ206" s="196"/>
      <c r="AR206" s="237"/>
      <c r="AS206" s="223"/>
      <c r="AT206" s="223"/>
      <c r="AU206" s="223"/>
      <c r="AV206" s="223"/>
      <c r="AW206" s="238" t="str">
        <f>IFERROR(ROUNDDOWN((('Master File'!$AU206*100)/'Master File'!$AV206)-Master[[#This Row],[Quantity On Hand]],0),"")</f>
        <v/>
      </c>
      <c r="AX206" s="217"/>
      <c r="AY206" s="217"/>
      <c r="AZ206" s="217"/>
      <c r="BA206" s="196"/>
      <c r="BB206" s="236" t="str">
        <f t="shared" si="4"/>
        <v xml:space="preserve"> </v>
      </c>
      <c r="BC206" s="196"/>
      <c r="BD206" s="237"/>
      <c r="BE206" s="196"/>
      <c r="BF206" s="196"/>
      <c r="BG206" s="237"/>
      <c r="BH206" s="213"/>
      <c r="BI206" s="213"/>
      <c r="BJ206" s="213"/>
      <c r="BK206" s="196"/>
      <c r="BL206" s="196"/>
      <c r="BM206" s="196"/>
      <c r="BN206" s="196"/>
      <c r="BO206" s="196"/>
      <c r="BP206" s="237"/>
      <c r="BQ206" s="196"/>
    </row>
    <row r="207" spans="1:69" x14ac:dyDescent="0.25">
      <c r="A207" s="196"/>
      <c r="B207" s="196"/>
      <c r="C207" s="236" t="str">
        <f>IFERROR(LEFT(Master[[#This Row],[Taxon -Lookup Picker in GRIN]],FIND(" ",Master[[#This Row],[Taxon -Lookup Picker in GRIN]],1)-1),"")</f>
        <v/>
      </c>
      <c r="D207" s="237"/>
      <c r="E207" s="217"/>
      <c r="F207" s="217"/>
      <c r="G207" s="217"/>
      <c r="H207" s="196"/>
      <c r="I207" s="196"/>
      <c r="J207" s="196"/>
      <c r="K207" s="219"/>
      <c r="L207" s="196"/>
      <c r="M207" s="196"/>
      <c r="N207" s="196"/>
      <c r="O207" s="196"/>
      <c r="P207" s="219"/>
      <c r="Q207" s="219"/>
      <c r="R207" s="196"/>
      <c r="S207" s="233"/>
      <c r="T207" s="217"/>
      <c r="U207" s="196"/>
      <c r="V207" s="196"/>
      <c r="W207" s="196"/>
      <c r="X207" s="227" t="str">
        <f>IFERROR(CONVERT(#REF!,"ft","m"),"")</f>
        <v/>
      </c>
      <c r="Y207" s="234"/>
      <c r="Z207" s="234"/>
      <c r="AA207" s="235"/>
      <c r="AB207" s="196"/>
      <c r="AC207" s="196"/>
      <c r="AD207" s="196"/>
      <c r="AE207" s="196"/>
      <c r="AF207" s="237"/>
      <c r="AG207" s="196"/>
      <c r="AH207" s="196"/>
      <c r="AI207" s="232"/>
      <c r="AJ207" s="232"/>
      <c r="AK207" s="196"/>
      <c r="AL207" s="196"/>
      <c r="AM207" s="196"/>
      <c r="AN207" s="196"/>
      <c r="AO207" s="196"/>
      <c r="AP207" s="196"/>
      <c r="AQ207" s="196"/>
      <c r="AR207" s="237"/>
      <c r="AS207" s="223"/>
      <c r="AT207" s="223"/>
      <c r="AU207" s="223"/>
      <c r="AV207" s="223"/>
      <c r="AW207" s="238" t="str">
        <f>IFERROR(ROUNDDOWN((('Master File'!$AU207*100)/'Master File'!$AV207)-Master[[#This Row],[Quantity On Hand]],0),"")</f>
        <v/>
      </c>
      <c r="AX207" s="217"/>
      <c r="AY207" s="217"/>
      <c r="AZ207" s="217"/>
      <c r="BA207" s="196"/>
      <c r="BB207" s="236" t="str">
        <f t="shared" si="4"/>
        <v xml:space="preserve"> </v>
      </c>
      <c r="BC207" s="196"/>
      <c r="BD207" s="237"/>
      <c r="BE207" s="196"/>
      <c r="BF207" s="196"/>
      <c r="BG207" s="237"/>
      <c r="BH207" s="213"/>
      <c r="BI207" s="213"/>
      <c r="BJ207" s="213"/>
      <c r="BK207" s="196"/>
      <c r="BL207" s="196"/>
      <c r="BM207" s="196"/>
      <c r="BN207" s="196"/>
      <c r="BO207" s="196"/>
      <c r="BP207" s="237"/>
      <c r="BQ207" s="196"/>
    </row>
    <row r="208" spans="1:69" x14ac:dyDescent="0.25">
      <c r="A208" s="196"/>
      <c r="B208" s="196"/>
      <c r="C208" s="236" t="str">
        <f>IFERROR(LEFT(Master[[#This Row],[Taxon -Lookup Picker in GRIN]],FIND(" ",Master[[#This Row],[Taxon -Lookup Picker in GRIN]],1)-1),"")</f>
        <v/>
      </c>
      <c r="D208" s="237"/>
      <c r="E208" s="217"/>
      <c r="F208" s="217"/>
      <c r="G208" s="217"/>
      <c r="H208" s="196"/>
      <c r="I208" s="196"/>
      <c r="J208" s="196"/>
      <c r="K208" s="219"/>
      <c r="L208" s="196"/>
      <c r="M208" s="196"/>
      <c r="N208" s="196"/>
      <c r="O208" s="196"/>
      <c r="P208" s="219"/>
      <c r="Q208" s="219"/>
      <c r="R208" s="196"/>
      <c r="S208" s="233"/>
      <c r="T208" s="217"/>
      <c r="U208" s="196"/>
      <c r="V208" s="196"/>
      <c r="W208" s="196"/>
      <c r="X208" s="227" t="str">
        <f>IFERROR(CONVERT(#REF!,"ft","m"),"")</f>
        <v/>
      </c>
      <c r="Y208" s="234"/>
      <c r="Z208" s="234"/>
      <c r="AA208" s="235"/>
      <c r="AB208" s="196"/>
      <c r="AC208" s="196"/>
      <c r="AD208" s="196"/>
      <c r="AE208" s="196"/>
      <c r="AF208" s="237"/>
      <c r="AG208" s="196"/>
      <c r="AH208" s="196"/>
      <c r="AI208" s="232"/>
      <c r="AJ208" s="232"/>
      <c r="AK208" s="196"/>
      <c r="AL208" s="196"/>
      <c r="AM208" s="196"/>
      <c r="AN208" s="196"/>
      <c r="AO208" s="196"/>
      <c r="AP208" s="196"/>
      <c r="AQ208" s="196"/>
      <c r="AR208" s="237"/>
      <c r="AS208" s="223"/>
      <c r="AT208" s="223"/>
      <c r="AU208" s="223"/>
      <c r="AV208" s="223"/>
      <c r="AW208" s="238" t="str">
        <f>IFERROR(ROUNDDOWN((('Master File'!$AU208*100)/'Master File'!$AV208)-Master[[#This Row],[Quantity On Hand]],0),"")</f>
        <v/>
      </c>
      <c r="AX208" s="217"/>
      <c r="AY208" s="217"/>
      <c r="AZ208" s="217"/>
      <c r="BA208" s="196"/>
      <c r="BB208" s="236" t="str">
        <f t="shared" si="4"/>
        <v xml:space="preserve"> </v>
      </c>
      <c r="BC208" s="196"/>
      <c r="BD208" s="237"/>
      <c r="BE208" s="196"/>
      <c r="BF208" s="196"/>
      <c r="BG208" s="237"/>
      <c r="BH208" s="213"/>
      <c r="BI208" s="213"/>
      <c r="BJ208" s="213"/>
      <c r="BK208" s="196"/>
      <c r="BL208" s="196"/>
      <c r="BM208" s="196"/>
      <c r="BN208" s="196"/>
      <c r="BO208" s="196"/>
      <c r="BP208" s="237"/>
      <c r="BQ208" s="196"/>
    </row>
    <row r="209" spans="1:69" x14ac:dyDescent="0.25">
      <c r="A209" s="196"/>
      <c r="B209" s="196"/>
      <c r="C209" s="236" t="str">
        <f>IFERROR(LEFT(Master[[#This Row],[Taxon -Lookup Picker in GRIN]],FIND(" ",Master[[#This Row],[Taxon -Lookup Picker in GRIN]],1)-1),"")</f>
        <v/>
      </c>
      <c r="D209" s="237"/>
      <c r="E209" s="217"/>
      <c r="F209" s="217"/>
      <c r="G209" s="217"/>
      <c r="H209" s="196"/>
      <c r="I209" s="196"/>
      <c r="J209" s="196"/>
      <c r="K209" s="219"/>
      <c r="L209" s="196"/>
      <c r="M209" s="196"/>
      <c r="N209" s="196"/>
      <c r="O209" s="196"/>
      <c r="P209" s="219"/>
      <c r="Q209" s="219"/>
      <c r="R209" s="196"/>
      <c r="S209" s="233"/>
      <c r="T209" s="217"/>
      <c r="U209" s="196"/>
      <c r="V209" s="196"/>
      <c r="W209" s="196"/>
      <c r="X209" s="227" t="str">
        <f>IFERROR(CONVERT(#REF!,"ft","m"),"")</f>
        <v/>
      </c>
      <c r="Y209" s="234"/>
      <c r="Z209" s="234"/>
      <c r="AA209" s="235"/>
      <c r="AB209" s="196"/>
      <c r="AC209" s="196"/>
      <c r="AD209" s="196"/>
      <c r="AE209" s="196"/>
      <c r="AF209" s="237"/>
      <c r="AG209" s="196"/>
      <c r="AH209" s="196"/>
      <c r="AI209" s="232"/>
      <c r="AJ209" s="232"/>
      <c r="AK209" s="196"/>
      <c r="AL209" s="196"/>
      <c r="AM209" s="196"/>
      <c r="AN209" s="196"/>
      <c r="AO209" s="196"/>
      <c r="AP209" s="196"/>
      <c r="AQ209" s="196"/>
      <c r="AR209" s="237"/>
      <c r="AS209" s="223"/>
      <c r="AT209" s="223"/>
      <c r="AU209" s="223"/>
      <c r="AV209" s="223"/>
      <c r="AW209" s="238" t="str">
        <f>IFERROR(ROUNDDOWN((('Master File'!$AU209*100)/'Master File'!$AV209)-Master[[#This Row],[Quantity On Hand]],0),"")</f>
        <v/>
      </c>
      <c r="AX209" s="217"/>
      <c r="AY209" s="217"/>
      <c r="AZ209" s="217"/>
      <c r="BA209" s="196"/>
      <c r="BB209" s="236" t="str">
        <f t="shared" si="4"/>
        <v xml:space="preserve"> </v>
      </c>
      <c r="BC209" s="196"/>
      <c r="BD209" s="237"/>
      <c r="BE209" s="196"/>
      <c r="BF209" s="196"/>
      <c r="BG209" s="237"/>
      <c r="BH209" s="213"/>
      <c r="BI209" s="213"/>
      <c r="BJ209" s="213"/>
      <c r="BK209" s="196"/>
      <c r="BL209" s="196"/>
      <c r="BM209" s="196"/>
      <c r="BN209" s="196"/>
      <c r="BO209" s="196"/>
      <c r="BP209" s="237"/>
      <c r="BQ209" s="196"/>
    </row>
    <row r="210" spans="1:69" x14ac:dyDescent="0.25">
      <c r="A210" s="196"/>
      <c r="B210" s="196"/>
      <c r="C210" s="236" t="str">
        <f>IFERROR(LEFT(Master[[#This Row],[Taxon -Lookup Picker in GRIN]],FIND(" ",Master[[#This Row],[Taxon -Lookup Picker in GRIN]],1)-1),"")</f>
        <v/>
      </c>
      <c r="D210" s="237"/>
      <c r="E210" s="217"/>
      <c r="F210" s="217"/>
      <c r="G210" s="217"/>
      <c r="H210" s="196"/>
      <c r="I210" s="196"/>
      <c r="J210" s="196"/>
      <c r="K210" s="219"/>
      <c r="L210" s="196"/>
      <c r="M210" s="196"/>
      <c r="N210" s="196"/>
      <c r="O210" s="196"/>
      <c r="P210" s="219"/>
      <c r="Q210" s="219"/>
      <c r="R210" s="196"/>
      <c r="S210" s="233"/>
      <c r="T210" s="217"/>
      <c r="U210" s="196"/>
      <c r="V210" s="196"/>
      <c r="W210" s="196"/>
      <c r="X210" s="227" t="str">
        <f>IFERROR(CONVERT(#REF!,"ft","m"),"")</f>
        <v/>
      </c>
      <c r="Y210" s="234"/>
      <c r="Z210" s="234"/>
      <c r="AA210" s="235"/>
      <c r="AB210" s="196"/>
      <c r="AC210" s="196"/>
      <c r="AD210" s="196"/>
      <c r="AE210" s="196"/>
      <c r="AF210" s="237"/>
      <c r="AG210" s="196"/>
      <c r="AH210" s="196"/>
      <c r="AI210" s="232"/>
      <c r="AJ210" s="232"/>
      <c r="AK210" s="196"/>
      <c r="AL210" s="196"/>
      <c r="AM210" s="196"/>
      <c r="AN210" s="196"/>
      <c r="AO210" s="196"/>
      <c r="AP210" s="196"/>
      <c r="AQ210" s="196"/>
      <c r="AR210" s="237"/>
      <c r="AS210" s="223"/>
      <c r="AT210" s="223"/>
      <c r="AU210" s="223"/>
      <c r="AV210" s="223"/>
      <c r="AW210" s="238" t="str">
        <f>IFERROR(ROUNDDOWN((('Master File'!$AU210*100)/'Master File'!$AV210)-Master[[#This Row],[Quantity On Hand]],0),"")</f>
        <v/>
      </c>
      <c r="AX210" s="217"/>
      <c r="AY210" s="217"/>
      <c r="AZ210" s="217"/>
      <c r="BA210" s="196"/>
      <c r="BB210" s="236" t="str">
        <f t="shared" si="4"/>
        <v xml:space="preserve"> </v>
      </c>
      <c r="BC210" s="196"/>
      <c r="BD210" s="237"/>
      <c r="BE210" s="196"/>
      <c r="BF210" s="196"/>
      <c r="BG210" s="237"/>
      <c r="BH210" s="213"/>
      <c r="BI210" s="213"/>
      <c r="BJ210" s="213"/>
      <c r="BK210" s="196"/>
      <c r="BL210" s="196"/>
      <c r="BM210" s="196"/>
      <c r="BN210" s="196"/>
      <c r="BO210" s="196"/>
      <c r="BP210" s="237"/>
      <c r="BQ210" s="196"/>
    </row>
    <row r="211" spans="1:69" x14ac:dyDescent="0.25">
      <c r="A211" s="196"/>
      <c r="B211" s="196"/>
      <c r="C211" s="236" t="str">
        <f>IFERROR(LEFT(Master[[#This Row],[Taxon -Lookup Picker in GRIN]],FIND(" ",Master[[#This Row],[Taxon -Lookup Picker in GRIN]],1)-1),"")</f>
        <v/>
      </c>
      <c r="D211" s="237"/>
      <c r="E211" s="217"/>
      <c r="F211" s="217"/>
      <c r="G211" s="217"/>
      <c r="H211" s="196"/>
      <c r="I211" s="196"/>
      <c r="J211" s="196"/>
      <c r="K211" s="219"/>
      <c r="L211" s="196"/>
      <c r="M211" s="196"/>
      <c r="N211" s="196"/>
      <c r="O211" s="196"/>
      <c r="P211" s="219"/>
      <c r="Q211" s="219"/>
      <c r="R211" s="196"/>
      <c r="S211" s="233"/>
      <c r="T211" s="217"/>
      <c r="U211" s="196"/>
      <c r="V211" s="196"/>
      <c r="W211" s="196"/>
      <c r="X211" s="227" t="str">
        <f>IFERROR(CONVERT(#REF!,"ft","m"),"")</f>
        <v/>
      </c>
      <c r="Y211" s="234"/>
      <c r="Z211" s="234"/>
      <c r="AA211" s="235"/>
      <c r="AB211" s="196"/>
      <c r="AC211" s="196"/>
      <c r="AD211" s="196"/>
      <c r="AE211" s="196"/>
      <c r="AF211" s="237"/>
      <c r="AG211" s="196"/>
      <c r="AH211" s="196"/>
      <c r="AI211" s="232"/>
      <c r="AJ211" s="232"/>
      <c r="AK211" s="196"/>
      <c r="AL211" s="196"/>
      <c r="AM211" s="196"/>
      <c r="AN211" s="196"/>
      <c r="AO211" s="196"/>
      <c r="AP211" s="196"/>
      <c r="AQ211" s="196"/>
      <c r="AR211" s="237"/>
      <c r="AS211" s="223"/>
      <c r="AT211" s="223"/>
      <c r="AU211" s="223"/>
      <c r="AV211" s="223"/>
      <c r="AW211" s="238" t="str">
        <f>IFERROR(ROUNDDOWN((('Master File'!$AU211*100)/'Master File'!$AV211)-Master[[#This Row],[Quantity On Hand]],0),"")</f>
        <v/>
      </c>
      <c r="AX211" s="217"/>
      <c r="AY211" s="217"/>
      <c r="AZ211" s="217"/>
      <c r="BA211" s="196"/>
      <c r="BB211" s="236" t="str">
        <f t="shared" si="4"/>
        <v xml:space="preserve"> </v>
      </c>
      <c r="BC211" s="196"/>
      <c r="BD211" s="237"/>
      <c r="BE211" s="196"/>
      <c r="BF211" s="196"/>
      <c r="BG211" s="237"/>
      <c r="BH211" s="213"/>
      <c r="BI211" s="213"/>
      <c r="BJ211" s="213"/>
      <c r="BK211" s="196"/>
      <c r="BL211" s="196"/>
      <c r="BM211" s="196"/>
      <c r="BN211" s="196"/>
      <c r="BO211" s="196"/>
      <c r="BP211" s="237"/>
      <c r="BQ211" s="196"/>
    </row>
    <row r="212" spans="1:69" x14ac:dyDescent="0.25">
      <c r="A212" s="196"/>
      <c r="B212" s="196"/>
      <c r="C212" s="236" t="str">
        <f>IFERROR(LEFT(Master[[#This Row],[Taxon -Lookup Picker in GRIN]],FIND(" ",Master[[#This Row],[Taxon -Lookup Picker in GRIN]],1)-1),"")</f>
        <v/>
      </c>
      <c r="D212" s="237"/>
      <c r="E212" s="217"/>
      <c r="F212" s="217"/>
      <c r="G212" s="217"/>
      <c r="H212" s="196"/>
      <c r="I212" s="196"/>
      <c r="J212" s="196"/>
      <c r="K212" s="219"/>
      <c r="L212" s="196"/>
      <c r="M212" s="196"/>
      <c r="N212" s="196"/>
      <c r="O212" s="196"/>
      <c r="P212" s="219"/>
      <c r="Q212" s="219"/>
      <c r="R212" s="196"/>
      <c r="S212" s="233"/>
      <c r="T212" s="217"/>
      <c r="U212" s="196"/>
      <c r="V212" s="196"/>
      <c r="W212" s="196"/>
      <c r="X212" s="227" t="str">
        <f>IFERROR(CONVERT(#REF!,"ft","m"),"")</f>
        <v/>
      </c>
      <c r="Y212" s="234"/>
      <c r="Z212" s="234"/>
      <c r="AA212" s="235"/>
      <c r="AB212" s="196"/>
      <c r="AC212" s="196"/>
      <c r="AD212" s="196"/>
      <c r="AE212" s="196"/>
      <c r="AF212" s="237"/>
      <c r="AG212" s="196"/>
      <c r="AH212" s="196"/>
      <c r="AI212" s="232"/>
      <c r="AJ212" s="232"/>
      <c r="AK212" s="196"/>
      <c r="AL212" s="196"/>
      <c r="AM212" s="196"/>
      <c r="AN212" s="196"/>
      <c r="AO212" s="196"/>
      <c r="AP212" s="196"/>
      <c r="AQ212" s="196"/>
      <c r="AR212" s="237"/>
      <c r="AS212" s="223"/>
      <c r="AT212" s="223"/>
      <c r="AU212" s="223"/>
      <c r="AV212" s="223"/>
      <c r="AW212" s="238" t="str">
        <f>IFERROR(ROUNDDOWN((('Master File'!$AU212*100)/'Master File'!$AV212)-Master[[#This Row],[Quantity On Hand]],0),"")</f>
        <v/>
      </c>
      <c r="AX212" s="217"/>
      <c r="AY212" s="217"/>
      <c r="AZ212" s="217"/>
      <c r="BA212" s="196"/>
      <c r="BB212" s="236" t="str">
        <f t="shared" si="4"/>
        <v xml:space="preserve"> </v>
      </c>
      <c r="BC212" s="196"/>
      <c r="BD212" s="237"/>
      <c r="BE212" s="196"/>
      <c r="BF212" s="196"/>
      <c r="BG212" s="237"/>
      <c r="BH212" s="213"/>
      <c r="BI212" s="213"/>
      <c r="BJ212" s="213"/>
      <c r="BK212" s="196"/>
      <c r="BL212" s="196"/>
      <c r="BM212" s="196"/>
      <c r="BN212" s="196"/>
      <c r="BO212" s="196"/>
      <c r="BP212" s="237"/>
      <c r="BQ212" s="196"/>
    </row>
    <row r="213" spans="1:69" x14ac:dyDescent="0.25">
      <c r="A213" s="196"/>
      <c r="B213" s="196"/>
      <c r="C213" s="236" t="str">
        <f>IFERROR(LEFT(Master[[#This Row],[Taxon -Lookup Picker in GRIN]],FIND(" ",Master[[#This Row],[Taxon -Lookup Picker in GRIN]],1)-1),"")</f>
        <v/>
      </c>
      <c r="D213" s="237"/>
      <c r="E213" s="217"/>
      <c r="F213" s="217"/>
      <c r="G213" s="217"/>
      <c r="H213" s="196"/>
      <c r="I213" s="196"/>
      <c r="J213" s="196"/>
      <c r="K213" s="219"/>
      <c r="L213" s="196"/>
      <c r="M213" s="196"/>
      <c r="N213" s="196"/>
      <c r="O213" s="196"/>
      <c r="P213" s="219"/>
      <c r="Q213" s="219"/>
      <c r="R213" s="196"/>
      <c r="S213" s="233"/>
      <c r="T213" s="217"/>
      <c r="U213" s="196"/>
      <c r="V213" s="196"/>
      <c r="W213" s="196"/>
      <c r="X213" s="227" t="str">
        <f>IFERROR(CONVERT(#REF!,"ft","m"),"")</f>
        <v/>
      </c>
      <c r="Y213" s="234"/>
      <c r="Z213" s="234"/>
      <c r="AA213" s="235"/>
      <c r="AB213" s="196"/>
      <c r="AC213" s="196"/>
      <c r="AD213" s="196"/>
      <c r="AE213" s="196"/>
      <c r="AF213" s="237"/>
      <c r="AG213" s="196"/>
      <c r="AH213" s="196"/>
      <c r="AI213" s="232"/>
      <c r="AJ213" s="232"/>
      <c r="AK213" s="196"/>
      <c r="AL213" s="196"/>
      <c r="AM213" s="196"/>
      <c r="AN213" s="196"/>
      <c r="AO213" s="196"/>
      <c r="AP213" s="196"/>
      <c r="AQ213" s="196"/>
      <c r="AR213" s="237"/>
      <c r="AS213" s="223"/>
      <c r="AT213" s="223"/>
      <c r="AU213" s="223"/>
      <c r="AV213" s="223"/>
      <c r="AW213" s="238" t="str">
        <f>IFERROR(ROUNDDOWN((('Master File'!$AU213*100)/'Master File'!$AV213)-Master[[#This Row],[Quantity On Hand]],0),"")</f>
        <v/>
      </c>
      <c r="AX213" s="217"/>
      <c r="AY213" s="217"/>
      <c r="AZ213" s="217"/>
      <c r="BA213" s="196"/>
      <c r="BB213" s="236" t="str">
        <f t="shared" si="4"/>
        <v xml:space="preserve"> </v>
      </c>
      <c r="BC213" s="196"/>
      <c r="BD213" s="237"/>
      <c r="BE213" s="196"/>
      <c r="BF213" s="196"/>
      <c r="BG213" s="237"/>
      <c r="BH213" s="213"/>
      <c r="BI213" s="213"/>
      <c r="BJ213" s="213"/>
      <c r="BK213" s="196"/>
      <c r="BL213" s="196"/>
      <c r="BM213" s="196"/>
      <c r="BN213" s="196"/>
      <c r="BO213" s="196"/>
      <c r="BP213" s="237"/>
      <c r="BQ213" s="196"/>
    </row>
    <row r="214" spans="1:69" x14ac:dyDescent="0.25">
      <c r="A214" s="196"/>
      <c r="B214" s="196"/>
      <c r="C214" s="236" t="str">
        <f>IFERROR(LEFT(Master[[#This Row],[Taxon -Lookup Picker in GRIN]],FIND(" ",Master[[#This Row],[Taxon -Lookup Picker in GRIN]],1)-1),"")</f>
        <v/>
      </c>
      <c r="D214" s="237"/>
      <c r="E214" s="217"/>
      <c r="F214" s="217"/>
      <c r="G214" s="217"/>
      <c r="H214" s="196"/>
      <c r="I214" s="196"/>
      <c r="J214" s="196"/>
      <c r="K214" s="219"/>
      <c r="L214" s="196"/>
      <c r="M214" s="196"/>
      <c r="N214" s="196"/>
      <c r="O214" s="196"/>
      <c r="P214" s="219"/>
      <c r="Q214" s="219"/>
      <c r="R214" s="196"/>
      <c r="S214" s="233"/>
      <c r="T214" s="217"/>
      <c r="U214" s="196"/>
      <c r="V214" s="196"/>
      <c r="W214" s="196"/>
      <c r="X214" s="227" t="str">
        <f>IFERROR(CONVERT(#REF!,"ft","m"),"")</f>
        <v/>
      </c>
      <c r="Y214" s="234"/>
      <c r="Z214" s="234"/>
      <c r="AA214" s="235"/>
      <c r="AB214" s="196"/>
      <c r="AC214" s="196"/>
      <c r="AD214" s="196"/>
      <c r="AE214" s="196"/>
      <c r="AF214" s="237"/>
      <c r="AG214" s="196"/>
      <c r="AH214" s="196"/>
      <c r="AI214" s="232"/>
      <c r="AJ214" s="232"/>
      <c r="AK214" s="196"/>
      <c r="AL214" s="196"/>
      <c r="AM214" s="196"/>
      <c r="AN214" s="196"/>
      <c r="AO214" s="196"/>
      <c r="AP214" s="196"/>
      <c r="AQ214" s="196"/>
      <c r="AR214" s="237"/>
      <c r="AS214" s="223"/>
      <c r="AT214" s="223"/>
      <c r="AU214" s="223"/>
      <c r="AV214" s="223"/>
      <c r="AW214" s="238" t="str">
        <f>IFERROR(ROUNDDOWN((('Master File'!$AU214*100)/'Master File'!$AV214)-Master[[#This Row],[Quantity On Hand]],0),"")</f>
        <v/>
      </c>
      <c r="AX214" s="217"/>
      <c r="AY214" s="217"/>
      <c r="AZ214" s="217"/>
      <c r="BA214" s="196"/>
      <c r="BB214" s="236" t="str">
        <f t="shared" si="4"/>
        <v xml:space="preserve"> </v>
      </c>
      <c r="BC214" s="196"/>
      <c r="BD214" s="237"/>
      <c r="BE214" s="196"/>
      <c r="BF214" s="196"/>
      <c r="BG214" s="237"/>
      <c r="BH214" s="213"/>
      <c r="BI214" s="213"/>
      <c r="BJ214" s="213"/>
      <c r="BK214" s="196"/>
      <c r="BL214" s="196"/>
      <c r="BM214" s="196"/>
      <c r="BN214" s="196"/>
      <c r="BO214" s="196"/>
      <c r="BP214" s="237"/>
      <c r="BQ214" s="196"/>
    </row>
    <row r="215" spans="1:69" x14ac:dyDescent="0.25">
      <c r="A215" s="196"/>
      <c r="B215" s="196"/>
      <c r="C215" s="236" t="str">
        <f>IFERROR(LEFT(Master[[#This Row],[Taxon -Lookup Picker in GRIN]],FIND(" ",Master[[#This Row],[Taxon -Lookup Picker in GRIN]],1)-1),"")</f>
        <v/>
      </c>
      <c r="D215" s="237"/>
      <c r="E215" s="217"/>
      <c r="F215" s="217"/>
      <c r="G215" s="217"/>
      <c r="H215" s="196"/>
      <c r="I215" s="196"/>
      <c r="J215" s="196"/>
      <c r="K215" s="219"/>
      <c r="L215" s="196"/>
      <c r="M215" s="196"/>
      <c r="N215" s="196"/>
      <c r="O215" s="196"/>
      <c r="P215" s="219"/>
      <c r="Q215" s="219"/>
      <c r="R215" s="196"/>
      <c r="S215" s="233"/>
      <c r="T215" s="217"/>
      <c r="U215" s="196"/>
      <c r="V215" s="196"/>
      <c r="W215" s="196"/>
      <c r="X215" s="227" t="str">
        <f>IFERROR(CONVERT(#REF!,"ft","m"),"")</f>
        <v/>
      </c>
      <c r="Y215" s="234"/>
      <c r="Z215" s="234"/>
      <c r="AA215" s="235"/>
      <c r="AB215" s="196"/>
      <c r="AC215" s="196"/>
      <c r="AD215" s="196"/>
      <c r="AE215" s="196"/>
      <c r="AF215" s="237"/>
      <c r="AG215" s="196"/>
      <c r="AH215" s="196"/>
      <c r="AI215" s="232"/>
      <c r="AJ215" s="232"/>
      <c r="AK215" s="196"/>
      <c r="AL215" s="196"/>
      <c r="AM215" s="196"/>
      <c r="AN215" s="196"/>
      <c r="AO215" s="196"/>
      <c r="AP215" s="196"/>
      <c r="AQ215" s="196"/>
      <c r="AR215" s="237"/>
      <c r="AS215" s="223"/>
      <c r="AT215" s="223"/>
      <c r="AU215" s="223"/>
      <c r="AV215" s="223"/>
      <c r="AW215" s="238" t="str">
        <f>IFERROR(ROUNDDOWN((('Master File'!$AU215*100)/'Master File'!$AV215)-Master[[#This Row],[Quantity On Hand]],0),"")</f>
        <v/>
      </c>
      <c r="AX215" s="217"/>
      <c r="AY215" s="217"/>
      <c r="AZ215" s="217"/>
      <c r="BA215" s="196"/>
      <c r="BB215" s="236" t="str">
        <f t="shared" si="4"/>
        <v xml:space="preserve"> </v>
      </c>
      <c r="BC215" s="196"/>
      <c r="BD215" s="237"/>
      <c r="BE215" s="196"/>
      <c r="BF215" s="196"/>
      <c r="BG215" s="237"/>
      <c r="BH215" s="213"/>
      <c r="BI215" s="213"/>
      <c r="BJ215" s="213"/>
      <c r="BK215" s="196"/>
      <c r="BL215" s="196"/>
      <c r="BM215" s="196"/>
      <c r="BN215" s="196"/>
      <c r="BO215" s="196"/>
      <c r="BP215" s="237"/>
      <c r="BQ215" s="196"/>
    </row>
    <row r="216" spans="1:69" x14ac:dyDescent="0.25">
      <c r="A216" s="196"/>
      <c r="B216" s="196"/>
      <c r="C216" s="236" t="str">
        <f>IFERROR(LEFT(Master[[#This Row],[Taxon -Lookup Picker in GRIN]],FIND(" ",Master[[#This Row],[Taxon -Lookup Picker in GRIN]],1)-1),"")</f>
        <v/>
      </c>
      <c r="D216" s="237"/>
      <c r="E216" s="217"/>
      <c r="F216" s="217"/>
      <c r="G216" s="217"/>
      <c r="H216" s="196"/>
      <c r="I216" s="196"/>
      <c r="J216" s="196"/>
      <c r="K216" s="219"/>
      <c r="L216" s="196"/>
      <c r="M216" s="196"/>
      <c r="N216" s="196"/>
      <c r="O216" s="196"/>
      <c r="P216" s="219"/>
      <c r="Q216" s="219"/>
      <c r="R216" s="196"/>
      <c r="S216" s="233"/>
      <c r="T216" s="217"/>
      <c r="U216" s="196"/>
      <c r="V216" s="196"/>
      <c r="W216" s="196"/>
      <c r="X216" s="227" t="str">
        <f>IFERROR(CONVERT(#REF!,"ft","m"),"")</f>
        <v/>
      </c>
      <c r="Y216" s="234"/>
      <c r="Z216" s="234"/>
      <c r="AA216" s="235"/>
      <c r="AB216" s="196"/>
      <c r="AC216" s="196"/>
      <c r="AD216" s="196"/>
      <c r="AE216" s="196"/>
      <c r="AF216" s="237"/>
      <c r="AG216" s="196"/>
      <c r="AH216" s="196"/>
      <c r="AI216" s="232"/>
      <c r="AJ216" s="232"/>
      <c r="AK216" s="196"/>
      <c r="AL216" s="196"/>
      <c r="AM216" s="196"/>
      <c r="AN216" s="196"/>
      <c r="AO216" s="196"/>
      <c r="AP216" s="196"/>
      <c r="AQ216" s="196"/>
      <c r="AR216" s="237"/>
      <c r="AS216" s="223"/>
      <c r="AT216" s="223"/>
      <c r="AU216" s="223"/>
      <c r="AV216" s="223"/>
      <c r="AW216" s="238" t="str">
        <f>IFERROR(ROUNDDOWN((('Master File'!$AU216*100)/'Master File'!$AV216)-Master[[#This Row],[Quantity On Hand]],0),"")</f>
        <v/>
      </c>
      <c r="AX216" s="217"/>
      <c r="AY216" s="217"/>
      <c r="AZ216" s="217"/>
      <c r="BA216" s="196"/>
      <c r="BB216" s="236" t="str">
        <f t="shared" si="4"/>
        <v xml:space="preserve"> </v>
      </c>
      <c r="BC216" s="196"/>
      <c r="BD216" s="237"/>
      <c r="BE216" s="196"/>
      <c r="BF216" s="196"/>
      <c r="BG216" s="237"/>
      <c r="BH216" s="213"/>
      <c r="BI216" s="213"/>
      <c r="BJ216" s="213"/>
      <c r="BK216" s="196"/>
      <c r="BL216" s="196"/>
      <c r="BM216" s="196"/>
      <c r="BN216" s="196"/>
      <c r="BO216" s="196"/>
      <c r="BP216" s="237"/>
      <c r="BQ216" s="196"/>
    </row>
    <row r="217" spans="1:69" x14ac:dyDescent="0.25">
      <c r="A217" s="196"/>
      <c r="B217" s="196"/>
      <c r="C217" s="236" t="str">
        <f>IFERROR(LEFT(Master[[#This Row],[Taxon -Lookup Picker in GRIN]],FIND(" ",Master[[#This Row],[Taxon -Lookup Picker in GRIN]],1)-1),"")</f>
        <v/>
      </c>
      <c r="D217" s="237"/>
      <c r="E217" s="217"/>
      <c r="F217" s="217"/>
      <c r="G217" s="217"/>
      <c r="H217" s="196"/>
      <c r="I217" s="196"/>
      <c r="J217" s="196"/>
      <c r="K217" s="219"/>
      <c r="L217" s="196"/>
      <c r="M217" s="196"/>
      <c r="N217" s="196"/>
      <c r="O217" s="196"/>
      <c r="P217" s="219"/>
      <c r="Q217" s="219"/>
      <c r="R217" s="196"/>
      <c r="S217" s="233"/>
      <c r="T217" s="217"/>
      <c r="U217" s="196"/>
      <c r="V217" s="196"/>
      <c r="W217" s="196"/>
      <c r="X217" s="227" t="str">
        <f>IFERROR(CONVERT(#REF!,"ft","m"),"")</f>
        <v/>
      </c>
      <c r="Y217" s="234"/>
      <c r="Z217" s="234"/>
      <c r="AA217" s="235"/>
      <c r="AB217" s="196"/>
      <c r="AC217" s="196"/>
      <c r="AD217" s="196"/>
      <c r="AE217" s="196"/>
      <c r="AF217" s="237"/>
      <c r="AG217" s="196"/>
      <c r="AH217" s="196"/>
      <c r="AI217" s="232"/>
      <c r="AJ217" s="232"/>
      <c r="AK217" s="196"/>
      <c r="AL217" s="196"/>
      <c r="AM217" s="196"/>
      <c r="AN217" s="196"/>
      <c r="AO217" s="196"/>
      <c r="AP217" s="196"/>
      <c r="AQ217" s="196"/>
      <c r="AR217" s="237"/>
      <c r="AS217" s="223"/>
      <c r="AT217" s="223"/>
      <c r="AU217" s="223"/>
      <c r="AV217" s="223"/>
      <c r="AW217" s="238" t="str">
        <f>IFERROR(ROUNDDOWN((('Master File'!$AU217*100)/'Master File'!$AV217)-Master[[#This Row],[Quantity On Hand]],0),"")</f>
        <v/>
      </c>
      <c r="AX217" s="217"/>
      <c r="AY217" s="217"/>
      <c r="AZ217" s="217"/>
      <c r="BA217" s="196"/>
      <c r="BB217" s="236" t="str">
        <f t="shared" si="4"/>
        <v xml:space="preserve"> </v>
      </c>
      <c r="BC217" s="196"/>
      <c r="BD217" s="237"/>
      <c r="BE217" s="196"/>
      <c r="BF217" s="196"/>
      <c r="BG217" s="237"/>
      <c r="BH217" s="213"/>
      <c r="BI217" s="213"/>
      <c r="BJ217" s="213"/>
      <c r="BK217" s="196"/>
      <c r="BL217" s="196"/>
      <c r="BM217" s="196"/>
      <c r="BN217" s="196"/>
      <c r="BO217" s="196"/>
      <c r="BP217" s="237"/>
      <c r="BQ217" s="196"/>
    </row>
    <row r="218" spans="1:69" x14ac:dyDescent="0.25">
      <c r="A218" s="196"/>
      <c r="B218" s="196"/>
      <c r="C218" s="236" t="str">
        <f>IFERROR(LEFT(Master[[#This Row],[Taxon -Lookup Picker in GRIN]],FIND(" ",Master[[#This Row],[Taxon -Lookup Picker in GRIN]],1)-1),"")</f>
        <v/>
      </c>
      <c r="D218" s="237"/>
      <c r="E218" s="217"/>
      <c r="F218" s="217"/>
      <c r="G218" s="217"/>
      <c r="H218" s="196"/>
      <c r="I218" s="196"/>
      <c r="J218" s="196"/>
      <c r="K218" s="219"/>
      <c r="L218" s="196"/>
      <c r="M218" s="196"/>
      <c r="N218" s="196"/>
      <c r="O218" s="196"/>
      <c r="P218" s="219"/>
      <c r="Q218" s="219"/>
      <c r="R218" s="196"/>
      <c r="S218" s="233"/>
      <c r="T218" s="217"/>
      <c r="U218" s="196"/>
      <c r="V218" s="196"/>
      <c r="W218" s="196"/>
      <c r="X218" s="227" t="str">
        <f>IFERROR(CONVERT(#REF!,"ft","m"),"")</f>
        <v/>
      </c>
      <c r="Y218" s="234"/>
      <c r="Z218" s="234"/>
      <c r="AA218" s="235"/>
      <c r="AB218" s="196"/>
      <c r="AC218" s="196"/>
      <c r="AD218" s="196"/>
      <c r="AE218" s="196"/>
      <c r="AF218" s="237"/>
      <c r="AG218" s="196"/>
      <c r="AH218" s="196"/>
      <c r="AI218" s="232"/>
      <c r="AJ218" s="232"/>
      <c r="AK218" s="196"/>
      <c r="AL218" s="196"/>
      <c r="AM218" s="196"/>
      <c r="AN218" s="196"/>
      <c r="AO218" s="196"/>
      <c r="AP218" s="196"/>
      <c r="AQ218" s="196"/>
      <c r="AR218" s="237"/>
      <c r="AS218" s="223"/>
      <c r="AT218" s="223"/>
      <c r="AU218" s="223"/>
      <c r="AV218" s="223"/>
      <c r="AW218" s="238" t="str">
        <f>IFERROR(ROUNDDOWN((('Master File'!$AU218*100)/'Master File'!$AV218)-Master[[#This Row],[Quantity On Hand]],0),"")</f>
        <v/>
      </c>
      <c r="AX218" s="217"/>
      <c r="AY218" s="217"/>
      <c r="AZ218" s="217"/>
      <c r="BA218" s="196"/>
      <c r="BB218" s="236" t="str">
        <f t="shared" si="4"/>
        <v xml:space="preserve"> </v>
      </c>
      <c r="BC218" s="196"/>
      <c r="BD218" s="237"/>
      <c r="BE218" s="196"/>
      <c r="BF218" s="196"/>
      <c r="BG218" s="237"/>
      <c r="BH218" s="213"/>
      <c r="BI218" s="213"/>
      <c r="BJ218" s="213"/>
      <c r="BK218" s="196"/>
      <c r="BL218" s="196"/>
      <c r="BM218" s="196"/>
      <c r="BN218" s="196"/>
      <c r="BO218" s="196"/>
      <c r="BP218" s="237"/>
      <c r="BQ218" s="196"/>
    </row>
    <row r="219" spans="1:69" x14ac:dyDescent="0.25">
      <c r="A219" s="196"/>
      <c r="B219" s="196"/>
      <c r="C219" s="236" t="str">
        <f>IFERROR(LEFT(Master[[#This Row],[Taxon -Lookup Picker in GRIN]],FIND(" ",Master[[#This Row],[Taxon -Lookup Picker in GRIN]],1)-1),"")</f>
        <v/>
      </c>
      <c r="D219" s="237"/>
      <c r="E219" s="217"/>
      <c r="F219" s="217"/>
      <c r="G219" s="217"/>
      <c r="H219" s="196"/>
      <c r="I219" s="196"/>
      <c r="J219" s="196"/>
      <c r="K219" s="219"/>
      <c r="L219" s="196"/>
      <c r="M219" s="196"/>
      <c r="N219" s="196"/>
      <c r="O219" s="196"/>
      <c r="P219" s="219"/>
      <c r="Q219" s="219"/>
      <c r="R219" s="196"/>
      <c r="S219" s="233"/>
      <c r="T219" s="217"/>
      <c r="U219" s="196"/>
      <c r="V219" s="196"/>
      <c r="W219" s="196"/>
      <c r="X219" s="227" t="str">
        <f>IFERROR(CONVERT(#REF!,"ft","m"),"")</f>
        <v/>
      </c>
      <c r="Y219" s="234"/>
      <c r="Z219" s="234"/>
      <c r="AA219" s="235"/>
      <c r="AB219" s="196"/>
      <c r="AC219" s="196"/>
      <c r="AD219" s="196"/>
      <c r="AE219" s="196"/>
      <c r="AF219" s="237"/>
      <c r="AG219" s="196"/>
      <c r="AH219" s="196"/>
      <c r="AI219" s="232"/>
      <c r="AJ219" s="232"/>
      <c r="AK219" s="196"/>
      <c r="AL219" s="196"/>
      <c r="AM219" s="196"/>
      <c r="AN219" s="196"/>
      <c r="AO219" s="196"/>
      <c r="AP219" s="196"/>
      <c r="AQ219" s="196"/>
      <c r="AR219" s="237"/>
      <c r="AS219" s="223"/>
      <c r="AT219" s="223"/>
      <c r="AU219" s="223"/>
      <c r="AV219" s="223"/>
      <c r="AW219" s="238" t="str">
        <f>IFERROR(ROUNDDOWN((('Master File'!$AU219*100)/'Master File'!$AV219)-Master[[#This Row],[Quantity On Hand]],0),"")</f>
        <v/>
      </c>
      <c r="AX219" s="217"/>
      <c r="AY219" s="217"/>
      <c r="AZ219" s="217"/>
      <c r="BA219" s="196"/>
      <c r="BB219" s="236" t="str">
        <f t="shared" si="4"/>
        <v xml:space="preserve"> </v>
      </c>
      <c r="BC219" s="196"/>
      <c r="BD219" s="237"/>
      <c r="BE219" s="196"/>
      <c r="BF219" s="196"/>
      <c r="BG219" s="237"/>
      <c r="BH219" s="213"/>
      <c r="BI219" s="213"/>
      <c r="BJ219" s="213"/>
      <c r="BK219" s="196"/>
      <c r="BL219" s="196"/>
      <c r="BM219" s="196"/>
      <c r="BN219" s="196"/>
      <c r="BO219" s="196"/>
      <c r="BP219" s="237"/>
      <c r="BQ219" s="196"/>
    </row>
    <row r="220" spans="1:69" x14ac:dyDescent="0.25">
      <c r="A220" s="196"/>
      <c r="B220" s="196"/>
      <c r="C220" s="236" t="str">
        <f>IFERROR(LEFT(Master[[#This Row],[Taxon -Lookup Picker in GRIN]],FIND(" ",Master[[#This Row],[Taxon -Lookup Picker in GRIN]],1)-1),"")</f>
        <v/>
      </c>
      <c r="D220" s="237"/>
      <c r="E220" s="217"/>
      <c r="F220" s="217"/>
      <c r="G220" s="217"/>
      <c r="H220" s="196"/>
      <c r="I220" s="196"/>
      <c r="J220" s="196"/>
      <c r="K220" s="219"/>
      <c r="L220" s="196"/>
      <c r="M220" s="196"/>
      <c r="N220" s="196"/>
      <c r="O220" s="196"/>
      <c r="P220" s="219"/>
      <c r="Q220" s="219"/>
      <c r="R220" s="196"/>
      <c r="S220" s="233"/>
      <c r="T220" s="217"/>
      <c r="U220" s="196"/>
      <c r="V220" s="196"/>
      <c r="W220" s="196"/>
      <c r="X220" s="227" t="str">
        <f>IFERROR(CONVERT(#REF!,"ft","m"),"")</f>
        <v/>
      </c>
      <c r="Y220" s="234"/>
      <c r="Z220" s="234"/>
      <c r="AA220" s="235"/>
      <c r="AB220" s="196"/>
      <c r="AC220" s="196"/>
      <c r="AD220" s="196"/>
      <c r="AE220" s="196"/>
      <c r="AF220" s="237"/>
      <c r="AG220" s="196"/>
      <c r="AH220" s="196"/>
      <c r="AI220" s="232"/>
      <c r="AJ220" s="232"/>
      <c r="AK220" s="196"/>
      <c r="AL220" s="196"/>
      <c r="AM220" s="196"/>
      <c r="AN220" s="196"/>
      <c r="AO220" s="196"/>
      <c r="AP220" s="196"/>
      <c r="AQ220" s="196"/>
      <c r="AR220" s="237"/>
      <c r="AS220" s="223"/>
      <c r="AT220" s="223"/>
      <c r="AU220" s="223"/>
      <c r="AV220" s="223"/>
      <c r="AW220" s="238" t="str">
        <f>IFERROR(ROUNDDOWN((('Master File'!$AU220*100)/'Master File'!$AV220)-Master[[#This Row],[Quantity On Hand]],0),"")</f>
        <v/>
      </c>
      <c r="AX220" s="217"/>
      <c r="AY220" s="217"/>
      <c r="AZ220" s="217"/>
      <c r="BA220" s="196"/>
      <c r="BB220" s="236" t="str">
        <f t="shared" si="4"/>
        <v xml:space="preserve"> </v>
      </c>
      <c r="BC220" s="196"/>
      <c r="BD220" s="237"/>
      <c r="BE220" s="196"/>
      <c r="BF220" s="196"/>
      <c r="BG220" s="237"/>
      <c r="BH220" s="213"/>
      <c r="BI220" s="213"/>
      <c r="BJ220" s="213"/>
      <c r="BK220" s="196"/>
      <c r="BL220" s="196"/>
      <c r="BM220" s="196"/>
      <c r="BN220" s="196"/>
      <c r="BO220" s="196"/>
      <c r="BP220" s="237"/>
      <c r="BQ220" s="196"/>
    </row>
    <row r="221" spans="1:69" x14ac:dyDescent="0.25">
      <c r="A221" s="196"/>
      <c r="B221" s="196"/>
      <c r="C221" s="236" t="str">
        <f>IFERROR(LEFT(Master[[#This Row],[Taxon -Lookup Picker in GRIN]],FIND(" ",Master[[#This Row],[Taxon -Lookup Picker in GRIN]],1)-1),"")</f>
        <v/>
      </c>
      <c r="D221" s="237"/>
      <c r="E221" s="217"/>
      <c r="F221" s="217"/>
      <c r="G221" s="217"/>
      <c r="H221" s="196"/>
      <c r="I221" s="196"/>
      <c r="J221" s="196"/>
      <c r="K221" s="219"/>
      <c r="L221" s="196"/>
      <c r="M221" s="196"/>
      <c r="N221" s="196"/>
      <c r="O221" s="196"/>
      <c r="P221" s="219"/>
      <c r="Q221" s="219"/>
      <c r="R221" s="196"/>
      <c r="S221" s="233"/>
      <c r="T221" s="217"/>
      <c r="U221" s="196"/>
      <c r="V221" s="196"/>
      <c r="W221" s="196"/>
      <c r="X221" s="227" t="str">
        <f>IFERROR(CONVERT(#REF!,"ft","m"),"")</f>
        <v/>
      </c>
      <c r="Y221" s="234"/>
      <c r="Z221" s="234"/>
      <c r="AA221" s="235"/>
      <c r="AB221" s="196"/>
      <c r="AC221" s="196"/>
      <c r="AD221" s="196"/>
      <c r="AE221" s="196"/>
      <c r="AF221" s="237"/>
      <c r="AG221" s="196"/>
      <c r="AH221" s="196"/>
      <c r="AI221" s="232"/>
      <c r="AJ221" s="232"/>
      <c r="AK221" s="196"/>
      <c r="AL221" s="196"/>
      <c r="AM221" s="196"/>
      <c r="AN221" s="196"/>
      <c r="AO221" s="196"/>
      <c r="AP221" s="196"/>
      <c r="AQ221" s="196"/>
      <c r="AR221" s="237"/>
      <c r="AS221" s="223"/>
      <c r="AT221" s="223"/>
      <c r="AU221" s="223"/>
      <c r="AV221" s="223"/>
      <c r="AW221" s="238" t="str">
        <f>IFERROR(ROUNDDOWN((('Master File'!$AU221*100)/'Master File'!$AV221)-Master[[#This Row],[Quantity On Hand]],0),"")</f>
        <v/>
      </c>
      <c r="AX221" s="217"/>
      <c r="AY221" s="217"/>
      <c r="AZ221" s="217"/>
      <c r="BA221" s="196"/>
      <c r="BB221" s="236" t="str">
        <f t="shared" si="4"/>
        <v xml:space="preserve"> </v>
      </c>
      <c r="BC221" s="196"/>
      <c r="BD221" s="237"/>
      <c r="BE221" s="196"/>
      <c r="BF221" s="196"/>
      <c r="BG221" s="237"/>
      <c r="BH221" s="213"/>
      <c r="BI221" s="213"/>
      <c r="BJ221" s="213"/>
      <c r="BK221" s="196"/>
      <c r="BL221" s="196"/>
      <c r="BM221" s="196"/>
      <c r="BN221" s="196"/>
      <c r="BO221" s="196"/>
      <c r="BP221" s="237"/>
      <c r="BQ221" s="196"/>
    </row>
    <row r="222" spans="1:69" x14ac:dyDescent="0.25">
      <c r="A222" s="196"/>
      <c r="B222" s="196"/>
      <c r="C222" s="236" t="str">
        <f>IFERROR(LEFT(Master[[#This Row],[Taxon -Lookup Picker in GRIN]],FIND(" ",Master[[#This Row],[Taxon -Lookup Picker in GRIN]],1)-1),"")</f>
        <v/>
      </c>
      <c r="D222" s="237"/>
      <c r="E222" s="217"/>
      <c r="F222" s="217"/>
      <c r="G222" s="217"/>
      <c r="H222" s="196"/>
      <c r="I222" s="196"/>
      <c r="J222" s="196"/>
      <c r="K222" s="219"/>
      <c r="L222" s="196"/>
      <c r="M222" s="196"/>
      <c r="N222" s="196"/>
      <c r="O222" s="196"/>
      <c r="P222" s="219"/>
      <c r="Q222" s="219"/>
      <c r="R222" s="196"/>
      <c r="S222" s="233"/>
      <c r="T222" s="217"/>
      <c r="U222" s="196"/>
      <c r="V222" s="196"/>
      <c r="W222" s="196"/>
      <c r="X222" s="227" t="str">
        <f>IFERROR(CONVERT(#REF!,"ft","m"),"")</f>
        <v/>
      </c>
      <c r="Y222" s="234"/>
      <c r="Z222" s="234"/>
      <c r="AA222" s="235"/>
      <c r="AB222" s="196"/>
      <c r="AC222" s="196"/>
      <c r="AD222" s="196"/>
      <c r="AE222" s="196"/>
      <c r="AF222" s="237"/>
      <c r="AG222" s="196"/>
      <c r="AH222" s="196"/>
      <c r="AI222" s="232"/>
      <c r="AJ222" s="232"/>
      <c r="AK222" s="196"/>
      <c r="AL222" s="196"/>
      <c r="AM222" s="196"/>
      <c r="AN222" s="196"/>
      <c r="AO222" s="196"/>
      <c r="AP222" s="196"/>
      <c r="AQ222" s="196"/>
      <c r="AR222" s="237"/>
      <c r="AS222" s="223"/>
      <c r="AT222" s="223"/>
      <c r="AU222" s="223"/>
      <c r="AV222" s="223"/>
      <c r="AW222" s="238" t="str">
        <f>IFERROR(ROUNDDOWN((('Master File'!$AU222*100)/'Master File'!$AV222)-Master[[#This Row],[Quantity On Hand]],0),"")</f>
        <v/>
      </c>
      <c r="AX222" s="217"/>
      <c r="AY222" s="217"/>
      <c r="AZ222" s="217"/>
      <c r="BA222" s="196"/>
      <c r="BB222" s="236" t="str">
        <f t="shared" si="4"/>
        <v xml:space="preserve"> </v>
      </c>
      <c r="BC222" s="196"/>
      <c r="BD222" s="237"/>
      <c r="BE222" s="196"/>
      <c r="BF222" s="196"/>
      <c r="BG222" s="237"/>
      <c r="BH222" s="213"/>
      <c r="BI222" s="213"/>
      <c r="BJ222" s="213"/>
      <c r="BK222" s="196"/>
      <c r="BL222" s="196"/>
      <c r="BM222" s="196"/>
      <c r="BN222" s="196"/>
      <c r="BO222" s="196"/>
      <c r="BP222" s="237"/>
      <c r="BQ222" s="196"/>
    </row>
    <row r="223" spans="1:69" x14ac:dyDescent="0.25">
      <c r="A223" s="196"/>
      <c r="B223" s="196"/>
      <c r="C223" s="236" t="str">
        <f>IFERROR(LEFT(Master[[#This Row],[Taxon -Lookup Picker in GRIN]],FIND(" ",Master[[#This Row],[Taxon -Lookup Picker in GRIN]],1)-1),"")</f>
        <v/>
      </c>
      <c r="D223" s="237"/>
      <c r="E223" s="217"/>
      <c r="F223" s="217"/>
      <c r="G223" s="217"/>
      <c r="H223" s="196"/>
      <c r="I223" s="196"/>
      <c r="J223" s="196"/>
      <c r="K223" s="219"/>
      <c r="L223" s="196"/>
      <c r="M223" s="196"/>
      <c r="N223" s="196"/>
      <c r="O223" s="196"/>
      <c r="P223" s="219"/>
      <c r="Q223" s="219"/>
      <c r="R223" s="196"/>
      <c r="S223" s="233"/>
      <c r="T223" s="217"/>
      <c r="U223" s="196"/>
      <c r="V223" s="196"/>
      <c r="W223" s="196"/>
      <c r="X223" s="227" t="str">
        <f>IFERROR(CONVERT(#REF!,"ft","m"),"")</f>
        <v/>
      </c>
      <c r="Y223" s="234"/>
      <c r="Z223" s="234"/>
      <c r="AA223" s="235"/>
      <c r="AB223" s="196"/>
      <c r="AC223" s="196"/>
      <c r="AD223" s="196"/>
      <c r="AE223" s="196"/>
      <c r="AF223" s="237"/>
      <c r="AG223" s="196"/>
      <c r="AH223" s="196"/>
      <c r="AI223" s="232"/>
      <c r="AJ223" s="232"/>
      <c r="AK223" s="196"/>
      <c r="AL223" s="196"/>
      <c r="AM223" s="196"/>
      <c r="AN223" s="196"/>
      <c r="AO223" s="196"/>
      <c r="AP223" s="196"/>
      <c r="AQ223" s="196"/>
      <c r="AR223" s="237"/>
      <c r="AS223" s="223"/>
      <c r="AT223" s="223"/>
      <c r="AU223" s="223"/>
      <c r="AV223" s="223"/>
      <c r="AW223" s="238" t="str">
        <f>IFERROR(ROUNDDOWN((('Master File'!$AU223*100)/'Master File'!$AV223)-Master[[#This Row],[Quantity On Hand]],0),"")</f>
        <v/>
      </c>
      <c r="AX223" s="217"/>
      <c r="AY223" s="217"/>
      <c r="AZ223" s="217"/>
      <c r="BA223" s="196"/>
      <c r="BB223" s="236" t="str">
        <f t="shared" si="4"/>
        <v xml:space="preserve"> </v>
      </c>
      <c r="BC223" s="196"/>
      <c r="BD223" s="237"/>
      <c r="BE223" s="196"/>
      <c r="BF223" s="196"/>
      <c r="BG223" s="237"/>
      <c r="BH223" s="213"/>
      <c r="BI223" s="213"/>
      <c r="BJ223" s="213"/>
      <c r="BK223" s="196"/>
      <c r="BL223" s="196"/>
      <c r="BM223" s="196"/>
      <c r="BN223" s="196"/>
      <c r="BO223" s="196"/>
      <c r="BP223" s="237"/>
      <c r="BQ223" s="196"/>
    </row>
    <row r="224" spans="1:69" x14ac:dyDescent="0.25">
      <c r="A224" s="196"/>
      <c r="B224" s="196"/>
      <c r="C224" s="236" t="str">
        <f>IFERROR(LEFT(Master[[#This Row],[Taxon -Lookup Picker in GRIN]],FIND(" ",Master[[#This Row],[Taxon -Lookup Picker in GRIN]],1)-1),"")</f>
        <v/>
      </c>
      <c r="D224" s="237"/>
      <c r="E224" s="217"/>
      <c r="F224" s="217"/>
      <c r="G224" s="217"/>
      <c r="H224" s="196"/>
      <c r="I224" s="196"/>
      <c r="J224" s="196"/>
      <c r="K224" s="219"/>
      <c r="L224" s="196"/>
      <c r="M224" s="196"/>
      <c r="N224" s="196"/>
      <c r="O224" s="196"/>
      <c r="P224" s="219"/>
      <c r="Q224" s="219"/>
      <c r="R224" s="196"/>
      <c r="S224" s="233"/>
      <c r="T224" s="217"/>
      <c r="U224" s="196"/>
      <c r="V224" s="196"/>
      <c r="W224" s="196"/>
      <c r="X224" s="227" t="str">
        <f>IFERROR(CONVERT(#REF!,"ft","m"),"")</f>
        <v/>
      </c>
      <c r="Y224" s="234"/>
      <c r="Z224" s="234"/>
      <c r="AA224" s="235"/>
      <c r="AB224" s="196"/>
      <c r="AC224" s="196"/>
      <c r="AD224" s="196"/>
      <c r="AE224" s="196"/>
      <c r="AF224" s="237"/>
      <c r="AG224" s="196"/>
      <c r="AH224" s="196"/>
      <c r="AI224" s="232"/>
      <c r="AJ224" s="232"/>
      <c r="AK224" s="196"/>
      <c r="AL224" s="196"/>
      <c r="AM224" s="196"/>
      <c r="AN224" s="196"/>
      <c r="AO224" s="196"/>
      <c r="AP224" s="196"/>
      <c r="AQ224" s="196"/>
      <c r="AR224" s="237"/>
      <c r="AS224" s="223"/>
      <c r="AT224" s="223"/>
      <c r="AU224" s="223"/>
      <c r="AV224" s="223"/>
      <c r="AW224" s="238" t="str">
        <f>IFERROR(ROUNDDOWN((('Master File'!$AU224*100)/'Master File'!$AV224)-Master[[#This Row],[Quantity On Hand]],0),"")</f>
        <v/>
      </c>
      <c r="AX224" s="217"/>
      <c r="AY224" s="217"/>
      <c r="AZ224" s="217"/>
      <c r="BA224" s="196"/>
      <c r="BB224" s="236" t="str">
        <f t="shared" si="4"/>
        <v xml:space="preserve"> </v>
      </c>
      <c r="BC224" s="196"/>
      <c r="BD224" s="237"/>
      <c r="BE224" s="196"/>
      <c r="BF224" s="196"/>
      <c r="BG224" s="237"/>
      <c r="BH224" s="213"/>
      <c r="BI224" s="213"/>
      <c r="BJ224" s="213"/>
      <c r="BK224" s="196"/>
      <c r="BL224" s="196"/>
      <c r="BM224" s="196"/>
      <c r="BN224" s="196"/>
      <c r="BO224" s="196"/>
      <c r="BP224" s="237"/>
      <c r="BQ224" s="196"/>
    </row>
    <row r="225" spans="1:69" x14ac:dyDescent="0.25">
      <c r="A225" s="196"/>
      <c r="B225" s="196"/>
      <c r="C225" s="236" t="str">
        <f>IFERROR(LEFT(Master[[#This Row],[Taxon -Lookup Picker in GRIN]],FIND(" ",Master[[#This Row],[Taxon -Lookup Picker in GRIN]],1)-1),"")</f>
        <v/>
      </c>
      <c r="D225" s="237"/>
      <c r="E225" s="217"/>
      <c r="F225" s="217"/>
      <c r="G225" s="217"/>
      <c r="H225" s="196"/>
      <c r="I225" s="196"/>
      <c r="J225" s="196"/>
      <c r="K225" s="219"/>
      <c r="L225" s="196"/>
      <c r="M225" s="196"/>
      <c r="N225" s="196"/>
      <c r="O225" s="196"/>
      <c r="P225" s="219"/>
      <c r="Q225" s="219"/>
      <c r="R225" s="196"/>
      <c r="S225" s="233"/>
      <c r="T225" s="217"/>
      <c r="U225" s="196"/>
      <c r="V225" s="196"/>
      <c r="W225" s="196"/>
      <c r="X225" s="227" t="str">
        <f>IFERROR(CONVERT(#REF!,"ft","m"),"")</f>
        <v/>
      </c>
      <c r="Y225" s="234"/>
      <c r="Z225" s="234"/>
      <c r="AA225" s="235"/>
      <c r="AB225" s="196"/>
      <c r="AC225" s="196"/>
      <c r="AD225" s="196"/>
      <c r="AE225" s="196"/>
      <c r="AF225" s="237"/>
      <c r="AG225" s="196"/>
      <c r="AH225" s="196"/>
      <c r="AI225" s="232"/>
      <c r="AJ225" s="232"/>
      <c r="AK225" s="196"/>
      <c r="AL225" s="196"/>
      <c r="AM225" s="196"/>
      <c r="AN225" s="196"/>
      <c r="AO225" s="196"/>
      <c r="AP225" s="196"/>
      <c r="AQ225" s="196"/>
      <c r="AR225" s="237"/>
      <c r="AS225" s="223"/>
      <c r="AT225" s="223"/>
      <c r="AU225" s="223"/>
      <c r="AV225" s="223"/>
      <c r="AW225" s="238" t="str">
        <f>IFERROR(ROUNDDOWN((('Master File'!$AU225*100)/'Master File'!$AV225)-Master[[#This Row],[Quantity On Hand]],0),"")</f>
        <v/>
      </c>
      <c r="AX225" s="217"/>
      <c r="AY225" s="217"/>
      <c r="AZ225" s="217"/>
      <c r="BA225" s="196"/>
      <c r="BB225" s="236" t="str">
        <f t="shared" si="4"/>
        <v xml:space="preserve"> </v>
      </c>
      <c r="BC225" s="196"/>
      <c r="BD225" s="237"/>
      <c r="BE225" s="196"/>
      <c r="BF225" s="196"/>
      <c r="BG225" s="237"/>
      <c r="BH225" s="213"/>
      <c r="BI225" s="213"/>
      <c r="BJ225" s="213"/>
      <c r="BK225" s="196"/>
      <c r="BL225" s="196"/>
      <c r="BM225" s="196"/>
      <c r="BN225" s="196"/>
      <c r="BO225" s="196"/>
      <c r="BP225" s="237"/>
      <c r="BQ225" s="196"/>
    </row>
    <row r="226" spans="1:69" x14ac:dyDescent="0.25">
      <c r="A226" s="196"/>
      <c r="B226" s="196"/>
      <c r="C226" s="236" t="str">
        <f>IFERROR(LEFT(Master[[#This Row],[Taxon -Lookup Picker in GRIN]],FIND(" ",Master[[#This Row],[Taxon -Lookup Picker in GRIN]],1)-1),"")</f>
        <v/>
      </c>
      <c r="D226" s="237"/>
      <c r="E226" s="217"/>
      <c r="F226" s="217"/>
      <c r="G226" s="217"/>
      <c r="H226" s="196"/>
      <c r="I226" s="196"/>
      <c r="J226" s="196"/>
      <c r="K226" s="219"/>
      <c r="L226" s="196"/>
      <c r="M226" s="196"/>
      <c r="N226" s="196"/>
      <c r="O226" s="196"/>
      <c r="P226" s="219"/>
      <c r="Q226" s="219"/>
      <c r="R226" s="196"/>
      <c r="S226" s="233"/>
      <c r="T226" s="217"/>
      <c r="U226" s="196"/>
      <c r="V226" s="196"/>
      <c r="W226" s="196"/>
      <c r="X226" s="227" t="str">
        <f>IFERROR(CONVERT(#REF!,"ft","m"),"")</f>
        <v/>
      </c>
      <c r="Y226" s="234"/>
      <c r="Z226" s="234"/>
      <c r="AA226" s="235"/>
      <c r="AB226" s="196"/>
      <c r="AC226" s="196"/>
      <c r="AD226" s="196"/>
      <c r="AE226" s="196"/>
      <c r="AF226" s="237"/>
      <c r="AG226" s="196"/>
      <c r="AH226" s="196"/>
      <c r="AI226" s="232"/>
      <c r="AJ226" s="232"/>
      <c r="AK226" s="196"/>
      <c r="AL226" s="196"/>
      <c r="AM226" s="196"/>
      <c r="AN226" s="196"/>
      <c r="AO226" s="196"/>
      <c r="AP226" s="196"/>
      <c r="AQ226" s="196"/>
      <c r="AR226" s="237"/>
      <c r="AS226" s="223"/>
      <c r="AT226" s="223"/>
      <c r="AU226" s="223"/>
      <c r="AV226" s="223"/>
      <c r="AW226" s="238" t="str">
        <f>IFERROR(ROUNDDOWN((('Master File'!$AU226*100)/'Master File'!$AV226)-Master[[#This Row],[Quantity On Hand]],0),"")</f>
        <v/>
      </c>
      <c r="AX226" s="217"/>
      <c r="AY226" s="217"/>
      <c r="AZ226" s="217"/>
      <c r="BA226" s="196"/>
      <c r="BB226" s="236" t="str">
        <f t="shared" si="4"/>
        <v xml:space="preserve"> </v>
      </c>
      <c r="BC226" s="196"/>
      <c r="BD226" s="237"/>
      <c r="BE226" s="196"/>
      <c r="BF226" s="196"/>
      <c r="BG226" s="237"/>
      <c r="BH226" s="213"/>
      <c r="BI226" s="213"/>
      <c r="BJ226" s="213"/>
      <c r="BK226" s="196"/>
      <c r="BL226" s="196"/>
      <c r="BM226" s="196"/>
      <c r="BN226" s="196"/>
      <c r="BO226" s="196"/>
      <c r="BP226" s="237"/>
      <c r="BQ226" s="196"/>
    </row>
    <row r="227" spans="1:69" x14ac:dyDescent="0.25">
      <c r="A227" s="196"/>
      <c r="B227" s="196"/>
      <c r="C227" s="236" t="str">
        <f>IFERROR(LEFT(Master[[#This Row],[Taxon -Lookup Picker in GRIN]],FIND(" ",Master[[#This Row],[Taxon -Lookup Picker in GRIN]],1)-1),"")</f>
        <v/>
      </c>
      <c r="D227" s="237"/>
      <c r="E227" s="217"/>
      <c r="F227" s="217"/>
      <c r="G227" s="217"/>
      <c r="H227" s="196"/>
      <c r="I227" s="196"/>
      <c r="J227" s="196"/>
      <c r="K227" s="219"/>
      <c r="L227" s="196"/>
      <c r="M227" s="196"/>
      <c r="N227" s="196"/>
      <c r="O227" s="196"/>
      <c r="P227" s="219"/>
      <c r="Q227" s="219"/>
      <c r="R227" s="196"/>
      <c r="S227" s="233"/>
      <c r="T227" s="217"/>
      <c r="U227" s="196"/>
      <c r="V227" s="196"/>
      <c r="W227" s="196"/>
      <c r="X227" s="227" t="str">
        <f>IFERROR(CONVERT(#REF!,"ft","m"),"")</f>
        <v/>
      </c>
      <c r="Y227" s="234"/>
      <c r="Z227" s="234"/>
      <c r="AA227" s="235"/>
      <c r="AB227" s="196"/>
      <c r="AC227" s="196"/>
      <c r="AD227" s="196"/>
      <c r="AE227" s="196"/>
      <c r="AF227" s="237"/>
      <c r="AG227" s="196"/>
      <c r="AH227" s="196"/>
      <c r="AI227" s="232"/>
      <c r="AJ227" s="232"/>
      <c r="AK227" s="196"/>
      <c r="AL227" s="196"/>
      <c r="AM227" s="196"/>
      <c r="AN227" s="196"/>
      <c r="AO227" s="196"/>
      <c r="AP227" s="196"/>
      <c r="AQ227" s="196"/>
      <c r="AR227" s="237"/>
      <c r="AS227" s="223"/>
      <c r="AT227" s="223"/>
      <c r="AU227" s="223"/>
      <c r="AV227" s="223"/>
      <c r="AW227" s="238" t="str">
        <f>IFERROR(ROUNDDOWN((('Master File'!$AU227*100)/'Master File'!$AV227)-Master[[#This Row],[Quantity On Hand]],0),"")</f>
        <v/>
      </c>
      <c r="AX227" s="217"/>
      <c r="AY227" s="217"/>
      <c r="AZ227" s="217"/>
      <c r="BA227" s="196"/>
      <c r="BB227" s="236" t="str">
        <f t="shared" si="4"/>
        <v xml:space="preserve"> </v>
      </c>
      <c r="BC227" s="196"/>
      <c r="BD227" s="237"/>
      <c r="BE227" s="196"/>
      <c r="BF227" s="196"/>
      <c r="BG227" s="237"/>
      <c r="BH227" s="213"/>
      <c r="BI227" s="213"/>
      <c r="BJ227" s="213"/>
      <c r="BK227" s="196"/>
      <c r="BL227" s="196"/>
      <c r="BM227" s="196"/>
      <c r="BN227" s="196"/>
      <c r="BO227" s="196"/>
      <c r="BP227" s="237"/>
      <c r="BQ227" s="196"/>
    </row>
    <row r="228" spans="1:69" x14ac:dyDescent="0.25">
      <c r="A228" s="196"/>
      <c r="B228" s="196"/>
      <c r="C228" s="236" t="str">
        <f>IFERROR(LEFT(Master[[#This Row],[Taxon -Lookup Picker in GRIN]],FIND(" ",Master[[#This Row],[Taxon -Lookup Picker in GRIN]],1)-1),"")</f>
        <v/>
      </c>
      <c r="D228" s="237"/>
      <c r="E228" s="217"/>
      <c r="F228" s="217"/>
      <c r="G228" s="217"/>
      <c r="H228" s="196"/>
      <c r="I228" s="196"/>
      <c r="J228" s="196"/>
      <c r="K228" s="219"/>
      <c r="L228" s="196"/>
      <c r="M228" s="196"/>
      <c r="N228" s="196"/>
      <c r="O228" s="196"/>
      <c r="P228" s="219"/>
      <c r="Q228" s="219"/>
      <c r="R228" s="196"/>
      <c r="S228" s="233"/>
      <c r="T228" s="217"/>
      <c r="U228" s="196"/>
      <c r="V228" s="196"/>
      <c r="W228" s="196"/>
      <c r="X228" s="227" t="str">
        <f>IFERROR(CONVERT(#REF!,"ft","m"),"")</f>
        <v/>
      </c>
      <c r="Y228" s="234"/>
      <c r="Z228" s="234"/>
      <c r="AA228" s="235"/>
      <c r="AB228" s="196"/>
      <c r="AC228" s="196"/>
      <c r="AD228" s="196"/>
      <c r="AE228" s="196"/>
      <c r="AF228" s="237"/>
      <c r="AG228" s="196"/>
      <c r="AH228" s="196"/>
      <c r="AI228" s="232"/>
      <c r="AJ228" s="232"/>
      <c r="AK228" s="196"/>
      <c r="AL228" s="196"/>
      <c r="AM228" s="196"/>
      <c r="AN228" s="196"/>
      <c r="AO228" s="196"/>
      <c r="AP228" s="196"/>
      <c r="AQ228" s="196"/>
      <c r="AR228" s="237"/>
      <c r="AS228" s="223"/>
      <c r="AT228" s="223"/>
      <c r="AU228" s="223"/>
      <c r="AV228" s="223"/>
      <c r="AW228" s="238" t="str">
        <f>IFERROR(ROUNDDOWN((('Master File'!$AU228*100)/'Master File'!$AV228)-Master[[#This Row],[Quantity On Hand]],0),"")</f>
        <v/>
      </c>
      <c r="AX228" s="217"/>
      <c r="AY228" s="217"/>
      <c r="AZ228" s="217"/>
      <c r="BA228" s="196"/>
      <c r="BB228" s="236" t="str">
        <f t="shared" si="4"/>
        <v xml:space="preserve"> </v>
      </c>
      <c r="BC228" s="196"/>
      <c r="BD228" s="237"/>
      <c r="BE228" s="196"/>
      <c r="BF228" s="196"/>
      <c r="BG228" s="237"/>
      <c r="BH228" s="213"/>
      <c r="BI228" s="213"/>
      <c r="BJ228" s="213"/>
      <c r="BK228" s="196"/>
      <c r="BL228" s="196"/>
      <c r="BM228" s="196"/>
      <c r="BN228" s="196"/>
      <c r="BO228" s="196"/>
      <c r="BP228" s="237"/>
      <c r="BQ228" s="196"/>
    </row>
    <row r="229" spans="1:69" x14ac:dyDescent="0.25">
      <c r="A229" s="196"/>
      <c r="B229" s="196"/>
      <c r="C229" s="236" t="str">
        <f>IFERROR(LEFT(Master[[#This Row],[Taxon -Lookup Picker in GRIN]],FIND(" ",Master[[#This Row],[Taxon -Lookup Picker in GRIN]],1)-1),"")</f>
        <v/>
      </c>
      <c r="D229" s="237"/>
      <c r="E229" s="217"/>
      <c r="F229" s="217"/>
      <c r="G229" s="217"/>
      <c r="H229" s="196"/>
      <c r="I229" s="196"/>
      <c r="J229" s="196"/>
      <c r="K229" s="219"/>
      <c r="L229" s="196"/>
      <c r="M229" s="196"/>
      <c r="N229" s="196"/>
      <c r="O229" s="196"/>
      <c r="P229" s="219"/>
      <c r="Q229" s="219"/>
      <c r="R229" s="196"/>
      <c r="S229" s="233"/>
      <c r="T229" s="217"/>
      <c r="U229" s="196"/>
      <c r="V229" s="196"/>
      <c r="W229" s="196"/>
      <c r="X229" s="227" t="str">
        <f>IFERROR(CONVERT(#REF!,"ft","m"),"")</f>
        <v/>
      </c>
      <c r="Y229" s="234"/>
      <c r="Z229" s="234"/>
      <c r="AA229" s="235"/>
      <c r="AB229" s="196"/>
      <c r="AC229" s="196"/>
      <c r="AD229" s="196"/>
      <c r="AE229" s="196"/>
      <c r="AF229" s="237"/>
      <c r="AG229" s="196"/>
      <c r="AH229" s="196"/>
      <c r="AI229" s="232"/>
      <c r="AJ229" s="232"/>
      <c r="AK229" s="196"/>
      <c r="AL229" s="196"/>
      <c r="AM229" s="196"/>
      <c r="AN229" s="196"/>
      <c r="AO229" s="196"/>
      <c r="AP229" s="196"/>
      <c r="AQ229" s="196"/>
      <c r="AR229" s="237"/>
      <c r="AS229" s="223"/>
      <c r="AT229" s="223"/>
      <c r="AU229" s="223"/>
      <c r="AV229" s="223"/>
      <c r="AW229" s="238" t="str">
        <f>IFERROR(ROUNDDOWN((('Master File'!$AU229*100)/'Master File'!$AV229)-Master[[#This Row],[Quantity On Hand]],0),"")</f>
        <v/>
      </c>
      <c r="AX229" s="217"/>
      <c r="AY229" s="217"/>
      <c r="AZ229" s="217"/>
      <c r="BA229" s="196"/>
      <c r="BB229" s="236" t="str">
        <f t="shared" si="4"/>
        <v xml:space="preserve"> </v>
      </c>
      <c r="BC229" s="196"/>
      <c r="BD229" s="237"/>
      <c r="BE229" s="196"/>
      <c r="BF229" s="196"/>
      <c r="BG229" s="237"/>
      <c r="BH229" s="213"/>
      <c r="BI229" s="213"/>
      <c r="BJ229" s="213"/>
      <c r="BK229" s="196"/>
      <c r="BL229" s="196"/>
      <c r="BM229" s="196"/>
      <c r="BN229" s="196"/>
      <c r="BO229" s="196"/>
      <c r="BP229" s="237"/>
      <c r="BQ229" s="196"/>
    </row>
    <row r="230" spans="1:69" x14ac:dyDescent="0.25">
      <c r="A230" s="196"/>
      <c r="B230" s="196"/>
      <c r="C230" s="236" t="str">
        <f>IFERROR(LEFT(Master[[#This Row],[Taxon -Lookup Picker in GRIN]],FIND(" ",Master[[#This Row],[Taxon -Lookup Picker in GRIN]],1)-1),"")</f>
        <v/>
      </c>
      <c r="D230" s="237"/>
      <c r="E230" s="217"/>
      <c r="F230" s="217"/>
      <c r="G230" s="217"/>
      <c r="H230" s="196"/>
      <c r="I230" s="196"/>
      <c r="J230" s="196"/>
      <c r="K230" s="219"/>
      <c r="L230" s="196"/>
      <c r="M230" s="196"/>
      <c r="N230" s="196"/>
      <c r="O230" s="196"/>
      <c r="P230" s="219"/>
      <c r="Q230" s="219"/>
      <c r="R230" s="196"/>
      <c r="S230" s="233"/>
      <c r="T230" s="217"/>
      <c r="U230" s="196"/>
      <c r="V230" s="196"/>
      <c r="W230" s="196"/>
      <c r="X230" s="227" t="str">
        <f>IFERROR(CONVERT(#REF!,"ft","m"),"")</f>
        <v/>
      </c>
      <c r="Y230" s="234"/>
      <c r="Z230" s="234"/>
      <c r="AA230" s="235"/>
      <c r="AB230" s="196"/>
      <c r="AC230" s="196"/>
      <c r="AD230" s="196"/>
      <c r="AE230" s="196"/>
      <c r="AF230" s="237"/>
      <c r="AG230" s="196"/>
      <c r="AH230" s="196"/>
      <c r="AI230" s="232"/>
      <c r="AJ230" s="232"/>
      <c r="AK230" s="196"/>
      <c r="AL230" s="196"/>
      <c r="AM230" s="196"/>
      <c r="AN230" s="196"/>
      <c r="AO230" s="196"/>
      <c r="AP230" s="196"/>
      <c r="AQ230" s="196"/>
      <c r="AR230" s="237"/>
      <c r="AS230" s="223"/>
      <c r="AT230" s="223"/>
      <c r="AU230" s="223"/>
      <c r="AV230" s="223"/>
      <c r="AW230" s="238" t="str">
        <f>IFERROR(ROUNDDOWN((('Master File'!$AU230*100)/'Master File'!$AV230)-Master[[#This Row],[Quantity On Hand]],0),"")</f>
        <v/>
      </c>
      <c r="AX230" s="217"/>
      <c r="AY230" s="217"/>
      <c r="AZ230" s="217"/>
      <c r="BA230" s="196"/>
      <c r="BB230" s="236" t="str">
        <f t="shared" si="4"/>
        <v xml:space="preserve"> </v>
      </c>
      <c r="BC230" s="196"/>
      <c r="BD230" s="237"/>
      <c r="BE230" s="196"/>
      <c r="BF230" s="196"/>
      <c r="BG230" s="237"/>
      <c r="BH230" s="213"/>
      <c r="BI230" s="213"/>
      <c r="BJ230" s="213"/>
      <c r="BK230" s="196"/>
      <c r="BL230" s="196"/>
      <c r="BM230" s="196"/>
      <c r="BN230" s="196"/>
      <c r="BO230" s="196"/>
      <c r="BP230" s="237"/>
      <c r="BQ230" s="196"/>
    </row>
    <row r="231" spans="1:69" x14ac:dyDescent="0.25">
      <c r="A231" s="196"/>
      <c r="B231" s="196"/>
      <c r="C231" s="236" t="str">
        <f>IFERROR(LEFT(Master[[#This Row],[Taxon -Lookup Picker in GRIN]],FIND(" ",Master[[#This Row],[Taxon -Lookup Picker in GRIN]],1)-1),"")</f>
        <v/>
      </c>
      <c r="D231" s="237"/>
      <c r="E231" s="217"/>
      <c r="F231" s="217"/>
      <c r="G231" s="217"/>
      <c r="H231" s="196"/>
      <c r="I231" s="196"/>
      <c r="J231" s="196"/>
      <c r="K231" s="219"/>
      <c r="L231" s="196"/>
      <c r="M231" s="196"/>
      <c r="N231" s="196"/>
      <c r="O231" s="196"/>
      <c r="P231" s="219"/>
      <c r="Q231" s="219"/>
      <c r="R231" s="196"/>
      <c r="S231" s="233"/>
      <c r="T231" s="217"/>
      <c r="U231" s="196"/>
      <c r="V231" s="196"/>
      <c r="W231" s="196"/>
      <c r="X231" s="227" t="str">
        <f>IFERROR(CONVERT(#REF!,"ft","m"),"")</f>
        <v/>
      </c>
      <c r="Y231" s="234"/>
      <c r="Z231" s="234"/>
      <c r="AA231" s="235"/>
      <c r="AB231" s="196"/>
      <c r="AC231" s="196"/>
      <c r="AD231" s="196"/>
      <c r="AE231" s="196"/>
      <c r="AF231" s="237"/>
      <c r="AG231" s="196"/>
      <c r="AH231" s="196"/>
      <c r="AI231" s="232"/>
      <c r="AJ231" s="232"/>
      <c r="AK231" s="196"/>
      <c r="AL231" s="196"/>
      <c r="AM231" s="196"/>
      <c r="AN231" s="196"/>
      <c r="AO231" s="196"/>
      <c r="AP231" s="196"/>
      <c r="AQ231" s="196"/>
      <c r="AR231" s="237"/>
      <c r="AS231" s="223"/>
      <c r="AT231" s="223"/>
      <c r="AU231" s="223"/>
      <c r="AV231" s="223"/>
      <c r="AW231" s="238" t="str">
        <f>IFERROR(ROUNDDOWN((('Master File'!$AU231*100)/'Master File'!$AV231)-Master[[#This Row],[Quantity On Hand]],0),"")</f>
        <v/>
      </c>
      <c r="AX231" s="217"/>
      <c r="AY231" s="217"/>
      <c r="AZ231" s="217"/>
      <c r="BA231" s="196"/>
      <c r="BB231" s="236" t="str">
        <f t="shared" si="4"/>
        <v xml:space="preserve"> </v>
      </c>
      <c r="BC231" s="196"/>
      <c r="BD231" s="237"/>
      <c r="BE231" s="196"/>
      <c r="BF231" s="196"/>
      <c r="BG231" s="237"/>
      <c r="BH231" s="213"/>
      <c r="BI231" s="213"/>
      <c r="BJ231" s="213"/>
      <c r="BK231" s="196"/>
      <c r="BL231" s="196"/>
      <c r="BM231" s="196"/>
      <c r="BN231" s="196"/>
      <c r="BO231" s="196"/>
      <c r="BP231" s="237"/>
      <c r="BQ231" s="196"/>
    </row>
    <row r="232" spans="1:69" x14ac:dyDescent="0.25">
      <c r="A232" s="196"/>
      <c r="B232" s="196"/>
      <c r="C232" s="236" t="str">
        <f>IFERROR(LEFT(Master[[#This Row],[Taxon -Lookup Picker in GRIN]],FIND(" ",Master[[#This Row],[Taxon -Lookup Picker in GRIN]],1)-1),"")</f>
        <v/>
      </c>
      <c r="D232" s="237"/>
      <c r="E232" s="217"/>
      <c r="F232" s="217"/>
      <c r="G232" s="217"/>
      <c r="H232" s="196"/>
      <c r="I232" s="196"/>
      <c r="J232" s="196"/>
      <c r="K232" s="219"/>
      <c r="L232" s="196"/>
      <c r="M232" s="196"/>
      <c r="N232" s="196"/>
      <c r="O232" s="196"/>
      <c r="P232" s="219"/>
      <c r="Q232" s="219"/>
      <c r="R232" s="196"/>
      <c r="S232" s="233"/>
      <c r="T232" s="217"/>
      <c r="U232" s="196"/>
      <c r="V232" s="196"/>
      <c r="W232" s="196"/>
      <c r="X232" s="227" t="str">
        <f>IFERROR(CONVERT(#REF!,"ft","m"),"")</f>
        <v/>
      </c>
      <c r="Y232" s="234"/>
      <c r="Z232" s="234"/>
      <c r="AA232" s="235"/>
      <c r="AB232" s="196"/>
      <c r="AC232" s="196"/>
      <c r="AD232" s="196"/>
      <c r="AE232" s="196"/>
      <c r="AF232" s="237"/>
      <c r="AG232" s="196"/>
      <c r="AH232" s="196"/>
      <c r="AI232" s="232"/>
      <c r="AJ232" s="232"/>
      <c r="AK232" s="196"/>
      <c r="AL232" s="196"/>
      <c r="AM232" s="196"/>
      <c r="AN232" s="196"/>
      <c r="AO232" s="196"/>
      <c r="AP232" s="196"/>
      <c r="AQ232" s="196"/>
      <c r="AR232" s="237"/>
      <c r="AS232" s="223"/>
      <c r="AT232" s="223"/>
      <c r="AU232" s="223"/>
      <c r="AV232" s="223"/>
      <c r="AW232" s="238" t="str">
        <f>IFERROR(ROUNDDOWN((('Master File'!$AU232*100)/'Master File'!$AV232)-Master[[#This Row],[Quantity On Hand]],0),"")</f>
        <v/>
      </c>
      <c r="AX232" s="217"/>
      <c r="AY232" s="217"/>
      <c r="AZ232" s="217"/>
      <c r="BA232" s="196"/>
      <c r="BB232" s="236" t="str">
        <f t="shared" si="4"/>
        <v xml:space="preserve"> </v>
      </c>
      <c r="BC232" s="196"/>
      <c r="BD232" s="237"/>
      <c r="BE232" s="196"/>
      <c r="BF232" s="196"/>
      <c r="BG232" s="237"/>
      <c r="BH232" s="213"/>
      <c r="BI232" s="213"/>
      <c r="BJ232" s="213"/>
      <c r="BK232" s="196"/>
      <c r="BL232" s="196"/>
      <c r="BM232" s="196"/>
      <c r="BN232" s="196"/>
      <c r="BO232" s="196"/>
      <c r="BP232" s="237"/>
      <c r="BQ232" s="196"/>
    </row>
    <row r="233" spans="1:69" x14ac:dyDescent="0.25">
      <c r="A233" s="196"/>
      <c r="B233" s="196"/>
      <c r="C233" s="236" t="str">
        <f>IFERROR(LEFT(Master[[#This Row],[Taxon -Lookup Picker in GRIN]],FIND(" ",Master[[#This Row],[Taxon -Lookup Picker in GRIN]],1)-1),"")</f>
        <v/>
      </c>
      <c r="D233" s="237"/>
      <c r="E233" s="217"/>
      <c r="F233" s="217"/>
      <c r="G233" s="217"/>
      <c r="H233" s="196"/>
      <c r="I233" s="196"/>
      <c r="J233" s="196"/>
      <c r="K233" s="219"/>
      <c r="L233" s="196"/>
      <c r="M233" s="196"/>
      <c r="N233" s="196"/>
      <c r="O233" s="196"/>
      <c r="P233" s="219"/>
      <c r="Q233" s="219"/>
      <c r="R233" s="196"/>
      <c r="S233" s="233"/>
      <c r="T233" s="217"/>
      <c r="U233" s="196"/>
      <c r="V233" s="196"/>
      <c r="W233" s="196"/>
      <c r="X233" s="227" t="str">
        <f>IFERROR(CONVERT(#REF!,"ft","m"),"")</f>
        <v/>
      </c>
      <c r="Y233" s="234"/>
      <c r="Z233" s="234"/>
      <c r="AA233" s="235"/>
      <c r="AB233" s="196"/>
      <c r="AC233" s="196"/>
      <c r="AD233" s="196"/>
      <c r="AE233" s="196"/>
      <c r="AF233" s="237"/>
      <c r="AG233" s="196"/>
      <c r="AH233" s="196"/>
      <c r="AI233" s="232"/>
      <c r="AJ233" s="232"/>
      <c r="AK233" s="196"/>
      <c r="AL233" s="196"/>
      <c r="AM233" s="196"/>
      <c r="AN233" s="196"/>
      <c r="AO233" s="196"/>
      <c r="AP233" s="196"/>
      <c r="AQ233" s="196"/>
      <c r="AR233" s="237"/>
      <c r="AS233" s="223"/>
      <c r="AT233" s="223"/>
      <c r="AU233" s="223"/>
      <c r="AV233" s="223"/>
      <c r="AW233" s="238" t="str">
        <f>IFERROR(ROUNDDOWN((('Master File'!$AU233*100)/'Master File'!$AV233)-Master[[#This Row],[Quantity On Hand]],0),"")</f>
        <v/>
      </c>
      <c r="AX233" s="217"/>
      <c r="AY233" s="217"/>
      <c r="AZ233" s="217"/>
      <c r="BA233" s="196"/>
      <c r="BB233" s="236" t="str">
        <f t="shared" ref="BB233:BB264" si="5">CONCATENATE(D233," ",E233)</f>
        <v xml:space="preserve"> </v>
      </c>
      <c r="BC233" s="196"/>
      <c r="BD233" s="237"/>
      <c r="BE233" s="196"/>
      <c r="BF233" s="196"/>
      <c r="BG233" s="237"/>
      <c r="BH233" s="213"/>
      <c r="BI233" s="213"/>
      <c r="BJ233" s="213"/>
      <c r="BK233" s="196"/>
      <c r="BL233" s="196"/>
      <c r="BM233" s="196"/>
      <c r="BN233" s="196"/>
      <c r="BO233" s="196"/>
      <c r="BP233" s="237"/>
      <c r="BQ233" s="196"/>
    </row>
    <row r="234" spans="1:69" x14ac:dyDescent="0.25">
      <c r="A234" s="196"/>
      <c r="B234" s="196"/>
      <c r="C234" s="236" t="str">
        <f>IFERROR(LEFT(Master[[#This Row],[Taxon -Lookup Picker in GRIN]],FIND(" ",Master[[#This Row],[Taxon -Lookup Picker in GRIN]],1)-1),"")</f>
        <v/>
      </c>
      <c r="D234" s="237"/>
      <c r="E234" s="217"/>
      <c r="F234" s="217"/>
      <c r="G234" s="217"/>
      <c r="H234" s="196"/>
      <c r="I234" s="196"/>
      <c r="J234" s="196"/>
      <c r="K234" s="219"/>
      <c r="L234" s="196"/>
      <c r="M234" s="196"/>
      <c r="N234" s="196"/>
      <c r="O234" s="196"/>
      <c r="P234" s="219"/>
      <c r="Q234" s="219"/>
      <c r="R234" s="196"/>
      <c r="S234" s="233"/>
      <c r="T234" s="217"/>
      <c r="U234" s="196"/>
      <c r="V234" s="196"/>
      <c r="W234" s="196"/>
      <c r="X234" s="227" t="str">
        <f>IFERROR(CONVERT(#REF!,"ft","m"),"")</f>
        <v/>
      </c>
      <c r="Y234" s="234"/>
      <c r="Z234" s="234"/>
      <c r="AA234" s="235"/>
      <c r="AB234" s="196"/>
      <c r="AC234" s="196"/>
      <c r="AD234" s="196"/>
      <c r="AE234" s="196"/>
      <c r="AF234" s="237"/>
      <c r="AG234" s="196"/>
      <c r="AH234" s="196"/>
      <c r="AI234" s="232"/>
      <c r="AJ234" s="232"/>
      <c r="AK234" s="196"/>
      <c r="AL234" s="196"/>
      <c r="AM234" s="196"/>
      <c r="AN234" s="196"/>
      <c r="AO234" s="196"/>
      <c r="AP234" s="196"/>
      <c r="AQ234" s="196"/>
      <c r="AR234" s="237"/>
      <c r="AS234" s="223"/>
      <c r="AT234" s="223"/>
      <c r="AU234" s="223"/>
      <c r="AV234" s="223"/>
      <c r="AW234" s="238" t="str">
        <f>IFERROR(ROUNDDOWN((('Master File'!$AU234*100)/'Master File'!$AV234)-Master[[#This Row],[Quantity On Hand]],0),"")</f>
        <v/>
      </c>
      <c r="AX234" s="217"/>
      <c r="AY234" s="217"/>
      <c r="AZ234" s="217"/>
      <c r="BA234" s="196"/>
      <c r="BB234" s="236" t="str">
        <f t="shared" si="5"/>
        <v xml:space="preserve"> </v>
      </c>
      <c r="BC234" s="196"/>
      <c r="BD234" s="237"/>
      <c r="BE234" s="196"/>
      <c r="BF234" s="196"/>
      <c r="BG234" s="237"/>
      <c r="BH234" s="213"/>
      <c r="BI234" s="213"/>
      <c r="BJ234" s="213"/>
      <c r="BK234" s="196"/>
      <c r="BL234" s="196"/>
      <c r="BM234" s="196"/>
      <c r="BN234" s="196"/>
      <c r="BO234" s="196"/>
      <c r="BP234" s="237"/>
      <c r="BQ234" s="196"/>
    </row>
    <row r="235" spans="1:69" x14ac:dyDescent="0.25">
      <c r="A235" s="196"/>
      <c r="B235" s="196"/>
      <c r="C235" s="236" t="str">
        <f>IFERROR(LEFT(Master[[#This Row],[Taxon -Lookup Picker in GRIN]],FIND(" ",Master[[#This Row],[Taxon -Lookup Picker in GRIN]],1)-1),"")</f>
        <v/>
      </c>
      <c r="D235" s="237"/>
      <c r="E235" s="217"/>
      <c r="F235" s="217"/>
      <c r="G235" s="217"/>
      <c r="H235" s="196"/>
      <c r="I235" s="196"/>
      <c r="J235" s="196"/>
      <c r="K235" s="219"/>
      <c r="L235" s="196"/>
      <c r="M235" s="196"/>
      <c r="N235" s="196"/>
      <c r="O235" s="196"/>
      <c r="P235" s="219"/>
      <c r="Q235" s="219"/>
      <c r="R235" s="196"/>
      <c r="S235" s="233"/>
      <c r="T235" s="217"/>
      <c r="U235" s="196"/>
      <c r="V235" s="196"/>
      <c r="W235" s="196"/>
      <c r="X235" s="227" t="str">
        <f>IFERROR(CONVERT(#REF!,"ft","m"),"")</f>
        <v/>
      </c>
      <c r="Y235" s="234"/>
      <c r="Z235" s="234"/>
      <c r="AA235" s="235"/>
      <c r="AB235" s="196"/>
      <c r="AC235" s="196"/>
      <c r="AD235" s="196"/>
      <c r="AE235" s="196"/>
      <c r="AF235" s="237"/>
      <c r="AG235" s="196"/>
      <c r="AH235" s="196"/>
      <c r="AI235" s="232"/>
      <c r="AJ235" s="232"/>
      <c r="AK235" s="196"/>
      <c r="AL235" s="196"/>
      <c r="AM235" s="196"/>
      <c r="AN235" s="196"/>
      <c r="AO235" s="196"/>
      <c r="AP235" s="196"/>
      <c r="AQ235" s="196"/>
      <c r="AR235" s="237"/>
      <c r="AS235" s="223"/>
      <c r="AT235" s="223"/>
      <c r="AU235" s="223"/>
      <c r="AV235" s="223"/>
      <c r="AW235" s="238" t="str">
        <f>IFERROR(ROUNDDOWN((('Master File'!$AU235*100)/'Master File'!$AV235)-Master[[#This Row],[Quantity On Hand]],0),"")</f>
        <v/>
      </c>
      <c r="AX235" s="217"/>
      <c r="AY235" s="217"/>
      <c r="AZ235" s="217"/>
      <c r="BA235" s="196"/>
      <c r="BB235" s="236" t="str">
        <f t="shared" si="5"/>
        <v xml:space="preserve"> </v>
      </c>
      <c r="BC235" s="196"/>
      <c r="BD235" s="237"/>
      <c r="BE235" s="196"/>
      <c r="BF235" s="196"/>
      <c r="BG235" s="237"/>
      <c r="BH235" s="213"/>
      <c r="BI235" s="213"/>
      <c r="BJ235" s="213"/>
      <c r="BK235" s="196"/>
      <c r="BL235" s="196"/>
      <c r="BM235" s="196"/>
      <c r="BN235" s="196"/>
      <c r="BO235" s="196"/>
      <c r="BP235" s="237"/>
      <c r="BQ235" s="196"/>
    </row>
    <row r="236" spans="1:69" x14ac:dyDescent="0.25">
      <c r="A236" s="196"/>
      <c r="B236" s="196"/>
      <c r="C236" s="236" t="str">
        <f>IFERROR(LEFT(Master[[#This Row],[Taxon -Lookup Picker in GRIN]],FIND(" ",Master[[#This Row],[Taxon -Lookup Picker in GRIN]],1)-1),"")</f>
        <v/>
      </c>
      <c r="D236" s="237"/>
      <c r="E236" s="217"/>
      <c r="F236" s="217"/>
      <c r="G236" s="217"/>
      <c r="H236" s="196"/>
      <c r="I236" s="196"/>
      <c r="J236" s="196"/>
      <c r="K236" s="219"/>
      <c r="L236" s="196"/>
      <c r="M236" s="196"/>
      <c r="N236" s="196"/>
      <c r="O236" s="196"/>
      <c r="P236" s="219"/>
      <c r="Q236" s="219"/>
      <c r="R236" s="196"/>
      <c r="S236" s="233"/>
      <c r="T236" s="217"/>
      <c r="U236" s="196"/>
      <c r="V236" s="196"/>
      <c r="W236" s="196"/>
      <c r="X236" s="227" t="str">
        <f>IFERROR(CONVERT(#REF!,"ft","m"),"")</f>
        <v/>
      </c>
      <c r="Y236" s="234"/>
      <c r="Z236" s="234"/>
      <c r="AA236" s="235"/>
      <c r="AB236" s="196"/>
      <c r="AC236" s="196"/>
      <c r="AD236" s="196"/>
      <c r="AE236" s="196"/>
      <c r="AF236" s="237"/>
      <c r="AG236" s="196"/>
      <c r="AH236" s="196"/>
      <c r="AI236" s="232"/>
      <c r="AJ236" s="232"/>
      <c r="AK236" s="196"/>
      <c r="AL236" s="196"/>
      <c r="AM236" s="196"/>
      <c r="AN236" s="196"/>
      <c r="AO236" s="196"/>
      <c r="AP236" s="196"/>
      <c r="AQ236" s="196"/>
      <c r="AR236" s="237"/>
      <c r="AS236" s="223"/>
      <c r="AT236" s="223"/>
      <c r="AU236" s="223"/>
      <c r="AV236" s="223"/>
      <c r="AW236" s="238" t="str">
        <f>IFERROR(ROUNDDOWN((('Master File'!$AU236*100)/'Master File'!$AV236)-Master[[#This Row],[Quantity On Hand]],0),"")</f>
        <v/>
      </c>
      <c r="AX236" s="217"/>
      <c r="AY236" s="217"/>
      <c r="AZ236" s="217"/>
      <c r="BA236" s="196"/>
      <c r="BB236" s="236" t="str">
        <f t="shared" si="5"/>
        <v xml:space="preserve"> </v>
      </c>
      <c r="BC236" s="196"/>
      <c r="BD236" s="237"/>
      <c r="BE236" s="196"/>
      <c r="BF236" s="196"/>
      <c r="BG236" s="237"/>
      <c r="BH236" s="213"/>
      <c r="BI236" s="213"/>
      <c r="BJ236" s="213"/>
      <c r="BK236" s="196"/>
      <c r="BL236" s="196"/>
      <c r="BM236" s="196"/>
      <c r="BN236" s="196"/>
      <c r="BO236" s="196"/>
      <c r="BP236" s="237"/>
      <c r="BQ236" s="196"/>
    </row>
    <row r="237" spans="1:69" x14ac:dyDescent="0.25">
      <c r="A237" s="196"/>
      <c r="B237" s="196"/>
      <c r="C237" s="236" t="str">
        <f>IFERROR(LEFT(Master[[#This Row],[Taxon -Lookup Picker in GRIN]],FIND(" ",Master[[#This Row],[Taxon -Lookup Picker in GRIN]],1)-1),"")</f>
        <v/>
      </c>
      <c r="D237" s="237"/>
      <c r="E237" s="217"/>
      <c r="F237" s="217"/>
      <c r="G237" s="217"/>
      <c r="H237" s="196"/>
      <c r="I237" s="196"/>
      <c r="J237" s="196"/>
      <c r="K237" s="219"/>
      <c r="L237" s="196"/>
      <c r="M237" s="196"/>
      <c r="N237" s="196"/>
      <c r="O237" s="196"/>
      <c r="P237" s="219"/>
      <c r="Q237" s="219"/>
      <c r="R237" s="196"/>
      <c r="S237" s="233"/>
      <c r="T237" s="217"/>
      <c r="U237" s="196"/>
      <c r="V237" s="196"/>
      <c r="W237" s="196"/>
      <c r="X237" s="227" t="str">
        <f>IFERROR(CONVERT(#REF!,"ft","m"),"")</f>
        <v/>
      </c>
      <c r="Y237" s="234"/>
      <c r="Z237" s="234"/>
      <c r="AA237" s="235"/>
      <c r="AB237" s="196"/>
      <c r="AC237" s="196"/>
      <c r="AD237" s="196"/>
      <c r="AE237" s="196"/>
      <c r="AF237" s="237"/>
      <c r="AG237" s="196"/>
      <c r="AH237" s="196"/>
      <c r="AI237" s="232"/>
      <c r="AJ237" s="232"/>
      <c r="AK237" s="196"/>
      <c r="AL237" s="196"/>
      <c r="AM237" s="196"/>
      <c r="AN237" s="196"/>
      <c r="AO237" s="196"/>
      <c r="AP237" s="196"/>
      <c r="AQ237" s="196"/>
      <c r="AR237" s="237"/>
      <c r="AS237" s="223"/>
      <c r="AT237" s="223"/>
      <c r="AU237" s="223"/>
      <c r="AV237" s="223"/>
      <c r="AW237" s="238" t="str">
        <f>IFERROR(ROUNDDOWN((('Master File'!$AU237*100)/'Master File'!$AV237)-Master[[#This Row],[Quantity On Hand]],0),"")</f>
        <v/>
      </c>
      <c r="AX237" s="217"/>
      <c r="AY237" s="217"/>
      <c r="AZ237" s="217"/>
      <c r="BA237" s="196"/>
      <c r="BB237" s="236" t="str">
        <f t="shared" si="5"/>
        <v xml:space="preserve"> </v>
      </c>
      <c r="BC237" s="196"/>
      <c r="BD237" s="237"/>
      <c r="BE237" s="196"/>
      <c r="BF237" s="196"/>
      <c r="BG237" s="237"/>
      <c r="BH237" s="213"/>
      <c r="BI237" s="213"/>
      <c r="BJ237" s="213"/>
      <c r="BK237" s="196"/>
      <c r="BL237" s="196"/>
      <c r="BM237" s="196"/>
      <c r="BN237" s="196"/>
      <c r="BO237" s="196"/>
      <c r="BP237" s="237"/>
      <c r="BQ237" s="196"/>
    </row>
    <row r="238" spans="1:69" x14ac:dyDescent="0.25">
      <c r="A238" s="196"/>
      <c r="B238" s="196"/>
      <c r="C238" s="236" t="str">
        <f>IFERROR(LEFT(Master[[#This Row],[Taxon -Lookup Picker in GRIN]],FIND(" ",Master[[#This Row],[Taxon -Lookup Picker in GRIN]],1)-1),"")</f>
        <v/>
      </c>
      <c r="D238" s="237"/>
      <c r="E238" s="217"/>
      <c r="F238" s="217"/>
      <c r="G238" s="217"/>
      <c r="H238" s="196"/>
      <c r="I238" s="196"/>
      <c r="J238" s="196"/>
      <c r="K238" s="219"/>
      <c r="L238" s="196"/>
      <c r="M238" s="196"/>
      <c r="N238" s="196"/>
      <c r="O238" s="196"/>
      <c r="P238" s="219"/>
      <c r="Q238" s="219"/>
      <c r="R238" s="196"/>
      <c r="S238" s="233"/>
      <c r="T238" s="217"/>
      <c r="U238" s="196"/>
      <c r="V238" s="196"/>
      <c r="W238" s="196"/>
      <c r="X238" s="227" t="str">
        <f>IFERROR(CONVERT(#REF!,"ft","m"),"")</f>
        <v/>
      </c>
      <c r="Y238" s="234"/>
      <c r="Z238" s="234"/>
      <c r="AA238" s="235"/>
      <c r="AB238" s="196"/>
      <c r="AC238" s="196"/>
      <c r="AD238" s="196"/>
      <c r="AE238" s="196"/>
      <c r="AF238" s="237"/>
      <c r="AG238" s="196"/>
      <c r="AH238" s="196"/>
      <c r="AI238" s="232"/>
      <c r="AJ238" s="232"/>
      <c r="AK238" s="196"/>
      <c r="AL238" s="196"/>
      <c r="AM238" s="196"/>
      <c r="AN238" s="196"/>
      <c r="AO238" s="196"/>
      <c r="AP238" s="196"/>
      <c r="AQ238" s="196"/>
      <c r="AR238" s="237"/>
      <c r="AS238" s="223"/>
      <c r="AT238" s="223"/>
      <c r="AU238" s="223"/>
      <c r="AV238" s="223"/>
      <c r="AW238" s="238" t="str">
        <f>IFERROR(ROUNDDOWN((('Master File'!$AU238*100)/'Master File'!$AV238)-Master[[#This Row],[Quantity On Hand]],0),"")</f>
        <v/>
      </c>
      <c r="AX238" s="217"/>
      <c r="AY238" s="217"/>
      <c r="AZ238" s="217"/>
      <c r="BA238" s="196"/>
      <c r="BB238" s="236" t="str">
        <f t="shared" si="5"/>
        <v xml:space="preserve"> </v>
      </c>
      <c r="BC238" s="196"/>
      <c r="BD238" s="237"/>
      <c r="BE238" s="196"/>
      <c r="BF238" s="196"/>
      <c r="BG238" s="237"/>
      <c r="BH238" s="213"/>
      <c r="BI238" s="213"/>
      <c r="BJ238" s="213"/>
      <c r="BK238" s="196"/>
      <c r="BL238" s="196"/>
      <c r="BM238" s="196"/>
      <c r="BN238" s="196"/>
      <c r="BO238" s="196"/>
      <c r="BP238" s="237"/>
      <c r="BQ238" s="196"/>
    </row>
    <row r="239" spans="1:69" x14ac:dyDescent="0.25">
      <c r="A239" s="196"/>
      <c r="B239" s="196"/>
      <c r="C239" s="236" t="str">
        <f>IFERROR(LEFT(Master[[#This Row],[Taxon -Lookup Picker in GRIN]],FIND(" ",Master[[#This Row],[Taxon -Lookup Picker in GRIN]],1)-1),"")</f>
        <v/>
      </c>
      <c r="D239" s="237"/>
      <c r="E239" s="217"/>
      <c r="F239" s="217"/>
      <c r="G239" s="217"/>
      <c r="H239" s="196"/>
      <c r="I239" s="196"/>
      <c r="J239" s="196"/>
      <c r="K239" s="219"/>
      <c r="L239" s="196"/>
      <c r="M239" s="196"/>
      <c r="N239" s="196"/>
      <c r="O239" s="196"/>
      <c r="P239" s="219"/>
      <c r="Q239" s="219"/>
      <c r="R239" s="196"/>
      <c r="S239" s="233"/>
      <c r="T239" s="217"/>
      <c r="U239" s="196"/>
      <c r="V239" s="196"/>
      <c r="W239" s="196"/>
      <c r="X239" s="227" t="str">
        <f>IFERROR(CONVERT(#REF!,"ft","m"),"")</f>
        <v/>
      </c>
      <c r="Y239" s="234"/>
      <c r="Z239" s="234"/>
      <c r="AA239" s="235"/>
      <c r="AB239" s="196"/>
      <c r="AC239" s="196"/>
      <c r="AD239" s="196"/>
      <c r="AE239" s="196"/>
      <c r="AF239" s="237"/>
      <c r="AG239" s="196"/>
      <c r="AH239" s="196"/>
      <c r="AI239" s="232"/>
      <c r="AJ239" s="232"/>
      <c r="AK239" s="196"/>
      <c r="AL239" s="196"/>
      <c r="AM239" s="196"/>
      <c r="AN239" s="196"/>
      <c r="AO239" s="196"/>
      <c r="AP239" s="196"/>
      <c r="AQ239" s="196"/>
      <c r="AR239" s="237"/>
      <c r="AS239" s="223"/>
      <c r="AT239" s="223"/>
      <c r="AU239" s="223"/>
      <c r="AV239" s="223"/>
      <c r="AW239" s="238" t="str">
        <f>IFERROR(ROUNDDOWN((('Master File'!$AU239*100)/'Master File'!$AV239)-Master[[#This Row],[Quantity On Hand]],0),"")</f>
        <v/>
      </c>
      <c r="AX239" s="217"/>
      <c r="AY239" s="217"/>
      <c r="AZ239" s="217"/>
      <c r="BA239" s="196"/>
      <c r="BB239" s="236" t="str">
        <f t="shared" si="5"/>
        <v xml:space="preserve"> </v>
      </c>
      <c r="BC239" s="196"/>
      <c r="BD239" s="237"/>
      <c r="BE239" s="196"/>
      <c r="BF239" s="196"/>
      <c r="BG239" s="237"/>
      <c r="BH239" s="213"/>
      <c r="BI239" s="213"/>
      <c r="BJ239" s="213"/>
      <c r="BK239" s="196"/>
      <c r="BL239" s="196"/>
      <c r="BM239" s="196"/>
      <c r="BN239" s="196"/>
      <c r="BO239" s="196"/>
      <c r="BP239" s="237"/>
      <c r="BQ239" s="196"/>
    </row>
    <row r="240" spans="1:69" x14ac:dyDescent="0.25">
      <c r="A240" s="196"/>
      <c r="B240" s="196"/>
      <c r="C240" s="236" t="str">
        <f>IFERROR(LEFT(Master[[#This Row],[Taxon -Lookup Picker in GRIN]],FIND(" ",Master[[#This Row],[Taxon -Lookup Picker in GRIN]],1)-1),"")</f>
        <v/>
      </c>
      <c r="D240" s="237"/>
      <c r="E240" s="217"/>
      <c r="F240" s="217"/>
      <c r="G240" s="217"/>
      <c r="H240" s="196"/>
      <c r="I240" s="196"/>
      <c r="J240" s="196"/>
      <c r="K240" s="219"/>
      <c r="L240" s="196"/>
      <c r="M240" s="196"/>
      <c r="N240" s="196"/>
      <c r="O240" s="196"/>
      <c r="P240" s="219"/>
      <c r="Q240" s="219"/>
      <c r="R240" s="196"/>
      <c r="S240" s="233"/>
      <c r="T240" s="217"/>
      <c r="U240" s="196"/>
      <c r="V240" s="196"/>
      <c r="W240" s="196"/>
      <c r="X240" s="227" t="str">
        <f>IFERROR(CONVERT(#REF!,"ft","m"),"")</f>
        <v/>
      </c>
      <c r="Y240" s="234"/>
      <c r="Z240" s="234"/>
      <c r="AA240" s="235"/>
      <c r="AB240" s="196"/>
      <c r="AC240" s="196"/>
      <c r="AD240" s="196"/>
      <c r="AE240" s="196"/>
      <c r="AF240" s="237"/>
      <c r="AG240" s="196"/>
      <c r="AH240" s="196"/>
      <c r="AI240" s="232"/>
      <c r="AJ240" s="232"/>
      <c r="AK240" s="196"/>
      <c r="AL240" s="196"/>
      <c r="AM240" s="196"/>
      <c r="AN240" s="196"/>
      <c r="AO240" s="196"/>
      <c r="AP240" s="196"/>
      <c r="AQ240" s="196"/>
      <c r="AR240" s="237"/>
      <c r="AS240" s="223"/>
      <c r="AT240" s="223"/>
      <c r="AU240" s="223"/>
      <c r="AV240" s="223"/>
      <c r="AW240" s="238" t="str">
        <f>IFERROR(ROUNDDOWN((('Master File'!$AU240*100)/'Master File'!$AV240)-Master[[#This Row],[Quantity On Hand]],0),"")</f>
        <v/>
      </c>
      <c r="AX240" s="217"/>
      <c r="AY240" s="217"/>
      <c r="AZ240" s="217"/>
      <c r="BA240" s="196"/>
      <c r="BB240" s="236" t="str">
        <f t="shared" si="5"/>
        <v xml:space="preserve"> </v>
      </c>
      <c r="BC240" s="196"/>
      <c r="BD240" s="237"/>
      <c r="BE240" s="196"/>
      <c r="BF240" s="196"/>
      <c r="BG240" s="237"/>
      <c r="BH240" s="213"/>
      <c r="BI240" s="213"/>
      <c r="BJ240" s="213"/>
      <c r="BK240" s="196"/>
      <c r="BL240" s="196"/>
      <c r="BM240" s="196"/>
      <c r="BN240" s="196"/>
      <c r="BO240" s="196"/>
      <c r="BP240" s="237"/>
      <c r="BQ240" s="196"/>
    </row>
    <row r="241" spans="1:69" x14ac:dyDescent="0.25">
      <c r="A241" s="196"/>
      <c r="B241" s="196"/>
      <c r="C241" s="236" t="str">
        <f>IFERROR(LEFT(Master[[#This Row],[Taxon -Lookup Picker in GRIN]],FIND(" ",Master[[#This Row],[Taxon -Lookup Picker in GRIN]],1)-1),"")</f>
        <v/>
      </c>
      <c r="D241" s="237"/>
      <c r="E241" s="217"/>
      <c r="F241" s="217"/>
      <c r="G241" s="217"/>
      <c r="H241" s="196"/>
      <c r="I241" s="196"/>
      <c r="J241" s="196"/>
      <c r="K241" s="219"/>
      <c r="L241" s="196"/>
      <c r="M241" s="196"/>
      <c r="N241" s="196"/>
      <c r="O241" s="196"/>
      <c r="P241" s="219"/>
      <c r="Q241" s="219"/>
      <c r="R241" s="196"/>
      <c r="S241" s="233"/>
      <c r="T241" s="217"/>
      <c r="U241" s="196"/>
      <c r="V241" s="196"/>
      <c r="W241" s="196"/>
      <c r="X241" s="227" t="str">
        <f>IFERROR(CONVERT(#REF!,"ft","m"),"")</f>
        <v/>
      </c>
      <c r="Y241" s="234"/>
      <c r="Z241" s="234"/>
      <c r="AA241" s="235"/>
      <c r="AB241" s="196"/>
      <c r="AC241" s="196"/>
      <c r="AD241" s="196"/>
      <c r="AE241" s="196"/>
      <c r="AF241" s="237"/>
      <c r="AG241" s="196"/>
      <c r="AH241" s="196"/>
      <c r="AI241" s="232"/>
      <c r="AJ241" s="232"/>
      <c r="AK241" s="196"/>
      <c r="AL241" s="196"/>
      <c r="AM241" s="196"/>
      <c r="AN241" s="196"/>
      <c r="AO241" s="196"/>
      <c r="AP241" s="196"/>
      <c r="AQ241" s="196"/>
      <c r="AR241" s="237"/>
      <c r="AS241" s="223"/>
      <c r="AT241" s="223"/>
      <c r="AU241" s="223"/>
      <c r="AV241" s="223"/>
      <c r="AW241" s="238" t="str">
        <f>IFERROR(ROUNDDOWN((('Master File'!$AU241*100)/'Master File'!$AV241)-Master[[#This Row],[Quantity On Hand]],0),"")</f>
        <v/>
      </c>
      <c r="AX241" s="217"/>
      <c r="AY241" s="217"/>
      <c r="AZ241" s="217"/>
      <c r="BA241" s="196"/>
      <c r="BB241" s="236" t="str">
        <f t="shared" si="5"/>
        <v xml:space="preserve"> </v>
      </c>
      <c r="BC241" s="196"/>
      <c r="BD241" s="237"/>
      <c r="BE241" s="196"/>
      <c r="BF241" s="196"/>
      <c r="BG241" s="237"/>
      <c r="BH241" s="213"/>
      <c r="BI241" s="213"/>
      <c r="BJ241" s="213"/>
      <c r="BK241" s="196"/>
      <c r="BL241" s="196"/>
      <c r="BM241" s="196"/>
      <c r="BN241" s="196"/>
      <c r="BO241" s="196"/>
      <c r="BP241" s="237"/>
      <c r="BQ241" s="196"/>
    </row>
    <row r="242" spans="1:69" x14ac:dyDescent="0.25">
      <c r="A242" s="196"/>
      <c r="B242" s="196"/>
      <c r="C242" s="236" t="str">
        <f>IFERROR(LEFT(Master[[#This Row],[Taxon -Lookup Picker in GRIN]],FIND(" ",Master[[#This Row],[Taxon -Lookup Picker in GRIN]],1)-1),"")</f>
        <v/>
      </c>
      <c r="D242" s="237"/>
      <c r="E242" s="217"/>
      <c r="F242" s="217"/>
      <c r="G242" s="217"/>
      <c r="H242" s="196"/>
      <c r="I242" s="196"/>
      <c r="J242" s="196"/>
      <c r="K242" s="219"/>
      <c r="L242" s="196"/>
      <c r="M242" s="196"/>
      <c r="N242" s="196"/>
      <c r="O242" s="196"/>
      <c r="P242" s="219"/>
      <c r="Q242" s="219"/>
      <c r="R242" s="196"/>
      <c r="S242" s="233"/>
      <c r="T242" s="217"/>
      <c r="U242" s="196"/>
      <c r="V242" s="196"/>
      <c r="W242" s="196"/>
      <c r="X242" s="227" t="str">
        <f>IFERROR(CONVERT(#REF!,"ft","m"),"")</f>
        <v/>
      </c>
      <c r="Y242" s="234"/>
      <c r="Z242" s="234"/>
      <c r="AA242" s="235"/>
      <c r="AB242" s="196"/>
      <c r="AC242" s="196"/>
      <c r="AD242" s="196"/>
      <c r="AE242" s="196"/>
      <c r="AF242" s="237"/>
      <c r="AG242" s="196"/>
      <c r="AH242" s="196"/>
      <c r="AI242" s="232"/>
      <c r="AJ242" s="232"/>
      <c r="AK242" s="196"/>
      <c r="AL242" s="196"/>
      <c r="AM242" s="196"/>
      <c r="AN242" s="196"/>
      <c r="AO242" s="196"/>
      <c r="AP242" s="196"/>
      <c r="AQ242" s="196"/>
      <c r="AR242" s="237"/>
      <c r="AS242" s="223"/>
      <c r="AT242" s="223"/>
      <c r="AU242" s="223"/>
      <c r="AV242" s="223"/>
      <c r="AW242" s="238" t="str">
        <f>IFERROR(ROUNDDOWN((('Master File'!$AU242*100)/'Master File'!$AV242)-Master[[#This Row],[Quantity On Hand]],0),"")</f>
        <v/>
      </c>
      <c r="AX242" s="217"/>
      <c r="AY242" s="217"/>
      <c r="AZ242" s="217"/>
      <c r="BA242" s="196"/>
      <c r="BB242" s="236" t="str">
        <f t="shared" si="5"/>
        <v xml:space="preserve"> </v>
      </c>
      <c r="BC242" s="196"/>
      <c r="BD242" s="237"/>
      <c r="BE242" s="196"/>
      <c r="BF242" s="196"/>
      <c r="BG242" s="237"/>
      <c r="BH242" s="213"/>
      <c r="BI242" s="213"/>
      <c r="BJ242" s="213"/>
      <c r="BK242" s="196"/>
      <c r="BL242" s="196"/>
      <c r="BM242" s="196"/>
      <c r="BN242" s="196"/>
      <c r="BO242" s="196"/>
      <c r="BP242" s="237"/>
      <c r="BQ242" s="196"/>
    </row>
    <row r="243" spans="1:69" x14ac:dyDescent="0.25">
      <c r="A243" s="196"/>
      <c r="B243" s="196"/>
      <c r="C243" s="236" t="str">
        <f>IFERROR(LEFT(Master[[#This Row],[Taxon -Lookup Picker in GRIN]],FIND(" ",Master[[#This Row],[Taxon -Lookup Picker in GRIN]],1)-1),"")</f>
        <v/>
      </c>
      <c r="D243" s="237"/>
      <c r="E243" s="217"/>
      <c r="F243" s="217"/>
      <c r="G243" s="217"/>
      <c r="H243" s="196"/>
      <c r="I243" s="196"/>
      <c r="J243" s="196"/>
      <c r="K243" s="219"/>
      <c r="L243" s="196"/>
      <c r="M243" s="196"/>
      <c r="N243" s="196"/>
      <c r="O243" s="196"/>
      <c r="P243" s="219"/>
      <c r="Q243" s="219"/>
      <c r="R243" s="196"/>
      <c r="S243" s="233"/>
      <c r="T243" s="217"/>
      <c r="U243" s="196"/>
      <c r="V243" s="196"/>
      <c r="W243" s="196"/>
      <c r="X243" s="227" t="str">
        <f>IFERROR(CONVERT(#REF!,"ft","m"),"")</f>
        <v/>
      </c>
      <c r="Y243" s="234"/>
      <c r="Z243" s="234"/>
      <c r="AA243" s="235"/>
      <c r="AB243" s="196"/>
      <c r="AC243" s="196"/>
      <c r="AD243" s="196"/>
      <c r="AE243" s="196"/>
      <c r="AF243" s="237"/>
      <c r="AG243" s="196"/>
      <c r="AH243" s="196"/>
      <c r="AI243" s="232"/>
      <c r="AJ243" s="232"/>
      <c r="AK243" s="196"/>
      <c r="AL243" s="196"/>
      <c r="AM243" s="196"/>
      <c r="AN243" s="196"/>
      <c r="AO243" s="196"/>
      <c r="AP243" s="196"/>
      <c r="AQ243" s="196"/>
      <c r="AR243" s="237"/>
      <c r="AS243" s="223"/>
      <c r="AT243" s="223"/>
      <c r="AU243" s="223"/>
      <c r="AV243" s="223"/>
      <c r="AW243" s="238" t="str">
        <f>IFERROR(ROUNDDOWN((('Master File'!$AU243*100)/'Master File'!$AV243)-Master[[#This Row],[Quantity On Hand]],0),"")</f>
        <v/>
      </c>
      <c r="AX243" s="217"/>
      <c r="AY243" s="217"/>
      <c r="AZ243" s="217"/>
      <c r="BA243" s="196"/>
      <c r="BB243" s="236" t="str">
        <f t="shared" si="5"/>
        <v xml:space="preserve"> </v>
      </c>
      <c r="BC243" s="196"/>
      <c r="BD243" s="237"/>
      <c r="BE243" s="196"/>
      <c r="BF243" s="196"/>
      <c r="BG243" s="237"/>
      <c r="BH243" s="213"/>
      <c r="BI243" s="213"/>
      <c r="BJ243" s="213"/>
      <c r="BK243" s="196"/>
      <c r="BL243" s="196"/>
      <c r="BM243" s="196"/>
      <c r="BN243" s="196"/>
      <c r="BO243" s="196"/>
      <c r="BP243" s="237"/>
      <c r="BQ243" s="196"/>
    </row>
    <row r="244" spans="1:69" x14ac:dyDescent="0.25">
      <c r="A244" s="196"/>
      <c r="B244" s="196"/>
      <c r="C244" s="236" t="str">
        <f>IFERROR(LEFT(Master[[#This Row],[Taxon -Lookup Picker in GRIN]],FIND(" ",Master[[#This Row],[Taxon -Lookup Picker in GRIN]],1)-1),"")</f>
        <v/>
      </c>
      <c r="D244" s="237"/>
      <c r="E244" s="217"/>
      <c r="F244" s="217"/>
      <c r="G244" s="217"/>
      <c r="H244" s="196"/>
      <c r="I244" s="196"/>
      <c r="J244" s="196"/>
      <c r="K244" s="219"/>
      <c r="L244" s="196"/>
      <c r="M244" s="196"/>
      <c r="N244" s="196"/>
      <c r="O244" s="196"/>
      <c r="P244" s="219"/>
      <c r="Q244" s="219"/>
      <c r="R244" s="196"/>
      <c r="S244" s="233"/>
      <c r="T244" s="217"/>
      <c r="U244" s="196"/>
      <c r="V244" s="196"/>
      <c r="W244" s="196"/>
      <c r="X244" s="227" t="str">
        <f>IFERROR(CONVERT(#REF!,"ft","m"),"")</f>
        <v/>
      </c>
      <c r="Y244" s="234"/>
      <c r="Z244" s="234"/>
      <c r="AA244" s="235"/>
      <c r="AB244" s="196"/>
      <c r="AC244" s="196"/>
      <c r="AD244" s="196"/>
      <c r="AE244" s="196"/>
      <c r="AF244" s="237"/>
      <c r="AG244" s="196"/>
      <c r="AH244" s="196"/>
      <c r="AI244" s="232"/>
      <c r="AJ244" s="232"/>
      <c r="AK244" s="196"/>
      <c r="AL244" s="196"/>
      <c r="AM244" s="196"/>
      <c r="AN244" s="196"/>
      <c r="AO244" s="196"/>
      <c r="AP244" s="196"/>
      <c r="AQ244" s="196"/>
      <c r="AR244" s="237"/>
      <c r="AS244" s="223"/>
      <c r="AT244" s="223"/>
      <c r="AU244" s="223"/>
      <c r="AV244" s="223"/>
      <c r="AW244" s="238" t="str">
        <f>IFERROR(ROUNDDOWN((('Master File'!$AU244*100)/'Master File'!$AV244)-Master[[#This Row],[Quantity On Hand]],0),"")</f>
        <v/>
      </c>
      <c r="AX244" s="217"/>
      <c r="AY244" s="217"/>
      <c r="AZ244" s="217"/>
      <c r="BA244" s="196"/>
      <c r="BB244" s="236" t="str">
        <f t="shared" si="5"/>
        <v xml:space="preserve"> </v>
      </c>
      <c r="BC244" s="196"/>
      <c r="BD244" s="237"/>
      <c r="BE244" s="196"/>
      <c r="BF244" s="196"/>
      <c r="BG244" s="237"/>
      <c r="BH244" s="213"/>
      <c r="BI244" s="213"/>
      <c r="BJ244" s="213"/>
      <c r="BK244" s="196"/>
      <c r="BL244" s="196"/>
      <c r="BM244" s="196"/>
      <c r="BN244" s="196"/>
      <c r="BO244" s="196"/>
      <c r="BP244" s="237"/>
      <c r="BQ244" s="196"/>
    </row>
    <row r="245" spans="1:69" x14ac:dyDescent="0.25">
      <c r="A245" s="196"/>
      <c r="B245" s="196"/>
      <c r="C245" s="236" t="str">
        <f>IFERROR(LEFT(Master[[#This Row],[Taxon -Lookup Picker in GRIN]],FIND(" ",Master[[#This Row],[Taxon -Lookup Picker in GRIN]],1)-1),"")</f>
        <v/>
      </c>
      <c r="D245" s="237"/>
      <c r="E245" s="217"/>
      <c r="F245" s="217"/>
      <c r="G245" s="217"/>
      <c r="H245" s="196"/>
      <c r="I245" s="196"/>
      <c r="J245" s="196"/>
      <c r="K245" s="219"/>
      <c r="L245" s="196"/>
      <c r="M245" s="196"/>
      <c r="N245" s="196"/>
      <c r="O245" s="196"/>
      <c r="P245" s="219"/>
      <c r="Q245" s="219"/>
      <c r="R245" s="196"/>
      <c r="S245" s="233"/>
      <c r="T245" s="217"/>
      <c r="U245" s="196"/>
      <c r="V245" s="196"/>
      <c r="W245" s="196"/>
      <c r="X245" s="227" t="str">
        <f>IFERROR(CONVERT(#REF!,"ft","m"),"")</f>
        <v/>
      </c>
      <c r="Y245" s="234"/>
      <c r="Z245" s="234"/>
      <c r="AA245" s="235"/>
      <c r="AB245" s="196"/>
      <c r="AC245" s="196"/>
      <c r="AD245" s="196"/>
      <c r="AE245" s="196"/>
      <c r="AF245" s="237"/>
      <c r="AG245" s="196"/>
      <c r="AH245" s="196"/>
      <c r="AI245" s="232"/>
      <c r="AJ245" s="232"/>
      <c r="AK245" s="196"/>
      <c r="AL245" s="196"/>
      <c r="AM245" s="196"/>
      <c r="AN245" s="196"/>
      <c r="AO245" s="196"/>
      <c r="AP245" s="196"/>
      <c r="AQ245" s="196"/>
      <c r="AR245" s="237"/>
      <c r="AS245" s="223"/>
      <c r="AT245" s="223"/>
      <c r="AU245" s="223"/>
      <c r="AV245" s="223"/>
      <c r="AW245" s="238" t="str">
        <f>IFERROR(ROUNDDOWN((('Master File'!$AU245*100)/'Master File'!$AV245)-Master[[#This Row],[Quantity On Hand]],0),"")</f>
        <v/>
      </c>
      <c r="AX245" s="217"/>
      <c r="AY245" s="217"/>
      <c r="AZ245" s="217"/>
      <c r="BA245" s="196"/>
      <c r="BB245" s="236" t="str">
        <f t="shared" si="5"/>
        <v xml:space="preserve"> </v>
      </c>
      <c r="BC245" s="196"/>
      <c r="BD245" s="237"/>
      <c r="BE245" s="196"/>
      <c r="BF245" s="196"/>
      <c r="BG245" s="237"/>
      <c r="BH245" s="213"/>
      <c r="BI245" s="213"/>
      <c r="BJ245" s="213"/>
      <c r="BK245" s="196"/>
      <c r="BL245" s="196"/>
      <c r="BM245" s="196"/>
      <c r="BN245" s="196"/>
      <c r="BO245" s="196"/>
      <c r="BP245" s="237"/>
      <c r="BQ245" s="196"/>
    </row>
    <row r="246" spans="1:69" x14ac:dyDescent="0.25">
      <c r="A246" s="196"/>
      <c r="B246" s="196"/>
      <c r="C246" s="236" t="str">
        <f>IFERROR(LEFT(Master[[#This Row],[Taxon -Lookup Picker in GRIN]],FIND(" ",Master[[#This Row],[Taxon -Lookup Picker in GRIN]],1)-1),"")</f>
        <v/>
      </c>
      <c r="D246" s="237"/>
      <c r="E246" s="217"/>
      <c r="F246" s="217"/>
      <c r="G246" s="217"/>
      <c r="H246" s="196"/>
      <c r="I246" s="196"/>
      <c r="J246" s="196"/>
      <c r="K246" s="219"/>
      <c r="L246" s="196"/>
      <c r="M246" s="196"/>
      <c r="N246" s="196"/>
      <c r="O246" s="196"/>
      <c r="P246" s="219"/>
      <c r="Q246" s="219"/>
      <c r="R246" s="196"/>
      <c r="S246" s="233"/>
      <c r="T246" s="217"/>
      <c r="U246" s="196"/>
      <c r="V246" s="196"/>
      <c r="W246" s="196"/>
      <c r="X246" s="227" t="str">
        <f>IFERROR(CONVERT(#REF!,"ft","m"),"")</f>
        <v/>
      </c>
      <c r="Y246" s="234"/>
      <c r="Z246" s="234"/>
      <c r="AA246" s="235"/>
      <c r="AB246" s="196"/>
      <c r="AC246" s="196"/>
      <c r="AD246" s="196"/>
      <c r="AE246" s="196"/>
      <c r="AF246" s="237"/>
      <c r="AG246" s="196"/>
      <c r="AH246" s="196"/>
      <c r="AI246" s="232"/>
      <c r="AJ246" s="232"/>
      <c r="AK246" s="196"/>
      <c r="AL246" s="196"/>
      <c r="AM246" s="196"/>
      <c r="AN246" s="196"/>
      <c r="AO246" s="196"/>
      <c r="AP246" s="196"/>
      <c r="AQ246" s="196"/>
      <c r="AR246" s="237"/>
      <c r="AS246" s="223"/>
      <c r="AT246" s="223"/>
      <c r="AU246" s="223"/>
      <c r="AV246" s="223"/>
      <c r="AW246" s="238" t="str">
        <f>IFERROR(ROUNDDOWN((('Master File'!$AU246*100)/'Master File'!$AV246)-Master[[#This Row],[Quantity On Hand]],0),"")</f>
        <v/>
      </c>
      <c r="AX246" s="217"/>
      <c r="AY246" s="217"/>
      <c r="AZ246" s="217"/>
      <c r="BA246" s="196"/>
      <c r="BB246" s="236" t="str">
        <f t="shared" si="5"/>
        <v xml:space="preserve"> </v>
      </c>
      <c r="BC246" s="196"/>
      <c r="BD246" s="237"/>
      <c r="BE246" s="196"/>
      <c r="BF246" s="196"/>
      <c r="BG246" s="237"/>
      <c r="BH246" s="213"/>
      <c r="BI246" s="213"/>
      <c r="BJ246" s="213"/>
      <c r="BK246" s="196"/>
      <c r="BL246" s="196"/>
      <c r="BM246" s="196"/>
      <c r="BN246" s="196"/>
      <c r="BO246" s="196"/>
      <c r="BP246" s="237"/>
      <c r="BQ246" s="196"/>
    </row>
    <row r="247" spans="1:69" x14ac:dyDescent="0.25">
      <c r="A247" s="196"/>
      <c r="B247" s="196"/>
      <c r="C247" s="236" t="str">
        <f>IFERROR(LEFT(Master[[#This Row],[Taxon -Lookup Picker in GRIN]],FIND(" ",Master[[#This Row],[Taxon -Lookup Picker in GRIN]],1)-1),"")</f>
        <v/>
      </c>
      <c r="D247" s="237"/>
      <c r="E247" s="217"/>
      <c r="F247" s="217"/>
      <c r="G247" s="217"/>
      <c r="H247" s="196"/>
      <c r="I247" s="196"/>
      <c r="J247" s="196"/>
      <c r="K247" s="219"/>
      <c r="L247" s="196"/>
      <c r="M247" s="196"/>
      <c r="N247" s="196"/>
      <c r="O247" s="196"/>
      <c r="P247" s="219"/>
      <c r="Q247" s="219"/>
      <c r="R247" s="196"/>
      <c r="S247" s="233"/>
      <c r="T247" s="217"/>
      <c r="U247" s="196"/>
      <c r="V247" s="196"/>
      <c r="W247" s="196"/>
      <c r="X247" s="227" t="str">
        <f>IFERROR(CONVERT(#REF!,"ft","m"),"")</f>
        <v/>
      </c>
      <c r="Y247" s="234"/>
      <c r="Z247" s="234"/>
      <c r="AA247" s="235"/>
      <c r="AB247" s="196"/>
      <c r="AC247" s="196"/>
      <c r="AD247" s="196"/>
      <c r="AE247" s="196"/>
      <c r="AF247" s="237"/>
      <c r="AG247" s="196"/>
      <c r="AH247" s="196"/>
      <c r="AI247" s="232"/>
      <c r="AJ247" s="232"/>
      <c r="AK247" s="196"/>
      <c r="AL247" s="196"/>
      <c r="AM247" s="196"/>
      <c r="AN247" s="196"/>
      <c r="AO247" s="196"/>
      <c r="AP247" s="196"/>
      <c r="AQ247" s="196"/>
      <c r="AR247" s="237"/>
      <c r="AS247" s="223"/>
      <c r="AT247" s="223"/>
      <c r="AU247" s="223"/>
      <c r="AV247" s="223"/>
      <c r="AW247" s="238" t="str">
        <f>IFERROR(ROUNDDOWN((('Master File'!$AU247*100)/'Master File'!$AV247)-Master[[#This Row],[Quantity On Hand]],0),"")</f>
        <v/>
      </c>
      <c r="AX247" s="217"/>
      <c r="AY247" s="217"/>
      <c r="AZ247" s="217"/>
      <c r="BA247" s="196"/>
      <c r="BB247" s="236" t="str">
        <f t="shared" si="5"/>
        <v xml:space="preserve"> </v>
      </c>
      <c r="BC247" s="196"/>
      <c r="BD247" s="237"/>
      <c r="BE247" s="196"/>
      <c r="BF247" s="196"/>
      <c r="BG247" s="237"/>
      <c r="BH247" s="213"/>
      <c r="BI247" s="213"/>
      <c r="BJ247" s="213"/>
      <c r="BK247" s="196"/>
      <c r="BL247" s="196"/>
      <c r="BM247" s="196"/>
      <c r="BN247" s="196"/>
      <c r="BO247" s="196"/>
      <c r="BP247" s="237"/>
      <c r="BQ247" s="196"/>
    </row>
    <row r="248" spans="1:69" x14ac:dyDescent="0.25">
      <c r="A248" s="196"/>
      <c r="B248" s="196"/>
      <c r="C248" s="236" t="str">
        <f>IFERROR(LEFT(Master[[#This Row],[Taxon -Lookup Picker in GRIN]],FIND(" ",Master[[#This Row],[Taxon -Lookup Picker in GRIN]],1)-1),"")</f>
        <v/>
      </c>
      <c r="D248" s="237"/>
      <c r="E248" s="217"/>
      <c r="F248" s="217"/>
      <c r="G248" s="217"/>
      <c r="H248" s="196"/>
      <c r="I248" s="196"/>
      <c r="J248" s="196"/>
      <c r="K248" s="219"/>
      <c r="L248" s="196"/>
      <c r="M248" s="196"/>
      <c r="N248" s="196"/>
      <c r="O248" s="196"/>
      <c r="P248" s="219"/>
      <c r="Q248" s="219"/>
      <c r="R248" s="196"/>
      <c r="S248" s="233"/>
      <c r="T248" s="217"/>
      <c r="U248" s="196"/>
      <c r="V248" s="196"/>
      <c r="W248" s="196"/>
      <c r="X248" s="227" t="str">
        <f>IFERROR(CONVERT(#REF!,"ft","m"),"")</f>
        <v/>
      </c>
      <c r="Y248" s="234"/>
      <c r="Z248" s="234"/>
      <c r="AA248" s="235"/>
      <c r="AB248" s="196"/>
      <c r="AC248" s="196"/>
      <c r="AD248" s="196"/>
      <c r="AE248" s="196"/>
      <c r="AF248" s="237"/>
      <c r="AG248" s="196"/>
      <c r="AH248" s="196"/>
      <c r="AI248" s="232"/>
      <c r="AJ248" s="232"/>
      <c r="AK248" s="196"/>
      <c r="AL248" s="196"/>
      <c r="AM248" s="196"/>
      <c r="AN248" s="196"/>
      <c r="AO248" s="196"/>
      <c r="AP248" s="196"/>
      <c r="AQ248" s="196"/>
      <c r="AR248" s="237"/>
      <c r="AS248" s="223"/>
      <c r="AT248" s="223"/>
      <c r="AU248" s="223"/>
      <c r="AV248" s="223"/>
      <c r="AW248" s="238" t="str">
        <f>IFERROR(ROUNDDOWN((('Master File'!$AU248*100)/'Master File'!$AV248)-Master[[#This Row],[Quantity On Hand]],0),"")</f>
        <v/>
      </c>
      <c r="AX248" s="217"/>
      <c r="AY248" s="217"/>
      <c r="AZ248" s="217"/>
      <c r="BA248" s="196"/>
      <c r="BB248" s="236" t="str">
        <f t="shared" si="5"/>
        <v xml:space="preserve"> </v>
      </c>
      <c r="BC248" s="196"/>
      <c r="BD248" s="237"/>
      <c r="BE248" s="196"/>
      <c r="BF248" s="196"/>
      <c r="BG248" s="237"/>
      <c r="BH248" s="213"/>
      <c r="BI248" s="213"/>
      <c r="BJ248" s="213"/>
      <c r="BK248" s="196"/>
      <c r="BL248" s="196"/>
      <c r="BM248" s="196"/>
      <c r="BN248" s="196"/>
      <c r="BO248" s="196"/>
      <c r="BP248" s="237"/>
      <c r="BQ248" s="196"/>
    </row>
    <row r="249" spans="1:69" x14ac:dyDescent="0.25">
      <c r="A249" s="196"/>
      <c r="B249" s="196"/>
      <c r="C249" s="236" t="str">
        <f>IFERROR(LEFT(Master[[#This Row],[Taxon -Lookup Picker in GRIN]],FIND(" ",Master[[#This Row],[Taxon -Lookup Picker in GRIN]],1)-1),"")</f>
        <v/>
      </c>
      <c r="D249" s="237"/>
      <c r="E249" s="217"/>
      <c r="F249" s="217"/>
      <c r="G249" s="217"/>
      <c r="H249" s="196"/>
      <c r="I249" s="196"/>
      <c r="J249" s="196"/>
      <c r="K249" s="219"/>
      <c r="L249" s="196"/>
      <c r="M249" s="196"/>
      <c r="N249" s="196"/>
      <c r="O249" s="196"/>
      <c r="P249" s="219"/>
      <c r="Q249" s="219"/>
      <c r="R249" s="196"/>
      <c r="S249" s="233"/>
      <c r="T249" s="217"/>
      <c r="U249" s="196"/>
      <c r="V249" s="196"/>
      <c r="W249" s="196"/>
      <c r="X249" s="227" t="str">
        <f>IFERROR(CONVERT(#REF!,"ft","m"),"")</f>
        <v/>
      </c>
      <c r="Y249" s="234"/>
      <c r="Z249" s="234"/>
      <c r="AA249" s="235"/>
      <c r="AB249" s="196"/>
      <c r="AC249" s="196"/>
      <c r="AD249" s="196"/>
      <c r="AE249" s="196"/>
      <c r="AF249" s="237"/>
      <c r="AG249" s="196"/>
      <c r="AH249" s="196"/>
      <c r="AI249" s="232"/>
      <c r="AJ249" s="232"/>
      <c r="AK249" s="196"/>
      <c r="AL249" s="196"/>
      <c r="AM249" s="196"/>
      <c r="AN249" s="196"/>
      <c r="AO249" s="196"/>
      <c r="AP249" s="196"/>
      <c r="AQ249" s="196"/>
      <c r="AR249" s="237"/>
      <c r="AS249" s="223"/>
      <c r="AT249" s="223"/>
      <c r="AU249" s="223"/>
      <c r="AV249" s="223"/>
      <c r="AW249" s="238" t="str">
        <f>IFERROR(ROUNDDOWN((('Master File'!$AU249*100)/'Master File'!$AV249)-Master[[#This Row],[Quantity On Hand]],0),"")</f>
        <v/>
      </c>
      <c r="AX249" s="217"/>
      <c r="AY249" s="217"/>
      <c r="AZ249" s="217"/>
      <c r="BA249" s="196"/>
      <c r="BB249" s="236" t="str">
        <f t="shared" si="5"/>
        <v xml:space="preserve"> </v>
      </c>
      <c r="BC249" s="196"/>
      <c r="BD249" s="237"/>
      <c r="BE249" s="196"/>
      <c r="BF249" s="196"/>
      <c r="BG249" s="237"/>
      <c r="BH249" s="213"/>
      <c r="BI249" s="213"/>
      <c r="BJ249" s="213"/>
      <c r="BK249" s="196"/>
      <c r="BL249" s="196"/>
      <c r="BM249" s="196"/>
      <c r="BN249" s="196"/>
      <c r="BO249" s="196"/>
      <c r="BP249" s="237"/>
      <c r="BQ249" s="196"/>
    </row>
    <row r="250" spans="1:69" x14ac:dyDescent="0.25">
      <c r="A250" s="196"/>
      <c r="B250" s="196"/>
      <c r="C250" s="236" t="str">
        <f>IFERROR(LEFT(Master[[#This Row],[Taxon -Lookup Picker in GRIN]],FIND(" ",Master[[#This Row],[Taxon -Lookup Picker in GRIN]],1)-1),"")</f>
        <v/>
      </c>
      <c r="D250" s="237"/>
      <c r="E250" s="217"/>
      <c r="F250" s="217"/>
      <c r="G250" s="217"/>
      <c r="H250" s="196"/>
      <c r="I250" s="196"/>
      <c r="J250" s="196"/>
      <c r="K250" s="219"/>
      <c r="L250" s="196"/>
      <c r="M250" s="196"/>
      <c r="N250" s="196"/>
      <c r="O250" s="196"/>
      <c r="P250" s="219"/>
      <c r="Q250" s="219"/>
      <c r="R250" s="196"/>
      <c r="S250" s="233"/>
      <c r="T250" s="217"/>
      <c r="U250" s="196"/>
      <c r="V250" s="196"/>
      <c r="W250" s="196"/>
      <c r="X250" s="227" t="str">
        <f>IFERROR(CONVERT(#REF!,"ft","m"),"")</f>
        <v/>
      </c>
      <c r="Y250" s="234"/>
      <c r="Z250" s="234"/>
      <c r="AA250" s="235"/>
      <c r="AB250" s="196"/>
      <c r="AC250" s="196"/>
      <c r="AD250" s="196"/>
      <c r="AE250" s="196"/>
      <c r="AF250" s="237"/>
      <c r="AG250" s="196"/>
      <c r="AH250" s="196"/>
      <c r="AI250" s="232"/>
      <c r="AJ250" s="232"/>
      <c r="AK250" s="196"/>
      <c r="AL250" s="196"/>
      <c r="AM250" s="196"/>
      <c r="AN250" s="196"/>
      <c r="AO250" s="196"/>
      <c r="AP250" s="196"/>
      <c r="AQ250" s="196"/>
      <c r="AR250" s="237"/>
      <c r="AS250" s="223"/>
      <c r="AT250" s="223"/>
      <c r="AU250" s="223"/>
      <c r="AV250" s="223"/>
      <c r="AW250" s="238" t="str">
        <f>IFERROR(ROUNDDOWN((('Master File'!$AU250*100)/'Master File'!$AV250)-Master[[#This Row],[Quantity On Hand]],0),"")</f>
        <v/>
      </c>
      <c r="AX250" s="217"/>
      <c r="AY250" s="217"/>
      <c r="AZ250" s="217"/>
      <c r="BA250" s="196"/>
      <c r="BB250" s="236" t="str">
        <f t="shared" si="5"/>
        <v xml:space="preserve"> </v>
      </c>
      <c r="BC250" s="196"/>
      <c r="BD250" s="237"/>
      <c r="BE250" s="196"/>
      <c r="BF250" s="196"/>
      <c r="BG250" s="237"/>
      <c r="BH250" s="213"/>
      <c r="BI250" s="213"/>
      <c r="BJ250" s="213"/>
      <c r="BK250" s="196"/>
      <c r="BL250" s="196"/>
      <c r="BM250" s="196"/>
      <c r="BN250" s="196"/>
      <c r="BO250" s="196"/>
      <c r="BP250" s="237"/>
      <c r="BQ250" s="196"/>
    </row>
    <row r="251" spans="1:69" x14ac:dyDescent="0.25">
      <c r="A251" s="196"/>
      <c r="B251" s="196"/>
      <c r="C251" s="236" t="str">
        <f>IFERROR(LEFT(Master[[#This Row],[Taxon -Lookup Picker in GRIN]],FIND(" ",Master[[#This Row],[Taxon -Lookup Picker in GRIN]],1)-1),"")</f>
        <v/>
      </c>
      <c r="D251" s="237"/>
      <c r="E251" s="217"/>
      <c r="F251" s="217"/>
      <c r="G251" s="217"/>
      <c r="H251" s="196"/>
      <c r="I251" s="196"/>
      <c r="J251" s="196"/>
      <c r="K251" s="219"/>
      <c r="L251" s="196"/>
      <c r="M251" s="196"/>
      <c r="N251" s="196"/>
      <c r="O251" s="196"/>
      <c r="P251" s="219"/>
      <c r="Q251" s="219"/>
      <c r="R251" s="196"/>
      <c r="S251" s="233"/>
      <c r="T251" s="217"/>
      <c r="U251" s="196"/>
      <c r="V251" s="196"/>
      <c r="W251" s="196"/>
      <c r="X251" s="227" t="str">
        <f>IFERROR(CONVERT(#REF!,"ft","m"),"")</f>
        <v/>
      </c>
      <c r="Y251" s="234"/>
      <c r="Z251" s="234"/>
      <c r="AA251" s="235"/>
      <c r="AB251" s="196"/>
      <c r="AC251" s="196"/>
      <c r="AD251" s="196"/>
      <c r="AE251" s="196"/>
      <c r="AF251" s="237"/>
      <c r="AG251" s="196"/>
      <c r="AH251" s="196"/>
      <c r="AI251" s="232"/>
      <c r="AJ251" s="232"/>
      <c r="AK251" s="196"/>
      <c r="AL251" s="196"/>
      <c r="AM251" s="196"/>
      <c r="AN251" s="196"/>
      <c r="AO251" s="196"/>
      <c r="AP251" s="196"/>
      <c r="AQ251" s="196"/>
      <c r="AR251" s="237"/>
      <c r="AS251" s="223"/>
      <c r="AT251" s="223"/>
      <c r="AU251" s="223"/>
      <c r="AV251" s="223"/>
      <c r="AW251" s="238" t="str">
        <f>IFERROR(ROUNDDOWN((('Master File'!$AU251*100)/'Master File'!$AV251)-Master[[#This Row],[Quantity On Hand]],0),"")</f>
        <v/>
      </c>
      <c r="AX251" s="217"/>
      <c r="AY251" s="217"/>
      <c r="AZ251" s="217"/>
      <c r="BA251" s="196"/>
      <c r="BB251" s="236" t="str">
        <f t="shared" si="5"/>
        <v xml:space="preserve"> </v>
      </c>
      <c r="BC251" s="196"/>
      <c r="BD251" s="237"/>
      <c r="BE251" s="196"/>
      <c r="BF251" s="196"/>
      <c r="BG251" s="237"/>
      <c r="BH251" s="213"/>
      <c r="BI251" s="213"/>
      <c r="BJ251" s="213"/>
      <c r="BK251" s="196"/>
      <c r="BL251" s="196"/>
      <c r="BM251" s="196"/>
      <c r="BN251" s="196"/>
      <c r="BO251" s="196"/>
      <c r="BP251" s="237"/>
      <c r="BQ251" s="196"/>
    </row>
    <row r="252" spans="1:69" x14ac:dyDescent="0.25">
      <c r="A252" s="196"/>
      <c r="B252" s="196"/>
      <c r="C252" s="236" t="str">
        <f>IFERROR(LEFT(Master[[#This Row],[Taxon -Lookup Picker in GRIN]],FIND(" ",Master[[#This Row],[Taxon -Lookup Picker in GRIN]],1)-1),"")</f>
        <v/>
      </c>
      <c r="D252" s="237"/>
      <c r="E252" s="217"/>
      <c r="F252" s="217"/>
      <c r="G252" s="217"/>
      <c r="H252" s="196"/>
      <c r="I252" s="196"/>
      <c r="J252" s="196"/>
      <c r="K252" s="219"/>
      <c r="L252" s="196"/>
      <c r="M252" s="196"/>
      <c r="N252" s="196"/>
      <c r="O252" s="196"/>
      <c r="P252" s="219"/>
      <c r="Q252" s="219"/>
      <c r="R252" s="196"/>
      <c r="S252" s="233"/>
      <c r="T252" s="217"/>
      <c r="U252" s="196"/>
      <c r="V252" s="196"/>
      <c r="W252" s="196"/>
      <c r="X252" s="227" t="str">
        <f>IFERROR(CONVERT(#REF!,"ft","m"),"")</f>
        <v/>
      </c>
      <c r="Y252" s="234"/>
      <c r="Z252" s="234"/>
      <c r="AA252" s="235"/>
      <c r="AB252" s="196"/>
      <c r="AC252" s="196"/>
      <c r="AD252" s="196"/>
      <c r="AE252" s="196"/>
      <c r="AF252" s="237"/>
      <c r="AG252" s="196"/>
      <c r="AH252" s="196"/>
      <c r="AI252" s="232"/>
      <c r="AJ252" s="232"/>
      <c r="AK252" s="196"/>
      <c r="AL252" s="196"/>
      <c r="AM252" s="196"/>
      <c r="AN252" s="196"/>
      <c r="AO252" s="196"/>
      <c r="AP252" s="196"/>
      <c r="AQ252" s="196"/>
      <c r="AR252" s="237"/>
      <c r="AS252" s="223"/>
      <c r="AT252" s="223"/>
      <c r="AU252" s="223"/>
      <c r="AV252" s="223"/>
      <c r="AW252" s="238" t="str">
        <f>IFERROR(ROUNDDOWN((('Master File'!$AU252*100)/'Master File'!$AV252)-Master[[#This Row],[Quantity On Hand]],0),"")</f>
        <v/>
      </c>
      <c r="AX252" s="217"/>
      <c r="AY252" s="217"/>
      <c r="AZ252" s="217"/>
      <c r="BA252" s="196"/>
      <c r="BB252" s="236" t="str">
        <f t="shared" si="5"/>
        <v xml:space="preserve"> </v>
      </c>
      <c r="BC252" s="196"/>
      <c r="BD252" s="237"/>
      <c r="BE252" s="196"/>
      <c r="BF252" s="196"/>
      <c r="BG252" s="237"/>
      <c r="BH252" s="213"/>
      <c r="BI252" s="213"/>
      <c r="BJ252" s="213"/>
      <c r="BK252" s="196"/>
      <c r="BL252" s="196"/>
      <c r="BM252" s="196"/>
      <c r="BN252" s="196"/>
      <c r="BO252" s="196"/>
      <c r="BP252" s="237"/>
      <c r="BQ252" s="196"/>
    </row>
    <row r="253" spans="1:69" x14ac:dyDescent="0.25">
      <c r="A253" s="196"/>
      <c r="B253" s="196"/>
      <c r="C253" s="236" t="str">
        <f>IFERROR(LEFT(Master[[#This Row],[Taxon -Lookup Picker in GRIN]],FIND(" ",Master[[#This Row],[Taxon -Lookup Picker in GRIN]],1)-1),"")</f>
        <v/>
      </c>
      <c r="D253" s="237"/>
      <c r="E253" s="217"/>
      <c r="F253" s="217"/>
      <c r="G253" s="217"/>
      <c r="H253" s="196"/>
      <c r="I253" s="196"/>
      <c r="J253" s="196"/>
      <c r="K253" s="219"/>
      <c r="L253" s="196"/>
      <c r="M253" s="196"/>
      <c r="N253" s="196"/>
      <c r="O253" s="196"/>
      <c r="P253" s="219"/>
      <c r="Q253" s="219"/>
      <c r="R253" s="196"/>
      <c r="S253" s="233"/>
      <c r="T253" s="217"/>
      <c r="U253" s="196"/>
      <c r="V253" s="196"/>
      <c r="W253" s="196"/>
      <c r="X253" s="227" t="str">
        <f>IFERROR(CONVERT(#REF!,"ft","m"),"")</f>
        <v/>
      </c>
      <c r="Y253" s="234"/>
      <c r="Z253" s="234"/>
      <c r="AA253" s="235"/>
      <c r="AB253" s="196"/>
      <c r="AC253" s="196"/>
      <c r="AD253" s="196"/>
      <c r="AE253" s="196"/>
      <c r="AF253" s="237"/>
      <c r="AG253" s="196"/>
      <c r="AH253" s="196"/>
      <c r="AI253" s="232"/>
      <c r="AJ253" s="232"/>
      <c r="AK253" s="196"/>
      <c r="AL253" s="196"/>
      <c r="AM253" s="196"/>
      <c r="AN253" s="196"/>
      <c r="AO253" s="196"/>
      <c r="AP253" s="196"/>
      <c r="AQ253" s="196"/>
      <c r="AR253" s="237"/>
      <c r="AS253" s="223"/>
      <c r="AT253" s="223"/>
      <c r="AU253" s="223"/>
      <c r="AV253" s="223"/>
      <c r="AW253" s="238" t="str">
        <f>IFERROR(ROUNDDOWN((('Master File'!$AU253*100)/'Master File'!$AV253)-Master[[#This Row],[Quantity On Hand]],0),"")</f>
        <v/>
      </c>
      <c r="AX253" s="217"/>
      <c r="AY253" s="217"/>
      <c r="AZ253" s="217"/>
      <c r="BA253" s="196"/>
      <c r="BB253" s="236" t="str">
        <f t="shared" si="5"/>
        <v xml:space="preserve"> </v>
      </c>
      <c r="BC253" s="196"/>
      <c r="BD253" s="237"/>
      <c r="BE253" s="196"/>
      <c r="BF253" s="196"/>
      <c r="BG253" s="237"/>
      <c r="BH253" s="213"/>
      <c r="BI253" s="213"/>
      <c r="BJ253" s="213"/>
      <c r="BK253" s="196"/>
      <c r="BL253" s="196"/>
      <c r="BM253" s="196"/>
      <c r="BN253" s="196"/>
      <c r="BO253" s="196"/>
      <c r="BP253" s="237"/>
      <c r="BQ253" s="196"/>
    </row>
    <row r="254" spans="1:69" x14ac:dyDescent="0.25">
      <c r="A254" s="196"/>
      <c r="B254" s="196"/>
      <c r="C254" s="236" t="str">
        <f>IFERROR(LEFT(Master[[#This Row],[Taxon -Lookup Picker in GRIN]],FIND(" ",Master[[#This Row],[Taxon -Lookup Picker in GRIN]],1)-1),"")</f>
        <v/>
      </c>
      <c r="D254" s="237"/>
      <c r="E254" s="217"/>
      <c r="F254" s="217"/>
      <c r="G254" s="217"/>
      <c r="H254" s="196"/>
      <c r="I254" s="196"/>
      <c r="J254" s="196"/>
      <c r="K254" s="219"/>
      <c r="L254" s="196"/>
      <c r="M254" s="196"/>
      <c r="N254" s="196"/>
      <c r="O254" s="196"/>
      <c r="P254" s="219"/>
      <c r="Q254" s="219"/>
      <c r="R254" s="196"/>
      <c r="S254" s="233"/>
      <c r="T254" s="217"/>
      <c r="U254" s="196"/>
      <c r="V254" s="196"/>
      <c r="W254" s="196"/>
      <c r="X254" s="227" t="str">
        <f>IFERROR(CONVERT(#REF!,"ft","m"),"")</f>
        <v/>
      </c>
      <c r="Y254" s="234"/>
      <c r="Z254" s="234"/>
      <c r="AA254" s="235"/>
      <c r="AB254" s="196"/>
      <c r="AC254" s="196"/>
      <c r="AD254" s="196"/>
      <c r="AE254" s="196"/>
      <c r="AF254" s="237"/>
      <c r="AG254" s="196"/>
      <c r="AH254" s="196"/>
      <c r="AI254" s="232"/>
      <c r="AJ254" s="232"/>
      <c r="AK254" s="196"/>
      <c r="AL254" s="196"/>
      <c r="AM254" s="196"/>
      <c r="AN254" s="196"/>
      <c r="AO254" s="196"/>
      <c r="AP254" s="196"/>
      <c r="AQ254" s="196"/>
      <c r="AR254" s="237"/>
      <c r="AS254" s="223"/>
      <c r="AT254" s="223"/>
      <c r="AU254" s="223"/>
      <c r="AV254" s="223"/>
      <c r="AW254" s="238" t="str">
        <f>IFERROR(ROUNDDOWN((('Master File'!$AU254*100)/'Master File'!$AV254)-Master[[#This Row],[Quantity On Hand]],0),"")</f>
        <v/>
      </c>
      <c r="AX254" s="217"/>
      <c r="AY254" s="217"/>
      <c r="AZ254" s="217"/>
      <c r="BA254" s="196"/>
      <c r="BB254" s="236" t="str">
        <f t="shared" si="5"/>
        <v xml:space="preserve"> </v>
      </c>
      <c r="BC254" s="196"/>
      <c r="BD254" s="237"/>
      <c r="BE254" s="196"/>
      <c r="BF254" s="196"/>
      <c r="BG254" s="237"/>
      <c r="BH254" s="213"/>
      <c r="BI254" s="213"/>
      <c r="BJ254" s="213"/>
      <c r="BK254" s="196"/>
      <c r="BL254" s="196"/>
      <c r="BM254" s="196"/>
      <c r="BN254" s="196"/>
      <c r="BO254" s="196"/>
      <c r="BP254" s="237"/>
      <c r="BQ254" s="196"/>
    </row>
    <row r="255" spans="1:69" x14ac:dyDescent="0.25">
      <c r="A255" s="196"/>
      <c r="B255" s="196"/>
      <c r="C255" s="236" t="str">
        <f>IFERROR(LEFT(Master[[#This Row],[Taxon -Lookup Picker in GRIN]],FIND(" ",Master[[#This Row],[Taxon -Lookup Picker in GRIN]],1)-1),"")</f>
        <v/>
      </c>
      <c r="D255" s="237"/>
      <c r="E255" s="217"/>
      <c r="F255" s="217"/>
      <c r="G255" s="217"/>
      <c r="H255" s="196"/>
      <c r="I255" s="196"/>
      <c r="J255" s="196"/>
      <c r="K255" s="219"/>
      <c r="L255" s="196"/>
      <c r="M255" s="196"/>
      <c r="N255" s="196"/>
      <c r="O255" s="196"/>
      <c r="P255" s="219"/>
      <c r="Q255" s="219"/>
      <c r="R255" s="196"/>
      <c r="S255" s="233"/>
      <c r="T255" s="217"/>
      <c r="U255" s="196"/>
      <c r="V255" s="196"/>
      <c r="W255" s="196"/>
      <c r="X255" s="227" t="str">
        <f>IFERROR(CONVERT(#REF!,"ft","m"),"")</f>
        <v/>
      </c>
      <c r="Y255" s="234"/>
      <c r="Z255" s="234"/>
      <c r="AA255" s="235"/>
      <c r="AB255" s="196"/>
      <c r="AC255" s="196"/>
      <c r="AD255" s="196"/>
      <c r="AE255" s="196"/>
      <c r="AF255" s="237"/>
      <c r="AG255" s="196"/>
      <c r="AH255" s="196"/>
      <c r="AI255" s="232"/>
      <c r="AJ255" s="232"/>
      <c r="AK255" s="196"/>
      <c r="AL255" s="196"/>
      <c r="AM255" s="196"/>
      <c r="AN255" s="196"/>
      <c r="AO255" s="196"/>
      <c r="AP255" s="196"/>
      <c r="AQ255" s="196"/>
      <c r="AR255" s="237"/>
      <c r="AS255" s="223"/>
      <c r="AT255" s="223"/>
      <c r="AU255" s="223"/>
      <c r="AV255" s="223"/>
      <c r="AW255" s="238" t="str">
        <f>IFERROR(ROUNDDOWN((('Master File'!$AU255*100)/'Master File'!$AV255)-Master[[#This Row],[Quantity On Hand]],0),"")</f>
        <v/>
      </c>
      <c r="AX255" s="217"/>
      <c r="AY255" s="217"/>
      <c r="AZ255" s="217"/>
      <c r="BA255" s="196"/>
      <c r="BB255" s="236" t="str">
        <f t="shared" si="5"/>
        <v xml:space="preserve"> </v>
      </c>
      <c r="BC255" s="196"/>
      <c r="BD255" s="237"/>
      <c r="BE255" s="196"/>
      <c r="BF255" s="196"/>
      <c r="BG255" s="237"/>
      <c r="BH255" s="213"/>
      <c r="BI255" s="213"/>
      <c r="BJ255" s="213"/>
      <c r="BK255" s="196"/>
      <c r="BL255" s="196"/>
      <c r="BM255" s="196"/>
      <c r="BN255" s="196"/>
      <c r="BO255" s="196"/>
      <c r="BP255" s="237"/>
      <c r="BQ255" s="196"/>
    </row>
    <row r="256" spans="1:69" x14ac:dyDescent="0.25">
      <c r="A256" s="196"/>
      <c r="B256" s="196"/>
      <c r="C256" s="236" t="str">
        <f>IFERROR(LEFT(Master[[#This Row],[Taxon -Lookup Picker in GRIN]],FIND(" ",Master[[#This Row],[Taxon -Lookup Picker in GRIN]],1)-1),"")</f>
        <v/>
      </c>
      <c r="D256" s="237"/>
      <c r="E256" s="217"/>
      <c r="F256" s="217"/>
      <c r="G256" s="217"/>
      <c r="H256" s="196"/>
      <c r="I256" s="196"/>
      <c r="J256" s="196"/>
      <c r="K256" s="219"/>
      <c r="L256" s="196"/>
      <c r="M256" s="196"/>
      <c r="N256" s="196"/>
      <c r="O256" s="196"/>
      <c r="P256" s="219"/>
      <c r="Q256" s="219"/>
      <c r="R256" s="196"/>
      <c r="S256" s="233"/>
      <c r="T256" s="217"/>
      <c r="U256" s="196"/>
      <c r="V256" s="196"/>
      <c r="W256" s="196"/>
      <c r="X256" s="227" t="str">
        <f>IFERROR(CONVERT(#REF!,"ft","m"),"")</f>
        <v/>
      </c>
      <c r="Y256" s="234"/>
      <c r="Z256" s="234"/>
      <c r="AA256" s="235"/>
      <c r="AB256" s="196"/>
      <c r="AC256" s="196"/>
      <c r="AD256" s="196"/>
      <c r="AE256" s="196"/>
      <c r="AF256" s="237"/>
      <c r="AG256" s="196"/>
      <c r="AH256" s="196"/>
      <c r="AI256" s="232"/>
      <c r="AJ256" s="232"/>
      <c r="AK256" s="196"/>
      <c r="AL256" s="196"/>
      <c r="AM256" s="196"/>
      <c r="AN256" s="196"/>
      <c r="AO256" s="196"/>
      <c r="AP256" s="196"/>
      <c r="AQ256" s="196"/>
      <c r="AR256" s="237"/>
      <c r="AS256" s="223"/>
      <c r="AT256" s="223"/>
      <c r="AU256" s="223"/>
      <c r="AV256" s="223"/>
      <c r="AW256" s="238" t="str">
        <f>IFERROR(ROUNDDOWN((('Master File'!$AU256*100)/'Master File'!$AV256)-Master[[#This Row],[Quantity On Hand]],0),"")</f>
        <v/>
      </c>
      <c r="AX256" s="217"/>
      <c r="AY256" s="217"/>
      <c r="AZ256" s="217"/>
      <c r="BA256" s="196"/>
      <c r="BB256" s="236" t="str">
        <f t="shared" si="5"/>
        <v xml:space="preserve"> </v>
      </c>
      <c r="BC256" s="196"/>
      <c r="BD256" s="237"/>
      <c r="BE256" s="196"/>
      <c r="BF256" s="196"/>
      <c r="BG256" s="237"/>
      <c r="BH256" s="213"/>
      <c r="BI256" s="213"/>
      <c r="BJ256" s="213"/>
      <c r="BK256" s="196"/>
      <c r="BL256" s="196"/>
      <c r="BM256" s="196"/>
      <c r="BN256" s="196"/>
      <c r="BO256" s="196"/>
      <c r="BP256" s="237"/>
      <c r="BQ256" s="196"/>
    </row>
    <row r="257" spans="1:69" x14ac:dyDescent="0.25">
      <c r="A257" s="196"/>
      <c r="B257" s="196"/>
      <c r="C257" s="236" t="str">
        <f>IFERROR(LEFT(Master[[#This Row],[Taxon -Lookup Picker in GRIN]],FIND(" ",Master[[#This Row],[Taxon -Lookup Picker in GRIN]],1)-1),"")</f>
        <v/>
      </c>
      <c r="D257" s="237"/>
      <c r="E257" s="217"/>
      <c r="F257" s="217"/>
      <c r="G257" s="217"/>
      <c r="H257" s="196"/>
      <c r="I257" s="196"/>
      <c r="J257" s="196"/>
      <c r="K257" s="219"/>
      <c r="L257" s="196"/>
      <c r="M257" s="196"/>
      <c r="N257" s="196"/>
      <c r="O257" s="196"/>
      <c r="P257" s="219"/>
      <c r="Q257" s="219"/>
      <c r="R257" s="196"/>
      <c r="S257" s="233"/>
      <c r="T257" s="217"/>
      <c r="U257" s="196"/>
      <c r="V257" s="196"/>
      <c r="W257" s="196"/>
      <c r="X257" s="227" t="str">
        <f>IFERROR(CONVERT(#REF!,"ft","m"),"")</f>
        <v/>
      </c>
      <c r="Y257" s="234"/>
      <c r="Z257" s="234"/>
      <c r="AA257" s="235"/>
      <c r="AB257" s="196"/>
      <c r="AC257" s="196"/>
      <c r="AD257" s="196"/>
      <c r="AE257" s="196"/>
      <c r="AF257" s="237"/>
      <c r="AG257" s="196"/>
      <c r="AH257" s="196"/>
      <c r="AI257" s="232"/>
      <c r="AJ257" s="232"/>
      <c r="AK257" s="196"/>
      <c r="AL257" s="196"/>
      <c r="AM257" s="196"/>
      <c r="AN257" s="196"/>
      <c r="AO257" s="196"/>
      <c r="AP257" s="196"/>
      <c r="AQ257" s="196"/>
      <c r="AR257" s="237"/>
      <c r="AS257" s="223"/>
      <c r="AT257" s="223"/>
      <c r="AU257" s="223"/>
      <c r="AV257" s="223"/>
      <c r="AW257" s="238" t="str">
        <f>IFERROR(ROUNDDOWN((('Master File'!$AU257*100)/'Master File'!$AV257)-Master[[#This Row],[Quantity On Hand]],0),"")</f>
        <v/>
      </c>
      <c r="AX257" s="217"/>
      <c r="AY257" s="217"/>
      <c r="AZ257" s="217"/>
      <c r="BA257" s="196"/>
      <c r="BB257" s="236" t="str">
        <f t="shared" si="5"/>
        <v xml:space="preserve"> </v>
      </c>
      <c r="BC257" s="196"/>
      <c r="BD257" s="237"/>
      <c r="BE257" s="196"/>
      <c r="BF257" s="196"/>
      <c r="BG257" s="237"/>
      <c r="BH257" s="213"/>
      <c r="BI257" s="213"/>
      <c r="BJ257" s="213"/>
      <c r="BK257" s="196"/>
      <c r="BL257" s="196"/>
      <c r="BM257" s="196"/>
      <c r="BN257" s="196"/>
      <c r="BO257" s="196"/>
      <c r="BP257" s="237"/>
      <c r="BQ257" s="196"/>
    </row>
    <row r="258" spans="1:69" x14ac:dyDescent="0.25">
      <c r="A258" s="196"/>
      <c r="B258" s="196"/>
      <c r="C258" s="236" t="str">
        <f>IFERROR(LEFT(Master[[#This Row],[Taxon -Lookup Picker in GRIN]],FIND(" ",Master[[#This Row],[Taxon -Lookup Picker in GRIN]],1)-1),"")</f>
        <v/>
      </c>
      <c r="D258" s="237"/>
      <c r="E258" s="217"/>
      <c r="F258" s="217"/>
      <c r="G258" s="217"/>
      <c r="H258" s="196"/>
      <c r="I258" s="196"/>
      <c r="J258" s="196"/>
      <c r="K258" s="219"/>
      <c r="L258" s="196"/>
      <c r="M258" s="196"/>
      <c r="N258" s="196"/>
      <c r="O258" s="196"/>
      <c r="P258" s="219"/>
      <c r="Q258" s="219"/>
      <c r="R258" s="196"/>
      <c r="S258" s="233"/>
      <c r="T258" s="217"/>
      <c r="U258" s="196"/>
      <c r="V258" s="196"/>
      <c r="W258" s="196"/>
      <c r="X258" s="227" t="str">
        <f>IFERROR(CONVERT(#REF!,"ft","m"),"")</f>
        <v/>
      </c>
      <c r="Y258" s="234"/>
      <c r="Z258" s="234"/>
      <c r="AA258" s="235"/>
      <c r="AB258" s="196"/>
      <c r="AC258" s="196"/>
      <c r="AD258" s="196"/>
      <c r="AE258" s="196"/>
      <c r="AF258" s="237"/>
      <c r="AG258" s="196"/>
      <c r="AH258" s="196"/>
      <c r="AI258" s="232"/>
      <c r="AJ258" s="232"/>
      <c r="AK258" s="196"/>
      <c r="AL258" s="196"/>
      <c r="AM258" s="196"/>
      <c r="AN258" s="196"/>
      <c r="AO258" s="196"/>
      <c r="AP258" s="196"/>
      <c r="AQ258" s="196"/>
      <c r="AR258" s="237"/>
      <c r="AS258" s="223"/>
      <c r="AT258" s="223"/>
      <c r="AU258" s="223"/>
      <c r="AV258" s="223"/>
      <c r="AW258" s="238" t="str">
        <f>IFERROR(ROUNDDOWN((('Master File'!$AU258*100)/'Master File'!$AV258)-Master[[#This Row],[Quantity On Hand]],0),"")</f>
        <v/>
      </c>
      <c r="AX258" s="217"/>
      <c r="AY258" s="217"/>
      <c r="AZ258" s="217"/>
      <c r="BA258" s="196"/>
      <c r="BB258" s="236" t="str">
        <f t="shared" si="5"/>
        <v xml:space="preserve"> </v>
      </c>
      <c r="BC258" s="196"/>
      <c r="BD258" s="237"/>
      <c r="BE258" s="196"/>
      <c r="BF258" s="196"/>
      <c r="BG258" s="237"/>
      <c r="BH258" s="213"/>
      <c r="BI258" s="213"/>
      <c r="BJ258" s="213"/>
      <c r="BK258" s="196"/>
      <c r="BL258" s="196"/>
      <c r="BM258" s="196"/>
      <c r="BN258" s="196"/>
      <c r="BO258" s="196"/>
      <c r="BP258" s="237"/>
      <c r="BQ258" s="196"/>
    </row>
    <row r="259" spans="1:69" x14ac:dyDescent="0.25">
      <c r="A259" s="196"/>
      <c r="B259" s="196"/>
      <c r="C259" s="236" t="str">
        <f>IFERROR(LEFT(Master[[#This Row],[Taxon -Lookup Picker in GRIN]],FIND(" ",Master[[#This Row],[Taxon -Lookup Picker in GRIN]],1)-1),"")</f>
        <v/>
      </c>
      <c r="D259" s="237"/>
      <c r="E259" s="217"/>
      <c r="F259" s="217"/>
      <c r="G259" s="217"/>
      <c r="H259" s="196"/>
      <c r="I259" s="196"/>
      <c r="J259" s="196"/>
      <c r="K259" s="219"/>
      <c r="L259" s="196"/>
      <c r="M259" s="196"/>
      <c r="N259" s="196"/>
      <c r="O259" s="196"/>
      <c r="P259" s="219"/>
      <c r="Q259" s="219"/>
      <c r="R259" s="196"/>
      <c r="S259" s="233"/>
      <c r="T259" s="217"/>
      <c r="U259" s="196"/>
      <c r="V259" s="196"/>
      <c r="W259" s="196"/>
      <c r="X259" s="227" t="str">
        <f>IFERROR(CONVERT(#REF!,"ft","m"),"")</f>
        <v/>
      </c>
      <c r="Y259" s="234"/>
      <c r="Z259" s="234"/>
      <c r="AA259" s="235"/>
      <c r="AB259" s="196"/>
      <c r="AC259" s="196"/>
      <c r="AD259" s="196"/>
      <c r="AE259" s="196"/>
      <c r="AF259" s="237"/>
      <c r="AG259" s="196"/>
      <c r="AH259" s="196"/>
      <c r="AI259" s="232"/>
      <c r="AJ259" s="232"/>
      <c r="AK259" s="196"/>
      <c r="AL259" s="196"/>
      <c r="AM259" s="196"/>
      <c r="AN259" s="196"/>
      <c r="AO259" s="196"/>
      <c r="AP259" s="196"/>
      <c r="AQ259" s="196"/>
      <c r="AR259" s="237"/>
      <c r="AS259" s="223"/>
      <c r="AT259" s="223"/>
      <c r="AU259" s="223"/>
      <c r="AV259" s="223"/>
      <c r="AW259" s="238" t="str">
        <f>IFERROR(ROUNDDOWN((('Master File'!$AU259*100)/'Master File'!$AV259)-Master[[#This Row],[Quantity On Hand]],0),"")</f>
        <v/>
      </c>
      <c r="AX259" s="217"/>
      <c r="AY259" s="217"/>
      <c r="AZ259" s="217"/>
      <c r="BA259" s="196"/>
      <c r="BB259" s="236" t="str">
        <f t="shared" si="5"/>
        <v xml:space="preserve"> </v>
      </c>
      <c r="BC259" s="196"/>
      <c r="BD259" s="237"/>
      <c r="BE259" s="196"/>
      <c r="BF259" s="196"/>
      <c r="BG259" s="237"/>
      <c r="BH259" s="213"/>
      <c r="BI259" s="213"/>
      <c r="BJ259" s="213"/>
      <c r="BK259" s="196"/>
      <c r="BL259" s="196"/>
      <c r="BM259" s="196"/>
      <c r="BN259" s="196"/>
      <c r="BO259" s="196"/>
      <c r="BP259" s="237"/>
      <c r="BQ259" s="196"/>
    </row>
    <row r="260" spans="1:69" x14ac:dyDescent="0.25">
      <c r="A260" s="196"/>
      <c r="B260" s="196"/>
      <c r="C260" s="236" t="str">
        <f>IFERROR(LEFT(Master[[#This Row],[Taxon -Lookup Picker in GRIN]],FIND(" ",Master[[#This Row],[Taxon -Lookup Picker in GRIN]],1)-1),"")</f>
        <v/>
      </c>
      <c r="D260" s="237"/>
      <c r="E260" s="217"/>
      <c r="F260" s="217"/>
      <c r="G260" s="217"/>
      <c r="H260" s="196"/>
      <c r="I260" s="196"/>
      <c r="J260" s="196"/>
      <c r="K260" s="219"/>
      <c r="L260" s="196"/>
      <c r="M260" s="196"/>
      <c r="N260" s="196"/>
      <c r="O260" s="196"/>
      <c r="P260" s="219"/>
      <c r="Q260" s="219"/>
      <c r="R260" s="196"/>
      <c r="S260" s="233"/>
      <c r="T260" s="217"/>
      <c r="U260" s="196"/>
      <c r="V260" s="196"/>
      <c r="W260" s="196"/>
      <c r="X260" s="227" t="str">
        <f>IFERROR(CONVERT(#REF!,"ft","m"),"")</f>
        <v/>
      </c>
      <c r="Y260" s="234"/>
      <c r="Z260" s="234"/>
      <c r="AA260" s="235"/>
      <c r="AB260" s="196"/>
      <c r="AC260" s="196"/>
      <c r="AD260" s="196"/>
      <c r="AE260" s="196"/>
      <c r="AF260" s="237"/>
      <c r="AG260" s="196"/>
      <c r="AH260" s="196"/>
      <c r="AI260" s="232"/>
      <c r="AJ260" s="232"/>
      <c r="AK260" s="196"/>
      <c r="AL260" s="196"/>
      <c r="AM260" s="196"/>
      <c r="AN260" s="196"/>
      <c r="AO260" s="196"/>
      <c r="AP260" s="196"/>
      <c r="AQ260" s="196"/>
      <c r="AR260" s="237"/>
      <c r="AS260" s="223"/>
      <c r="AT260" s="223"/>
      <c r="AU260" s="223"/>
      <c r="AV260" s="223"/>
      <c r="AW260" s="238" t="str">
        <f>IFERROR(ROUNDDOWN((('Master File'!$AU260*100)/'Master File'!$AV260)-Master[[#This Row],[Quantity On Hand]],0),"")</f>
        <v/>
      </c>
      <c r="AX260" s="217"/>
      <c r="AY260" s="217"/>
      <c r="AZ260" s="217"/>
      <c r="BA260" s="196"/>
      <c r="BB260" s="236" t="str">
        <f t="shared" si="5"/>
        <v xml:space="preserve"> </v>
      </c>
      <c r="BC260" s="196"/>
      <c r="BD260" s="237"/>
      <c r="BE260" s="196"/>
      <c r="BF260" s="196"/>
      <c r="BG260" s="237"/>
      <c r="BH260" s="213"/>
      <c r="BI260" s="213"/>
      <c r="BJ260" s="213"/>
      <c r="BK260" s="196"/>
      <c r="BL260" s="196"/>
      <c r="BM260" s="196"/>
      <c r="BN260" s="196"/>
      <c r="BO260" s="196"/>
      <c r="BP260" s="237"/>
      <c r="BQ260" s="196"/>
    </row>
    <row r="261" spans="1:69" x14ac:dyDescent="0.25">
      <c r="A261" s="196"/>
      <c r="B261" s="196"/>
      <c r="C261" s="236" t="str">
        <f>IFERROR(LEFT(Master[[#This Row],[Taxon -Lookup Picker in GRIN]],FIND(" ",Master[[#This Row],[Taxon -Lookup Picker in GRIN]],1)-1),"")</f>
        <v/>
      </c>
      <c r="D261" s="237"/>
      <c r="E261" s="217"/>
      <c r="F261" s="217"/>
      <c r="G261" s="217"/>
      <c r="H261" s="196"/>
      <c r="I261" s="196"/>
      <c r="J261" s="196"/>
      <c r="K261" s="219"/>
      <c r="L261" s="196"/>
      <c r="M261" s="196"/>
      <c r="N261" s="196"/>
      <c r="O261" s="196"/>
      <c r="P261" s="219"/>
      <c r="Q261" s="219"/>
      <c r="R261" s="196"/>
      <c r="S261" s="233"/>
      <c r="T261" s="217"/>
      <c r="U261" s="196"/>
      <c r="V261" s="196"/>
      <c r="W261" s="196"/>
      <c r="X261" s="227" t="str">
        <f>IFERROR(CONVERT(#REF!,"ft","m"),"")</f>
        <v/>
      </c>
      <c r="Y261" s="234"/>
      <c r="Z261" s="234"/>
      <c r="AA261" s="235"/>
      <c r="AB261" s="196"/>
      <c r="AC261" s="196"/>
      <c r="AD261" s="196"/>
      <c r="AE261" s="196"/>
      <c r="AF261" s="237"/>
      <c r="AG261" s="196"/>
      <c r="AH261" s="196"/>
      <c r="AI261" s="232"/>
      <c r="AJ261" s="232"/>
      <c r="AK261" s="196"/>
      <c r="AL261" s="196"/>
      <c r="AM261" s="196"/>
      <c r="AN261" s="196"/>
      <c r="AO261" s="196"/>
      <c r="AP261" s="196"/>
      <c r="AQ261" s="196"/>
      <c r="AR261" s="237"/>
      <c r="AS261" s="223"/>
      <c r="AT261" s="223"/>
      <c r="AU261" s="223"/>
      <c r="AV261" s="223"/>
      <c r="AW261" s="238" t="str">
        <f>IFERROR(ROUNDDOWN((('Master File'!$AU261*100)/'Master File'!$AV261)-Master[[#This Row],[Quantity On Hand]],0),"")</f>
        <v/>
      </c>
      <c r="AX261" s="217"/>
      <c r="AY261" s="217"/>
      <c r="AZ261" s="217"/>
      <c r="BA261" s="196"/>
      <c r="BB261" s="236" t="str">
        <f t="shared" si="5"/>
        <v xml:space="preserve"> </v>
      </c>
      <c r="BC261" s="196"/>
      <c r="BD261" s="237"/>
      <c r="BE261" s="196"/>
      <c r="BF261" s="196"/>
      <c r="BG261" s="237"/>
      <c r="BH261" s="213"/>
      <c r="BI261" s="213"/>
      <c r="BJ261" s="213"/>
      <c r="BK261" s="196"/>
      <c r="BL261" s="196"/>
      <c r="BM261" s="196"/>
      <c r="BN261" s="196"/>
      <c r="BO261" s="196"/>
      <c r="BP261" s="237"/>
      <c r="BQ261" s="196"/>
    </row>
    <row r="262" spans="1:69" x14ac:dyDescent="0.25">
      <c r="A262" s="196"/>
      <c r="B262" s="196"/>
      <c r="C262" s="236" t="str">
        <f>IFERROR(LEFT(Master[[#This Row],[Taxon -Lookup Picker in GRIN]],FIND(" ",Master[[#This Row],[Taxon -Lookup Picker in GRIN]],1)-1),"")</f>
        <v/>
      </c>
      <c r="D262" s="237"/>
      <c r="E262" s="217"/>
      <c r="F262" s="217"/>
      <c r="G262" s="217"/>
      <c r="H262" s="196"/>
      <c r="I262" s="196"/>
      <c r="J262" s="196"/>
      <c r="K262" s="219"/>
      <c r="L262" s="196"/>
      <c r="M262" s="196"/>
      <c r="N262" s="196"/>
      <c r="O262" s="196"/>
      <c r="P262" s="219"/>
      <c r="Q262" s="219"/>
      <c r="R262" s="196"/>
      <c r="S262" s="233"/>
      <c r="T262" s="217"/>
      <c r="U262" s="196"/>
      <c r="V262" s="196"/>
      <c r="W262" s="196"/>
      <c r="X262" s="227" t="str">
        <f>IFERROR(CONVERT(#REF!,"ft","m"),"")</f>
        <v/>
      </c>
      <c r="Y262" s="234"/>
      <c r="Z262" s="234"/>
      <c r="AA262" s="235"/>
      <c r="AB262" s="196"/>
      <c r="AC262" s="196"/>
      <c r="AD262" s="196"/>
      <c r="AE262" s="196"/>
      <c r="AF262" s="237"/>
      <c r="AG262" s="196"/>
      <c r="AH262" s="196"/>
      <c r="AI262" s="232"/>
      <c r="AJ262" s="232"/>
      <c r="AK262" s="196"/>
      <c r="AL262" s="196"/>
      <c r="AM262" s="196"/>
      <c r="AN262" s="196"/>
      <c r="AO262" s="196"/>
      <c r="AP262" s="196"/>
      <c r="AQ262" s="196"/>
      <c r="AR262" s="237"/>
      <c r="AS262" s="223"/>
      <c r="AT262" s="223"/>
      <c r="AU262" s="223"/>
      <c r="AV262" s="223"/>
      <c r="AW262" s="238" t="str">
        <f>IFERROR(ROUNDDOWN((('Master File'!$AU262*100)/'Master File'!$AV262)-Master[[#This Row],[Quantity On Hand]],0),"")</f>
        <v/>
      </c>
      <c r="AX262" s="217"/>
      <c r="AY262" s="217"/>
      <c r="AZ262" s="217"/>
      <c r="BA262" s="196"/>
      <c r="BB262" s="236" t="str">
        <f t="shared" si="5"/>
        <v xml:space="preserve"> </v>
      </c>
      <c r="BC262" s="196"/>
      <c r="BD262" s="237"/>
      <c r="BE262" s="196"/>
      <c r="BF262" s="196"/>
      <c r="BG262" s="237"/>
      <c r="BH262" s="213"/>
      <c r="BI262" s="213"/>
      <c r="BJ262" s="213"/>
      <c r="BK262" s="196"/>
      <c r="BL262" s="196"/>
      <c r="BM262" s="196"/>
      <c r="BN262" s="196"/>
      <c r="BO262" s="196"/>
      <c r="BP262" s="237"/>
      <c r="BQ262" s="196"/>
    </row>
    <row r="263" spans="1:69" x14ac:dyDescent="0.25">
      <c r="A263" s="196"/>
      <c r="B263" s="196"/>
      <c r="C263" s="236" t="str">
        <f>IFERROR(LEFT(Master[[#This Row],[Taxon -Lookup Picker in GRIN]],FIND(" ",Master[[#This Row],[Taxon -Lookup Picker in GRIN]],1)-1),"")</f>
        <v/>
      </c>
      <c r="D263" s="237"/>
      <c r="E263" s="217"/>
      <c r="F263" s="217"/>
      <c r="G263" s="217"/>
      <c r="H263" s="196"/>
      <c r="I263" s="196"/>
      <c r="J263" s="196"/>
      <c r="K263" s="219"/>
      <c r="L263" s="196"/>
      <c r="M263" s="196"/>
      <c r="N263" s="196"/>
      <c r="O263" s="196"/>
      <c r="P263" s="219"/>
      <c r="Q263" s="219"/>
      <c r="R263" s="196"/>
      <c r="S263" s="233"/>
      <c r="T263" s="217"/>
      <c r="U263" s="196"/>
      <c r="V263" s="196"/>
      <c r="W263" s="196"/>
      <c r="X263" s="227" t="str">
        <f>IFERROR(CONVERT(#REF!,"ft","m"),"")</f>
        <v/>
      </c>
      <c r="Y263" s="234"/>
      <c r="Z263" s="234"/>
      <c r="AA263" s="235"/>
      <c r="AB263" s="196"/>
      <c r="AC263" s="196"/>
      <c r="AD263" s="196"/>
      <c r="AE263" s="196"/>
      <c r="AF263" s="237"/>
      <c r="AG263" s="196"/>
      <c r="AH263" s="196"/>
      <c r="AI263" s="232"/>
      <c r="AJ263" s="232"/>
      <c r="AK263" s="196"/>
      <c r="AL263" s="196"/>
      <c r="AM263" s="196"/>
      <c r="AN263" s="196"/>
      <c r="AO263" s="196"/>
      <c r="AP263" s="196"/>
      <c r="AQ263" s="196"/>
      <c r="AR263" s="237"/>
      <c r="AS263" s="223"/>
      <c r="AT263" s="223"/>
      <c r="AU263" s="223"/>
      <c r="AV263" s="223"/>
      <c r="AW263" s="238" t="str">
        <f>IFERROR(ROUNDDOWN((('Master File'!$AU263*100)/'Master File'!$AV263)-Master[[#This Row],[Quantity On Hand]],0),"")</f>
        <v/>
      </c>
      <c r="AX263" s="217"/>
      <c r="AY263" s="217"/>
      <c r="AZ263" s="217"/>
      <c r="BA263" s="196"/>
      <c r="BB263" s="236" t="str">
        <f t="shared" si="5"/>
        <v xml:space="preserve"> </v>
      </c>
      <c r="BC263" s="196"/>
      <c r="BD263" s="237"/>
      <c r="BE263" s="196"/>
      <c r="BF263" s="196"/>
      <c r="BG263" s="237"/>
      <c r="BH263" s="213"/>
      <c r="BI263" s="213"/>
      <c r="BJ263" s="213"/>
      <c r="BK263" s="196"/>
      <c r="BL263" s="196"/>
      <c r="BM263" s="196"/>
      <c r="BN263" s="196"/>
      <c r="BO263" s="196"/>
      <c r="BP263" s="237"/>
      <c r="BQ263" s="196"/>
    </row>
    <row r="264" spans="1:69" x14ac:dyDescent="0.25">
      <c r="A264" s="196"/>
      <c r="B264" s="196"/>
      <c r="C264" s="236" t="str">
        <f>IFERROR(LEFT(Master[[#This Row],[Taxon -Lookup Picker in GRIN]],FIND(" ",Master[[#This Row],[Taxon -Lookup Picker in GRIN]],1)-1),"")</f>
        <v/>
      </c>
      <c r="D264" s="237"/>
      <c r="E264" s="217"/>
      <c r="F264" s="217"/>
      <c r="G264" s="217"/>
      <c r="H264" s="196"/>
      <c r="I264" s="196"/>
      <c r="J264" s="196"/>
      <c r="K264" s="219"/>
      <c r="L264" s="196"/>
      <c r="M264" s="196"/>
      <c r="N264" s="196"/>
      <c r="O264" s="196"/>
      <c r="P264" s="219"/>
      <c r="Q264" s="219"/>
      <c r="R264" s="196"/>
      <c r="S264" s="233"/>
      <c r="T264" s="217"/>
      <c r="U264" s="196"/>
      <c r="V264" s="196"/>
      <c r="W264" s="196"/>
      <c r="X264" s="227" t="str">
        <f>IFERROR(CONVERT(#REF!,"ft","m"),"")</f>
        <v/>
      </c>
      <c r="Y264" s="234"/>
      <c r="Z264" s="234"/>
      <c r="AA264" s="235"/>
      <c r="AB264" s="196"/>
      <c r="AC264" s="196"/>
      <c r="AD264" s="196"/>
      <c r="AE264" s="196"/>
      <c r="AF264" s="237"/>
      <c r="AG264" s="196"/>
      <c r="AH264" s="196"/>
      <c r="AI264" s="232"/>
      <c r="AJ264" s="232"/>
      <c r="AK264" s="196"/>
      <c r="AL264" s="196"/>
      <c r="AM264" s="196"/>
      <c r="AN264" s="196"/>
      <c r="AO264" s="196"/>
      <c r="AP264" s="196"/>
      <c r="AQ264" s="196"/>
      <c r="AR264" s="237"/>
      <c r="AS264" s="223"/>
      <c r="AT264" s="223"/>
      <c r="AU264" s="223"/>
      <c r="AV264" s="223"/>
      <c r="AW264" s="238" t="str">
        <f>IFERROR(ROUNDDOWN((('Master File'!$AU264*100)/'Master File'!$AV264)-Master[[#This Row],[Quantity On Hand]],0),"")</f>
        <v/>
      </c>
      <c r="AX264" s="217"/>
      <c r="AY264" s="217"/>
      <c r="AZ264" s="217"/>
      <c r="BA264" s="196"/>
      <c r="BB264" s="236" t="str">
        <f t="shared" si="5"/>
        <v xml:space="preserve"> </v>
      </c>
      <c r="BC264" s="196"/>
      <c r="BD264" s="237"/>
      <c r="BE264" s="196"/>
      <c r="BF264" s="196"/>
      <c r="BG264" s="237"/>
      <c r="BH264" s="213"/>
      <c r="BI264" s="213"/>
      <c r="BJ264" s="213"/>
      <c r="BK264" s="196"/>
      <c r="BL264" s="196"/>
      <c r="BM264" s="196"/>
      <c r="BN264" s="196"/>
      <c r="BO264" s="196"/>
      <c r="BP264" s="237"/>
      <c r="BQ264" s="196"/>
    </row>
    <row r="265" spans="1:69" x14ac:dyDescent="0.25">
      <c r="A265" s="196"/>
      <c r="B265" s="196"/>
      <c r="C265" s="236" t="str">
        <f>IFERROR(LEFT(Master[[#This Row],[Taxon -Lookup Picker in GRIN]],FIND(" ",Master[[#This Row],[Taxon -Lookup Picker in GRIN]],1)-1),"")</f>
        <v/>
      </c>
      <c r="D265" s="237"/>
      <c r="E265" s="217"/>
      <c r="F265" s="217"/>
      <c r="G265" s="217"/>
      <c r="H265" s="196"/>
      <c r="I265" s="196"/>
      <c r="J265" s="196"/>
      <c r="K265" s="219"/>
      <c r="L265" s="196"/>
      <c r="M265" s="196"/>
      <c r="N265" s="196"/>
      <c r="O265" s="196"/>
      <c r="P265" s="219"/>
      <c r="Q265" s="219"/>
      <c r="R265" s="196"/>
      <c r="S265" s="233"/>
      <c r="T265" s="217"/>
      <c r="U265" s="196"/>
      <c r="V265" s="196"/>
      <c r="W265" s="196"/>
      <c r="X265" s="227" t="str">
        <f>IFERROR(CONVERT(#REF!,"ft","m"),"")</f>
        <v/>
      </c>
      <c r="Y265" s="234"/>
      <c r="Z265" s="234"/>
      <c r="AA265" s="235"/>
      <c r="AB265" s="196"/>
      <c r="AC265" s="196"/>
      <c r="AD265" s="196"/>
      <c r="AE265" s="196"/>
      <c r="AF265" s="237"/>
      <c r="AG265" s="196"/>
      <c r="AH265" s="196"/>
      <c r="AI265" s="232"/>
      <c r="AJ265" s="232"/>
      <c r="AK265" s="196"/>
      <c r="AL265" s="196"/>
      <c r="AM265" s="196"/>
      <c r="AN265" s="196"/>
      <c r="AO265" s="196"/>
      <c r="AP265" s="196"/>
      <c r="AQ265" s="196"/>
      <c r="AR265" s="237"/>
      <c r="AS265" s="223"/>
      <c r="AT265" s="223"/>
      <c r="AU265" s="223"/>
      <c r="AV265" s="223"/>
      <c r="AW265" s="238" t="str">
        <f>IFERROR(ROUNDDOWN((('Master File'!$AU265*100)/'Master File'!$AV265)-Master[[#This Row],[Quantity On Hand]],0),"")</f>
        <v/>
      </c>
      <c r="AX265" s="217"/>
      <c r="AY265" s="217"/>
      <c r="AZ265" s="217"/>
      <c r="BA265" s="196"/>
      <c r="BB265" s="236" t="str">
        <f t="shared" ref="BB265:BB281" si="6">CONCATENATE(D265," ",E265)</f>
        <v xml:space="preserve"> </v>
      </c>
      <c r="BC265" s="196"/>
      <c r="BD265" s="237"/>
      <c r="BE265" s="196"/>
      <c r="BF265" s="196"/>
      <c r="BG265" s="237"/>
      <c r="BH265" s="213"/>
      <c r="BI265" s="213"/>
      <c r="BJ265" s="213"/>
      <c r="BK265" s="196"/>
      <c r="BL265" s="196"/>
      <c r="BM265" s="196"/>
      <c r="BN265" s="196"/>
      <c r="BO265" s="196"/>
      <c r="BP265" s="237"/>
      <c r="BQ265" s="196"/>
    </row>
    <row r="266" spans="1:69" x14ac:dyDescent="0.25">
      <c r="A266" s="196"/>
      <c r="B266" s="196"/>
      <c r="C266" s="236" t="str">
        <f>IFERROR(LEFT(Master[[#This Row],[Taxon -Lookup Picker in GRIN]],FIND(" ",Master[[#This Row],[Taxon -Lookup Picker in GRIN]],1)-1),"")</f>
        <v/>
      </c>
      <c r="D266" s="237"/>
      <c r="E266" s="217"/>
      <c r="F266" s="217"/>
      <c r="G266" s="217"/>
      <c r="H266" s="196"/>
      <c r="I266" s="196"/>
      <c r="J266" s="196"/>
      <c r="K266" s="219"/>
      <c r="L266" s="196"/>
      <c r="M266" s="196"/>
      <c r="N266" s="196"/>
      <c r="O266" s="196"/>
      <c r="P266" s="219"/>
      <c r="Q266" s="219"/>
      <c r="R266" s="196"/>
      <c r="S266" s="233"/>
      <c r="T266" s="217"/>
      <c r="U266" s="196"/>
      <c r="V266" s="196"/>
      <c r="W266" s="196"/>
      <c r="X266" s="227" t="str">
        <f>IFERROR(CONVERT(#REF!,"ft","m"),"")</f>
        <v/>
      </c>
      <c r="Y266" s="234"/>
      <c r="Z266" s="234"/>
      <c r="AA266" s="235"/>
      <c r="AB266" s="196"/>
      <c r="AC266" s="196"/>
      <c r="AD266" s="196"/>
      <c r="AE266" s="196"/>
      <c r="AF266" s="237"/>
      <c r="AG266" s="196"/>
      <c r="AH266" s="196"/>
      <c r="AI266" s="232"/>
      <c r="AJ266" s="232"/>
      <c r="AK266" s="196"/>
      <c r="AL266" s="196"/>
      <c r="AM266" s="196"/>
      <c r="AN266" s="196"/>
      <c r="AO266" s="196"/>
      <c r="AP266" s="196"/>
      <c r="AQ266" s="196"/>
      <c r="AR266" s="237"/>
      <c r="AS266" s="223"/>
      <c r="AT266" s="223"/>
      <c r="AU266" s="223"/>
      <c r="AV266" s="223"/>
      <c r="AW266" s="238" t="str">
        <f>IFERROR(ROUNDDOWN((('Master File'!$AU266*100)/'Master File'!$AV266)-Master[[#This Row],[Quantity On Hand]],0),"")</f>
        <v/>
      </c>
      <c r="AX266" s="217"/>
      <c r="AY266" s="217"/>
      <c r="AZ266" s="217"/>
      <c r="BA266" s="196"/>
      <c r="BB266" s="236" t="str">
        <f t="shared" si="6"/>
        <v xml:space="preserve"> </v>
      </c>
      <c r="BC266" s="196"/>
      <c r="BD266" s="237"/>
      <c r="BE266" s="196"/>
      <c r="BF266" s="196"/>
      <c r="BG266" s="237"/>
      <c r="BH266" s="213"/>
      <c r="BI266" s="213"/>
      <c r="BJ266" s="213"/>
      <c r="BK266" s="196"/>
      <c r="BL266" s="196"/>
      <c r="BM266" s="196"/>
      <c r="BN266" s="196"/>
      <c r="BO266" s="196"/>
      <c r="BP266" s="237"/>
      <c r="BQ266" s="196"/>
    </row>
    <row r="267" spans="1:69" x14ac:dyDescent="0.25">
      <c r="A267" s="196"/>
      <c r="B267" s="196"/>
      <c r="C267" s="236" t="str">
        <f>IFERROR(LEFT(Master[[#This Row],[Taxon -Lookup Picker in GRIN]],FIND(" ",Master[[#This Row],[Taxon -Lookup Picker in GRIN]],1)-1),"")</f>
        <v/>
      </c>
      <c r="D267" s="237"/>
      <c r="E267" s="217"/>
      <c r="F267" s="217"/>
      <c r="G267" s="217"/>
      <c r="H267" s="196"/>
      <c r="I267" s="196"/>
      <c r="J267" s="196"/>
      <c r="K267" s="219"/>
      <c r="L267" s="196"/>
      <c r="M267" s="196"/>
      <c r="N267" s="196"/>
      <c r="O267" s="196"/>
      <c r="P267" s="219"/>
      <c r="Q267" s="219"/>
      <c r="R267" s="196"/>
      <c r="S267" s="233"/>
      <c r="T267" s="217"/>
      <c r="U267" s="196"/>
      <c r="V267" s="196"/>
      <c r="W267" s="196"/>
      <c r="X267" s="227" t="str">
        <f>IFERROR(CONVERT(#REF!,"ft","m"),"")</f>
        <v/>
      </c>
      <c r="Y267" s="234"/>
      <c r="Z267" s="234"/>
      <c r="AA267" s="235"/>
      <c r="AB267" s="196"/>
      <c r="AC267" s="196"/>
      <c r="AD267" s="196"/>
      <c r="AE267" s="196"/>
      <c r="AF267" s="237"/>
      <c r="AG267" s="196"/>
      <c r="AH267" s="196"/>
      <c r="AI267" s="232"/>
      <c r="AJ267" s="232"/>
      <c r="AK267" s="196"/>
      <c r="AL267" s="196"/>
      <c r="AM267" s="196"/>
      <c r="AN267" s="196"/>
      <c r="AO267" s="196"/>
      <c r="AP267" s="196"/>
      <c r="AQ267" s="196"/>
      <c r="AR267" s="237"/>
      <c r="AS267" s="223"/>
      <c r="AT267" s="223"/>
      <c r="AU267" s="223"/>
      <c r="AV267" s="223"/>
      <c r="AW267" s="238" t="str">
        <f>IFERROR(ROUNDDOWN((('Master File'!$AU267*100)/'Master File'!$AV267)-Master[[#This Row],[Quantity On Hand]],0),"")</f>
        <v/>
      </c>
      <c r="AX267" s="217"/>
      <c r="AY267" s="217"/>
      <c r="AZ267" s="217"/>
      <c r="BA267" s="196"/>
      <c r="BB267" s="236" t="str">
        <f t="shared" si="6"/>
        <v xml:space="preserve"> </v>
      </c>
      <c r="BC267" s="196"/>
      <c r="BD267" s="237"/>
      <c r="BE267" s="196"/>
      <c r="BF267" s="196"/>
      <c r="BG267" s="237"/>
      <c r="BH267" s="213"/>
      <c r="BI267" s="213"/>
      <c r="BJ267" s="213"/>
      <c r="BK267" s="196"/>
      <c r="BL267" s="196"/>
      <c r="BM267" s="196"/>
      <c r="BN267" s="196"/>
      <c r="BO267" s="196"/>
      <c r="BP267" s="237"/>
      <c r="BQ267" s="196"/>
    </row>
    <row r="268" spans="1:69" x14ac:dyDescent="0.25">
      <c r="A268" s="196"/>
      <c r="B268" s="196"/>
      <c r="C268" s="236" t="str">
        <f>IFERROR(LEFT(Master[[#This Row],[Taxon -Lookup Picker in GRIN]],FIND(" ",Master[[#This Row],[Taxon -Lookup Picker in GRIN]],1)-1),"")</f>
        <v/>
      </c>
      <c r="D268" s="237"/>
      <c r="E268" s="217"/>
      <c r="F268" s="217"/>
      <c r="G268" s="217"/>
      <c r="H268" s="196"/>
      <c r="I268" s="196"/>
      <c r="J268" s="196"/>
      <c r="K268" s="219"/>
      <c r="L268" s="196"/>
      <c r="M268" s="196"/>
      <c r="N268" s="196"/>
      <c r="O268" s="196"/>
      <c r="P268" s="219"/>
      <c r="Q268" s="219"/>
      <c r="R268" s="196"/>
      <c r="S268" s="233"/>
      <c r="T268" s="217"/>
      <c r="U268" s="196"/>
      <c r="V268" s="196"/>
      <c r="W268" s="196"/>
      <c r="X268" s="227" t="str">
        <f>IFERROR(CONVERT(#REF!,"ft","m"),"")</f>
        <v/>
      </c>
      <c r="Y268" s="234"/>
      <c r="Z268" s="234"/>
      <c r="AA268" s="235"/>
      <c r="AB268" s="196"/>
      <c r="AC268" s="196"/>
      <c r="AD268" s="196"/>
      <c r="AE268" s="196"/>
      <c r="AF268" s="237"/>
      <c r="AG268" s="196"/>
      <c r="AH268" s="196"/>
      <c r="AI268" s="232"/>
      <c r="AJ268" s="232"/>
      <c r="AK268" s="196"/>
      <c r="AL268" s="196"/>
      <c r="AM268" s="196"/>
      <c r="AN268" s="196"/>
      <c r="AO268" s="196"/>
      <c r="AP268" s="196"/>
      <c r="AQ268" s="196"/>
      <c r="AR268" s="237"/>
      <c r="AS268" s="223"/>
      <c r="AT268" s="223"/>
      <c r="AU268" s="223"/>
      <c r="AV268" s="223"/>
      <c r="AW268" s="238" t="str">
        <f>IFERROR(ROUNDDOWN((('Master File'!$AU268*100)/'Master File'!$AV268)-Master[[#This Row],[Quantity On Hand]],0),"")</f>
        <v/>
      </c>
      <c r="AX268" s="217"/>
      <c r="AY268" s="217"/>
      <c r="AZ268" s="217"/>
      <c r="BA268" s="196"/>
      <c r="BB268" s="236" t="str">
        <f t="shared" si="6"/>
        <v xml:space="preserve"> </v>
      </c>
      <c r="BC268" s="196"/>
      <c r="BD268" s="237"/>
      <c r="BE268" s="196"/>
      <c r="BF268" s="196"/>
      <c r="BG268" s="237"/>
      <c r="BH268" s="213"/>
      <c r="BI268" s="213"/>
      <c r="BJ268" s="213"/>
      <c r="BK268" s="196"/>
      <c r="BL268" s="196"/>
      <c r="BM268" s="196"/>
      <c r="BN268" s="196"/>
      <c r="BO268" s="196"/>
      <c r="BP268" s="237"/>
      <c r="BQ268" s="196"/>
    </row>
    <row r="269" spans="1:69" x14ac:dyDescent="0.25">
      <c r="A269" s="196"/>
      <c r="B269" s="196"/>
      <c r="C269" s="236" t="str">
        <f>IFERROR(LEFT(Master[[#This Row],[Taxon -Lookup Picker in GRIN]],FIND(" ",Master[[#This Row],[Taxon -Lookup Picker in GRIN]],1)-1),"")</f>
        <v/>
      </c>
      <c r="D269" s="237"/>
      <c r="E269" s="217"/>
      <c r="F269" s="217"/>
      <c r="G269" s="217"/>
      <c r="H269" s="196"/>
      <c r="I269" s="196"/>
      <c r="J269" s="196"/>
      <c r="K269" s="219"/>
      <c r="L269" s="196"/>
      <c r="M269" s="196"/>
      <c r="N269" s="196"/>
      <c r="O269" s="196"/>
      <c r="P269" s="219"/>
      <c r="Q269" s="219"/>
      <c r="R269" s="196"/>
      <c r="S269" s="233"/>
      <c r="T269" s="217"/>
      <c r="U269" s="196"/>
      <c r="V269" s="196"/>
      <c r="W269" s="196"/>
      <c r="X269" s="227" t="str">
        <f>IFERROR(CONVERT(#REF!,"ft","m"),"")</f>
        <v/>
      </c>
      <c r="Y269" s="234"/>
      <c r="Z269" s="234"/>
      <c r="AA269" s="235"/>
      <c r="AB269" s="196"/>
      <c r="AC269" s="196"/>
      <c r="AD269" s="196"/>
      <c r="AE269" s="196"/>
      <c r="AF269" s="237"/>
      <c r="AG269" s="196"/>
      <c r="AH269" s="196"/>
      <c r="AI269" s="232"/>
      <c r="AJ269" s="232"/>
      <c r="AK269" s="196"/>
      <c r="AL269" s="196"/>
      <c r="AM269" s="196"/>
      <c r="AN269" s="196"/>
      <c r="AO269" s="196"/>
      <c r="AP269" s="196"/>
      <c r="AQ269" s="196"/>
      <c r="AR269" s="237"/>
      <c r="AS269" s="223"/>
      <c r="AT269" s="223"/>
      <c r="AU269" s="223"/>
      <c r="AV269" s="223"/>
      <c r="AW269" s="238" t="str">
        <f>IFERROR(ROUNDDOWN((('Master File'!$AU269*100)/'Master File'!$AV269)-Master[[#This Row],[Quantity On Hand]],0),"")</f>
        <v/>
      </c>
      <c r="AX269" s="217"/>
      <c r="AY269" s="217"/>
      <c r="AZ269" s="217"/>
      <c r="BA269" s="196"/>
      <c r="BB269" s="236" t="str">
        <f t="shared" si="6"/>
        <v xml:space="preserve"> </v>
      </c>
      <c r="BC269" s="196"/>
      <c r="BD269" s="237"/>
      <c r="BE269" s="196"/>
      <c r="BF269" s="196"/>
      <c r="BG269" s="237"/>
      <c r="BH269" s="213"/>
      <c r="BI269" s="213"/>
      <c r="BJ269" s="213"/>
      <c r="BK269" s="196"/>
      <c r="BL269" s="196"/>
      <c r="BM269" s="196"/>
      <c r="BN269" s="196"/>
      <c r="BO269" s="196"/>
      <c r="BP269" s="237"/>
      <c r="BQ269" s="196"/>
    </row>
    <row r="270" spans="1:69" x14ac:dyDescent="0.25">
      <c r="A270" s="196"/>
      <c r="B270" s="196"/>
      <c r="C270" s="236" t="str">
        <f>IFERROR(LEFT(Master[[#This Row],[Taxon -Lookup Picker in GRIN]],FIND(" ",Master[[#This Row],[Taxon -Lookup Picker in GRIN]],1)-1),"")</f>
        <v/>
      </c>
      <c r="D270" s="237"/>
      <c r="E270" s="217"/>
      <c r="F270" s="217"/>
      <c r="G270" s="217"/>
      <c r="H270" s="196"/>
      <c r="I270" s="196"/>
      <c r="J270" s="196"/>
      <c r="K270" s="219"/>
      <c r="L270" s="196"/>
      <c r="M270" s="196"/>
      <c r="N270" s="196"/>
      <c r="O270" s="196"/>
      <c r="P270" s="219"/>
      <c r="Q270" s="219"/>
      <c r="R270" s="196"/>
      <c r="S270" s="233"/>
      <c r="T270" s="217"/>
      <c r="U270" s="196"/>
      <c r="V270" s="196"/>
      <c r="W270" s="196"/>
      <c r="X270" s="227" t="str">
        <f>IFERROR(CONVERT(#REF!,"ft","m"),"")</f>
        <v/>
      </c>
      <c r="Y270" s="234"/>
      <c r="Z270" s="234"/>
      <c r="AA270" s="235"/>
      <c r="AB270" s="196"/>
      <c r="AC270" s="196"/>
      <c r="AD270" s="196"/>
      <c r="AE270" s="196"/>
      <c r="AF270" s="237"/>
      <c r="AG270" s="196"/>
      <c r="AH270" s="196"/>
      <c r="AI270" s="232"/>
      <c r="AJ270" s="232"/>
      <c r="AK270" s="196"/>
      <c r="AL270" s="196"/>
      <c r="AM270" s="196"/>
      <c r="AN270" s="196"/>
      <c r="AO270" s="196"/>
      <c r="AP270" s="196"/>
      <c r="AQ270" s="196"/>
      <c r="AR270" s="237"/>
      <c r="AS270" s="223"/>
      <c r="AT270" s="223"/>
      <c r="AU270" s="223"/>
      <c r="AV270" s="223"/>
      <c r="AW270" s="238" t="str">
        <f>IFERROR(ROUNDDOWN((('Master File'!$AU270*100)/'Master File'!$AV270)-Master[[#This Row],[Quantity On Hand]],0),"")</f>
        <v/>
      </c>
      <c r="AX270" s="217"/>
      <c r="AY270" s="217"/>
      <c r="AZ270" s="217"/>
      <c r="BA270" s="196"/>
      <c r="BB270" s="236" t="str">
        <f t="shared" si="6"/>
        <v xml:space="preserve"> </v>
      </c>
      <c r="BC270" s="196"/>
      <c r="BD270" s="237"/>
      <c r="BE270" s="196"/>
      <c r="BF270" s="196"/>
      <c r="BG270" s="237"/>
      <c r="BH270" s="213"/>
      <c r="BI270" s="213"/>
      <c r="BJ270" s="213"/>
      <c r="BK270" s="196"/>
      <c r="BL270" s="196"/>
      <c r="BM270" s="196"/>
      <c r="BN270" s="196"/>
      <c r="BO270" s="196"/>
      <c r="BP270" s="237"/>
      <c r="BQ270" s="196"/>
    </row>
    <row r="271" spans="1:69" x14ac:dyDescent="0.25">
      <c r="A271" s="196"/>
      <c r="B271" s="196"/>
      <c r="C271" s="236" t="str">
        <f>IFERROR(LEFT(Master[[#This Row],[Taxon -Lookup Picker in GRIN]],FIND(" ",Master[[#This Row],[Taxon -Lookup Picker in GRIN]],1)-1),"")</f>
        <v/>
      </c>
      <c r="D271" s="237"/>
      <c r="E271" s="217"/>
      <c r="F271" s="217"/>
      <c r="G271" s="217"/>
      <c r="H271" s="196"/>
      <c r="I271" s="196"/>
      <c r="J271" s="196"/>
      <c r="K271" s="219"/>
      <c r="L271" s="196"/>
      <c r="M271" s="196"/>
      <c r="N271" s="196"/>
      <c r="O271" s="196"/>
      <c r="P271" s="219"/>
      <c r="Q271" s="219"/>
      <c r="R271" s="196"/>
      <c r="S271" s="233"/>
      <c r="T271" s="217"/>
      <c r="U271" s="196"/>
      <c r="V271" s="196"/>
      <c r="W271" s="196"/>
      <c r="X271" s="227" t="str">
        <f>IFERROR(CONVERT(#REF!,"ft","m"),"")</f>
        <v/>
      </c>
      <c r="Y271" s="234"/>
      <c r="Z271" s="234"/>
      <c r="AA271" s="235"/>
      <c r="AB271" s="196"/>
      <c r="AC271" s="196"/>
      <c r="AD271" s="196"/>
      <c r="AE271" s="196"/>
      <c r="AF271" s="237"/>
      <c r="AG271" s="196"/>
      <c r="AH271" s="196"/>
      <c r="AI271" s="232"/>
      <c r="AJ271" s="232"/>
      <c r="AK271" s="196"/>
      <c r="AL271" s="196"/>
      <c r="AM271" s="196"/>
      <c r="AN271" s="196"/>
      <c r="AO271" s="196"/>
      <c r="AP271" s="196"/>
      <c r="AQ271" s="196"/>
      <c r="AR271" s="237"/>
      <c r="AS271" s="223"/>
      <c r="AT271" s="223"/>
      <c r="AU271" s="223"/>
      <c r="AV271" s="223"/>
      <c r="AW271" s="238" t="str">
        <f>IFERROR(ROUNDDOWN((('Master File'!$AU271*100)/'Master File'!$AV271)-Master[[#This Row],[Quantity On Hand]],0),"")</f>
        <v/>
      </c>
      <c r="AX271" s="217"/>
      <c r="AY271" s="217"/>
      <c r="AZ271" s="217"/>
      <c r="BA271" s="196"/>
      <c r="BB271" s="236" t="str">
        <f t="shared" si="6"/>
        <v xml:space="preserve"> </v>
      </c>
      <c r="BC271" s="196"/>
      <c r="BD271" s="237"/>
      <c r="BE271" s="196"/>
      <c r="BF271" s="196"/>
      <c r="BG271" s="237"/>
      <c r="BH271" s="213"/>
      <c r="BI271" s="213"/>
      <c r="BJ271" s="213"/>
      <c r="BK271" s="196"/>
      <c r="BL271" s="196"/>
      <c r="BM271" s="196"/>
      <c r="BN271" s="196"/>
      <c r="BO271" s="196"/>
      <c r="BP271" s="237"/>
      <c r="BQ271" s="196"/>
    </row>
    <row r="272" spans="1:69" x14ac:dyDescent="0.25">
      <c r="A272" s="196"/>
      <c r="B272" s="196"/>
      <c r="C272" s="236" t="str">
        <f>IFERROR(LEFT(Master[[#This Row],[Taxon -Lookup Picker in GRIN]],FIND(" ",Master[[#This Row],[Taxon -Lookup Picker in GRIN]],1)-1),"")</f>
        <v/>
      </c>
      <c r="D272" s="237"/>
      <c r="E272" s="217"/>
      <c r="F272" s="217"/>
      <c r="G272" s="217"/>
      <c r="H272" s="196"/>
      <c r="I272" s="196"/>
      <c r="J272" s="196"/>
      <c r="K272" s="219"/>
      <c r="L272" s="196"/>
      <c r="M272" s="196"/>
      <c r="N272" s="196"/>
      <c r="O272" s="196"/>
      <c r="P272" s="219"/>
      <c r="Q272" s="219"/>
      <c r="R272" s="196"/>
      <c r="S272" s="233"/>
      <c r="T272" s="217"/>
      <c r="U272" s="196"/>
      <c r="V272" s="196"/>
      <c r="W272" s="196"/>
      <c r="X272" s="227" t="str">
        <f>IFERROR(CONVERT(#REF!,"ft","m"),"")</f>
        <v/>
      </c>
      <c r="Y272" s="234"/>
      <c r="Z272" s="234"/>
      <c r="AA272" s="235"/>
      <c r="AB272" s="196"/>
      <c r="AC272" s="196"/>
      <c r="AD272" s="196"/>
      <c r="AE272" s="196"/>
      <c r="AF272" s="237"/>
      <c r="AG272" s="196"/>
      <c r="AH272" s="196"/>
      <c r="AI272" s="232"/>
      <c r="AJ272" s="232"/>
      <c r="AK272" s="196"/>
      <c r="AL272" s="196"/>
      <c r="AM272" s="196"/>
      <c r="AN272" s="196"/>
      <c r="AO272" s="196"/>
      <c r="AP272" s="196"/>
      <c r="AQ272" s="196"/>
      <c r="AR272" s="237"/>
      <c r="AS272" s="223"/>
      <c r="AT272" s="223"/>
      <c r="AU272" s="223"/>
      <c r="AV272" s="223"/>
      <c r="AW272" s="238" t="str">
        <f>IFERROR(ROUNDDOWN((('Master File'!$AU272*100)/'Master File'!$AV272)-Master[[#This Row],[Quantity On Hand]],0),"")</f>
        <v/>
      </c>
      <c r="AX272" s="217"/>
      <c r="AY272" s="217"/>
      <c r="AZ272" s="217"/>
      <c r="BA272" s="196"/>
      <c r="BB272" s="236" t="str">
        <f t="shared" si="6"/>
        <v xml:space="preserve"> </v>
      </c>
      <c r="BC272" s="196"/>
      <c r="BD272" s="237"/>
      <c r="BE272" s="196"/>
      <c r="BF272" s="196"/>
      <c r="BG272" s="237"/>
      <c r="BH272" s="213"/>
      <c r="BI272" s="213"/>
      <c r="BJ272" s="213"/>
      <c r="BK272" s="196"/>
      <c r="BL272" s="196"/>
      <c r="BM272" s="196"/>
      <c r="BN272" s="196"/>
      <c r="BO272" s="196"/>
      <c r="BP272" s="237"/>
      <c r="BQ272" s="196"/>
    </row>
    <row r="273" spans="1:69" x14ac:dyDescent="0.25">
      <c r="A273" s="196"/>
      <c r="B273" s="196"/>
      <c r="C273" s="236" t="str">
        <f>IFERROR(LEFT(Master[[#This Row],[Taxon -Lookup Picker in GRIN]],FIND(" ",Master[[#This Row],[Taxon -Lookup Picker in GRIN]],1)-1),"")</f>
        <v/>
      </c>
      <c r="D273" s="237"/>
      <c r="E273" s="217"/>
      <c r="F273" s="217"/>
      <c r="G273" s="217"/>
      <c r="H273" s="196"/>
      <c r="I273" s="196"/>
      <c r="J273" s="196"/>
      <c r="K273" s="219"/>
      <c r="L273" s="196"/>
      <c r="M273" s="196"/>
      <c r="N273" s="196"/>
      <c r="O273" s="196"/>
      <c r="P273" s="219"/>
      <c r="Q273" s="219"/>
      <c r="R273" s="196"/>
      <c r="S273" s="233"/>
      <c r="T273" s="217"/>
      <c r="U273" s="196"/>
      <c r="V273" s="196"/>
      <c r="W273" s="196"/>
      <c r="X273" s="227" t="str">
        <f>IFERROR(CONVERT(#REF!,"ft","m"),"")</f>
        <v/>
      </c>
      <c r="Y273" s="234"/>
      <c r="Z273" s="234"/>
      <c r="AA273" s="235"/>
      <c r="AB273" s="196"/>
      <c r="AC273" s="196"/>
      <c r="AD273" s="196"/>
      <c r="AE273" s="196"/>
      <c r="AF273" s="237"/>
      <c r="AG273" s="196"/>
      <c r="AH273" s="196"/>
      <c r="AI273" s="232"/>
      <c r="AJ273" s="232"/>
      <c r="AK273" s="196"/>
      <c r="AL273" s="196"/>
      <c r="AM273" s="196"/>
      <c r="AN273" s="196"/>
      <c r="AO273" s="196"/>
      <c r="AP273" s="196"/>
      <c r="AQ273" s="196"/>
      <c r="AR273" s="237"/>
      <c r="AS273" s="223"/>
      <c r="AT273" s="223"/>
      <c r="AU273" s="223"/>
      <c r="AV273" s="223"/>
      <c r="AW273" s="238" t="str">
        <f>IFERROR(ROUNDDOWN((('Master File'!$AU273*100)/'Master File'!$AV273)-Master[[#This Row],[Quantity On Hand]],0),"")</f>
        <v/>
      </c>
      <c r="AX273" s="217"/>
      <c r="AY273" s="217"/>
      <c r="AZ273" s="217"/>
      <c r="BA273" s="196"/>
      <c r="BB273" s="236" t="str">
        <f t="shared" si="6"/>
        <v xml:space="preserve"> </v>
      </c>
      <c r="BC273" s="196"/>
      <c r="BD273" s="237"/>
      <c r="BE273" s="196"/>
      <c r="BF273" s="196"/>
      <c r="BG273" s="237"/>
      <c r="BH273" s="213"/>
      <c r="BI273" s="213"/>
      <c r="BJ273" s="213"/>
      <c r="BK273" s="196"/>
      <c r="BL273" s="196"/>
      <c r="BM273" s="196"/>
      <c r="BN273" s="196"/>
      <c r="BO273" s="196"/>
      <c r="BP273" s="237"/>
      <c r="BQ273" s="196"/>
    </row>
    <row r="274" spans="1:69" x14ac:dyDescent="0.25">
      <c r="A274" s="196"/>
      <c r="B274" s="196"/>
      <c r="C274" s="236" t="str">
        <f>IFERROR(LEFT(Master[[#This Row],[Taxon -Lookup Picker in GRIN]],FIND(" ",Master[[#This Row],[Taxon -Lookup Picker in GRIN]],1)-1),"")</f>
        <v/>
      </c>
      <c r="D274" s="237"/>
      <c r="E274" s="217"/>
      <c r="F274" s="217"/>
      <c r="G274" s="217"/>
      <c r="H274" s="196"/>
      <c r="I274" s="196"/>
      <c r="J274" s="196"/>
      <c r="K274" s="219"/>
      <c r="L274" s="196"/>
      <c r="M274" s="196"/>
      <c r="N274" s="196"/>
      <c r="O274" s="196"/>
      <c r="P274" s="219"/>
      <c r="Q274" s="219"/>
      <c r="R274" s="196"/>
      <c r="S274" s="233"/>
      <c r="T274" s="217"/>
      <c r="U274" s="196"/>
      <c r="V274" s="196"/>
      <c r="W274" s="196"/>
      <c r="X274" s="227" t="str">
        <f>IFERROR(CONVERT(#REF!,"ft","m"),"")</f>
        <v/>
      </c>
      <c r="Y274" s="234"/>
      <c r="Z274" s="234"/>
      <c r="AA274" s="235"/>
      <c r="AB274" s="196"/>
      <c r="AC274" s="196"/>
      <c r="AD274" s="196"/>
      <c r="AE274" s="196"/>
      <c r="AF274" s="237"/>
      <c r="AG274" s="196"/>
      <c r="AH274" s="196"/>
      <c r="AI274" s="232"/>
      <c r="AJ274" s="232"/>
      <c r="AK274" s="196"/>
      <c r="AL274" s="196"/>
      <c r="AM274" s="196"/>
      <c r="AN274" s="196"/>
      <c r="AO274" s="196"/>
      <c r="AP274" s="196"/>
      <c r="AQ274" s="196"/>
      <c r="AR274" s="237"/>
      <c r="AS274" s="223"/>
      <c r="AT274" s="223"/>
      <c r="AU274" s="223"/>
      <c r="AV274" s="223"/>
      <c r="AW274" s="238" t="str">
        <f>IFERROR(ROUNDDOWN((('Master File'!$AU274*100)/'Master File'!$AV274)-Master[[#This Row],[Quantity On Hand]],0),"")</f>
        <v/>
      </c>
      <c r="AX274" s="217"/>
      <c r="AY274" s="217"/>
      <c r="AZ274" s="217"/>
      <c r="BA274" s="196"/>
      <c r="BB274" s="236" t="str">
        <f t="shared" si="6"/>
        <v xml:space="preserve"> </v>
      </c>
      <c r="BC274" s="196"/>
      <c r="BD274" s="237"/>
      <c r="BE274" s="196"/>
      <c r="BF274" s="196"/>
      <c r="BG274" s="237"/>
      <c r="BH274" s="213"/>
      <c r="BI274" s="213"/>
      <c r="BJ274" s="213"/>
      <c r="BK274" s="196"/>
      <c r="BL274" s="196"/>
      <c r="BM274" s="196"/>
      <c r="BN274" s="196"/>
      <c r="BO274" s="196"/>
      <c r="BP274" s="237"/>
      <c r="BQ274" s="196"/>
    </row>
    <row r="275" spans="1:69" x14ac:dyDescent="0.25">
      <c r="A275" s="196"/>
      <c r="B275" s="196"/>
      <c r="C275" s="236" t="str">
        <f>IFERROR(LEFT(Master[[#This Row],[Taxon -Lookup Picker in GRIN]],FIND(" ",Master[[#This Row],[Taxon -Lookup Picker in GRIN]],1)-1),"")</f>
        <v/>
      </c>
      <c r="D275" s="237"/>
      <c r="E275" s="217"/>
      <c r="F275" s="217"/>
      <c r="G275" s="217"/>
      <c r="H275" s="196"/>
      <c r="I275" s="196"/>
      <c r="J275" s="196"/>
      <c r="K275" s="219"/>
      <c r="L275" s="196"/>
      <c r="M275" s="196"/>
      <c r="N275" s="196"/>
      <c r="O275" s="196"/>
      <c r="P275" s="219"/>
      <c r="Q275" s="219"/>
      <c r="R275" s="196"/>
      <c r="S275" s="233"/>
      <c r="T275" s="217"/>
      <c r="U275" s="196"/>
      <c r="V275" s="196"/>
      <c r="W275" s="196"/>
      <c r="X275" s="227" t="str">
        <f>IFERROR(CONVERT(#REF!,"ft","m"),"")</f>
        <v/>
      </c>
      <c r="Y275" s="234"/>
      <c r="Z275" s="234"/>
      <c r="AA275" s="235"/>
      <c r="AB275" s="196"/>
      <c r="AC275" s="196"/>
      <c r="AD275" s="196"/>
      <c r="AE275" s="196"/>
      <c r="AF275" s="237"/>
      <c r="AG275" s="196"/>
      <c r="AH275" s="196"/>
      <c r="AI275" s="232"/>
      <c r="AJ275" s="232"/>
      <c r="AK275" s="196"/>
      <c r="AL275" s="196"/>
      <c r="AM275" s="196"/>
      <c r="AN275" s="196"/>
      <c r="AO275" s="196"/>
      <c r="AP275" s="196"/>
      <c r="AQ275" s="196"/>
      <c r="AR275" s="237"/>
      <c r="AS275" s="223"/>
      <c r="AT275" s="223"/>
      <c r="AU275" s="223"/>
      <c r="AV275" s="223"/>
      <c r="AW275" s="238" t="str">
        <f>IFERROR(ROUNDDOWN((('Master File'!$AU275*100)/'Master File'!$AV275)-Master[[#This Row],[Quantity On Hand]],0),"")</f>
        <v/>
      </c>
      <c r="AX275" s="217"/>
      <c r="AY275" s="217"/>
      <c r="AZ275" s="217"/>
      <c r="BA275" s="196"/>
      <c r="BB275" s="236" t="str">
        <f t="shared" si="6"/>
        <v xml:space="preserve"> </v>
      </c>
      <c r="BC275" s="196"/>
      <c r="BD275" s="237"/>
      <c r="BE275" s="196"/>
      <c r="BF275" s="196"/>
      <c r="BG275" s="237"/>
      <c r="BH275" s="213"/>
      <c r="BI275" s="213"/>
      <c r="BJ275" s="213"/>
      <c r="BK275" s="196"/>
      <c r="BL275" s="196"/>
      <c r="BM275" s="196"/>
      <c r="BN275" s="196"/>
      <c r="BO275" s="196"/>
      <c r="BP275" s="237"/>
      <c r="BQ275" s="196"/>
    </row>
    <row r="276" spans="1:69" x14ac:dyDescent="0.25">
      <c r="A276" s="196"/>
      <c r="B276" s="196"/>
      <c r="C276" s="236" t="str">
        <f>IFERROR(LEFT(Master[[#This Row],[Taxon -Lookup Picker in GRIN]],FIND(" ",Master[[#This Row],[Taxon -Lookup Picker in GRIN]],1)-1),"")</f>
        <v/>
      </c>
      <c r="D276" s="237"/>
      <c r="E276" s="217"/>
      <c r="F276" s="217"/>
      <c r="G276" s="217"/>
      <c r="H276" s="196"/>
      <c r="I276" s="196"/>
      <c r="J276" s="196"/>
      <c r="K276" s="219"/>
      <c r="L276" s="196"/>
      <c r="M276" s="196"/>
      <c r="N276" s="196"/>
      <c r="O276" s="196"/>
      <c r="P276" s="219"/>
      <c r="Q276" s="219"/>
      <c r="R276" s="196"/>
      <c r="S276" s="233"/>
      <c r="T276" s="217"/>
      <c r="U276" s="196"/>
      <c r="V276" s="196"/>
      <c r="W276" s="196"/>
      <c r="X276" s="227" t="str">
        <f>IFERROR(CONVERT(#REF!,"ft","m"),"")</f>
        <v/>
      </c>
      <c r="Y276" s="234"/>
      <c r="Z276" s="234"/>
      <c r="AA276" s="235"/>
      <c r="AB276" s="196"/>
      <c r="AC276" s="196"/>
      <c r="AD276" s="196"/>
      <c r="AE276" s="196"/>
      <c r="AF276" s="237"/>
      <c r="AG276" s="196"/>
      <c r="AH276" s="196"/>
      <c r="AI276" s="232"/>
      <c r="AJ276" s="232"/>
      <c r="AK276" s="196"/>
      <c r="AL276" s="196"/>
      <c r="AM276" s="196"/>
      <c r="AN276" s="196"/>
      <c r="AO276" s="196"/>
      <c r="AP276" s="196"/>
      <c r="AQ276" s="196"/>
      <c r="AR276" s="237"/>
      <c r="AS276" s="223"/>
      <c r="AT276" s="223"/>
      <c r="AU276" s="223"/>
      <c r="AV276" s="223"/>
      <c r="AW276" s="238" t="str">
        <f>IFERROR(ROUNDDOWN((('Master File'!$AU276*100)/'Master File'!$AV276)-Master[[#This Row],[Quantity On Hand]],0),"")</f>
        <v/>
      </c>
      <c r="AX276" s="217"/>
      <c r="AY276" s="217"/>
      <c r="AZ276" s="217"/>
      <c r="BA276" s="196"/>
      <c r="BB276" s="236" t="str">
        <f t="shared" si="6"/>
        <v xml:space="preserve"> </v>
      </c>
      <c r="BC276" s="196"/>
      <c r="BD276" s="237"/>
      <c r="BE276" s="196"/>
      <c r="BF276" s="196"/>
      <c r="BG276" s="237"/>
      <c r="BH276" s="213"/>
      <c r="BI276" s="213"/>
      <c r="BJ276" s="213"/>
      <c r="BK276" s="196"/>
      <c r="BL276" s="196"/>
      <c r="BM276" s="196"/>
      <c r="BN276" s="196"/>
      <c r="BO276" s="196"/>
      <c r="BP276" s="237"/>
      <c r="BQ276" s="196"/>
    </row>
    <row r="277" spans="1:69" x14ac:dyDescent="0.25">
      <c r="A277" s="196"/>
      <c r="B277" s="196"/>
      <c r="C277" s="236" t="str">
        <f>IFERROR(LEFT(Master[[#This Row],[Taxon -Lookup Picker in GRIN]],FIND(" ",Master[[#This Row],[Taxon -Lookup Picker in GRIN]],1)-1),"")</f>
        <v/>
      </c>
      <c r="D277" s="237"/>
      <c r="E277" s="217"/>
      <c r="F277" s="217"/>
      <c r="G277" s="217"/>
      <c r="H277" s="196"/>
      <c r="I277" s="196"/>
      <c r="J277" s="196"/>
      <c r="K277" s="219"/>
      <c r="L277" s="196"/>
      <c r="M277" s="196"/>
      <c r="N277" s="196"/>
      <c r="O277" s="196"/>
      <c r="P277" s="219"/>
      <c r="Q277" s="219"/>
      <c r="R277" s="196"/>
      <c r="S277" s="233"/>
      <c r="T277" s="217"/>
      <c r="U277" s="196"/>
      <c r="V277" s="196"/>
      <c r="W277" s="196"/>
      <c r="X277" s="227" t="str">
        <f>IFERROR(CONVERT(#REF!,"ft","m"),"")</f>
        <v/>
      </c>
      <c r="Y277" s="234"/>
      <c r="Z277" s="234"/>
      <c r="AA277" s="235"/>
      <c r="AB277" s="196"/>
      <c r="AC277" s="196"/>
      <c r="AD277" s="196"/>
      <c r="AE277" s="196"/>
      <c r="AF277" s="237"/>
      <c r="AG277" s="196"/>
      <c r="AH277" s="196"/>
      <c r="AI277" s="232"/>
      <c r="AJ277" s="232"/>
      <c r="AK277" s="196"/>
      <c r="AL277" s="196"/>
      <c r="AM277" s="196"/>
      <c r="AN277" s="196"/>
      <c r="AO277" s="196"/>
      <c r="AP277" s="196"/>
      <c r="AQ277" s="196"/>
      <c r="AR277" s="237"/>
      <c r="AS277" s="223"/>
      <c r="AT277" s="223"/>
      <c r="AU277" s="223"/>
      <c r="AV277" s="223"/>
      <c r="AW277" s="238" t="str">
        <f>IFERROR(ROUNDDOWN((('Master File'!$AU277*100)/'Master File'!$AV277)-Master[[#This Row],[Quantity On Hand]],0),"")</f>
        <v/>
      </c>
      <c r="AX277" s="217"/>
      <c r="AY277" s="217"/>
      <c r="AZ277" s="217"/>
      <c r="BA277" s="196"/>
      <c r="BB277" s="236" t="str">
        <f t="shared" si="6"/>
        <v xml:space="preserve"> </v>
      </c>
      <c r="BC277" s="196"/>
      <c r="BD277" s="237"/>
      <c r="BE277" s="196"/>
      <c r="BF277" s="196"/>
      <c r="BG277" s="237"/>
      <c r="BH277" s="213"/>
      <c r="BI277" s="213"/>
      <c r="BJ277" s="213"/>
      <c r="BK277" s="196"/>
      <c r="BL277" s="196"/>
      <c r="BM277" s="196"/>
      <c r="BN277" s="196"/>
      <c r="BO277" s="196"/>
      <c r="BP277" s="237"/>
      <c r="BQ277" s="196"/>
    </row>
    <row r="278" spans="1:69" x14ac:dyDescent="0.25">
      <c r="A278" s="196"/>
      <c r="B278" s="196"/>
      <c r="C278" s="236" t="str">
        <f>IFERROR(LEFT(Master[[#This Row],[Taxon -Lookup Picker in GRIN]],FIND(" ",Master[[#This Row],[Taxon -Lookup Picker in GRIN]],1)-1),"")</f>
        <v/>
      </c>
      <c r="D278" s="237"/>
      <c r="E278" s="217"/>
      <c r="F278" s="217"/>
      <c r="G278" s="217"/>
      <c r="H278" s="196"/>
      <c r="I278" s="196"/>
      <c r="J278" s="196"/>
      <c r="K278" s="219"/>
      <c r="L278" s="196"/>
      <c r="M278" s="196"/>
      <c r="N278" s="196"/>
      <c r="O278" s="196"/>
      <c r="P278" s="219"/>
      <c r="Q278" s="219"/>
      <c r="R278" s="196"/>
      <c r="S278" s="233"/>
      <c r="T278" s="217"/>
      <c r="U278" s="196"/>
      <c r="V278" s="196"/>
      <c r="W278" s="196"/>
      <c r="X278" s="227" t="str">
        <f>IFERROR(CONVERT(#REF!,"ft","m"),"")</f>
        <v/>
      </c>
      <c r="Y278" s="234"/>
      <c r="Z278" s="234"/>
      <c r="AA278" s="235"/>
      <c r="AB278" s="196"/>
      <c r="AC278" s="196"/>
      <c r="AD278" s="196"/>
      <c r="AE278" s="196"/>
      <c r="AF278" s="237"/>
      <c r="AG278" s="196"/>
      <c r="AH278" s="196"/>
      <c r="AI278" s="232"/>
      <c r="AJ278" s="232"/>
      <c r="AK278" s="196"/>
      <c r="AL278" s="196"/>
      <c r="AM278" s="196"/>
      <c r="AN278" s="196"/>
      <c r="AO278" s="196"/>
      <c r="AP278" s="196"/>
      <c r="AQ278" s="196"/>
      <c r="AR278" s="237"/>
      <c r="AS278" s="223"/>
      <c r="AT278" s="223"/>
      <c r="AU278" s="223"/>
      <c r="AV278" s="223"/>
      <c r="AW278" s="238" t="str">
        <f>IFERROR(ROUNDDOWN((('Master File'!$AU278*100)/'Master File'!$AV278)-Master[[#This Row],[Quantity On Hand]],0),"")</f>
        <v/>
      </c>
      <c r="AX278" s="217"/>
      <c r="AY278" s="217"/>
      <c r="AZ278" s="217"/>
      <c r="BA278" s="196"/>
      <c r="BB278" s="236" t="str">
        <f t="shared" si="6"/>
        <v xml:space="preserve"> </v>
      </c>
      <c r="BC278" s="196"/>
      <c r="BD278" s="237"/>
      <c r="BE278" s="196"/>
      <c r="BF278" s="196"/>
      <c r="BG278" s="237"/>
      <c r="BH278" s="213"/>
      <c r="BI278" s="213"/>
      <c r="BJ278" s="213"/>
      <c r="BK278" s="196"/>
      <c r="BL278" s="196"/>
      <c r="BM278" s="196"/>
      <c r="BN278" s="196"/>
      <c r="BO278" s="196"/>
      <c r="BP278" s="237"/>
      <c r="BQ278" s="196"/>
    </row>
    <row r="279" spans="1:69" x14ac:dyDescent="0.25">
      <c r="A279" s="196"/>
      <c r="B279" s="196"/>
      <c r="C279" s="236" t="str">
        <f>IFERROR(LEFT(Master[[#This Row],[Taxon -Lookup Picker in GRIN]],FIND(" ",Master[[#This Row],[Taxon -Lookup Picker in GRIN]],1)-1),"")</f>
        <v/>
      </c>
      <c r="D279" s="237"/>
      <c r="E279" s="217"/>
      <c r="F279" s="217"/>
      <c r="G279" s="217"/>
      <c r="H279" s="196"/>
      <c r="I279" s="196"/>
      <c r="J279" s="196"/>
      <c r="K279" s="219"/>
      <c r="L279" s="196"/>
      <c r="M279" s="196"/>
      <c r="N279" s="196"/>
      <c r="O279" s="196"/>
      <c r="P279" s="219"/>
      <c r="Q279" s="219"/>
      <c r="R279" s="196"/>
      <c r="S279" s="233"/>
      <c r="T279" s="217"/>
      <c r="U279" s="196"/>
      <c r="V279" s="196"/>
      <c r="W279" s="196"/>
      <c r="X279" s="227" t="str">
        <f>IFERROR(CONVERT(#REF!,"ft","m"),"")</f>
        <v/>
      </c>
      <c r="Y279" s="234"/>
      <c r="Z279" s="234"/>
      <c r="AA279" s="235"/>
      <c r="AB279" s="196"/>
      <c r="AC279" s="196"/>
      <c r="AD279" s="196"/>
      <c r="AE279" s="196"/>
      <c r="AF279" s="237"/>
      <c r="AG279" s="196"/>
      <c r="AH279" s="196"/>
      <c r="AI279" s="232"/>
      <c r="AJ279" s="232"/>
      <c r="AK279" s="196"/>
      <c r="AL279" s="196"/>
      <c r="AM279" s="196"/>
      <c r="AN279" s="196"/>
      <c r="AO279" s="196"/>
      <c r="AP279" s="196"/>
      <c r="AQ279" s="196"/>
      <c r="AR279" s="237"/>
      <c r="AS279" s="223"/>
      <c r="AT279" s="223"/>
      <c r="AU279" s="223"/>
      <c r="AV279" s="223"/>
      <c r="AW279" s="238" t="str">
        <f>IFERROR(ROUNDDOWN((('Master File'!$AU279*100)/'Master File'!$AV279)-Master[[#This Row],[Quantity On Hand]],0),"")</f>
        <v/>
      </c>
      <c r="AX279" s="217"/>
      <c r="AY279" s="217"/>
      <c r="AZ279" s="217"/>
      <c r="BA279" s="196"/>
      <c r="BB279" s="236" t="str">
        <f t="shared" si="6"/>
        <v xml:space="preserve"> </v>
      </c>
      <c r="BC279" s="196"/>
      <c r="BD279" s="237"/>
      <c r="BE279" s="196"/>
      <c r="BF279" s="196"/>
      <c r="BG279" s="237"/>
      <c r="BH279" s="213"/>
      <c r="BI279" s="213"/>
      <c r="BJ279" s="213"/>
      <c r="BK279" s="196"/>
      <c r="BL279" s="196"/>
      <c r="BM279" s="196"/>
      <c r="BN279" s="196"/>
      <c r="BO279" s="196"/>
      <c r="BP279" s="237"/>
      <c r="BQ279" s="196"/>
    </row>
    <row r="280" spans="1:69" x14ac:dyDescent="0.25">
      <c r="A280" s="196"/>
      <c r="B280" s="196"/>
      <c r="C280" s="236" t="str">
        <f>IFERROR(LEFT(Master[[#This Row],[Taxon -Lookup Picker in GRIN]],FIND(" ",Master[[#This Row],[Taxon -Lookup Picker in GRIN]],1)-1),"")</f>
        <v/>
      </c>
      <c r="D280" s="237"/>
      <c r="E280" s="217"/>
      <c r="F280" s="217"/>
      <c r="G280" s="217"/>
      <c r="H280" s="196"/>
      <c r="I280" s="196"/>
      <c r="J280" s="196"/>
      <c r="K280" s="219"/>
      <c r="L280" s="196"/>
      <c r="M280" s="196"/>
      <c r="N280" s="196"/>
      <c r="O280" s="196"/>
      <c r="P280" s="219"/>
      <c r="Q280" s="219"/>
      <c r="R280" s="196"/>
      <c r="S280" s="233"/>
      <c r="T280" s="217"/>
      <c r="U280" s="196"/>
      <c r="V280" s="196"/>
      <c r="W280" s="196"/>
      <c r="X280" s="227" t="str">
        <f>IFERROR(CONVERT(#REF!,"ft","m"),"")</f>
        <v/>
      </c>
      <c r="Y280" s="234"/>
      <c r="Z280" s="234"/>
      <c r="AA280" s="235"/>
      <c r="AB280" s="196"/>
      <c r="AC280" s="196"/>
      <c r="AD280" s="196"/>
      <c r="AE280" s="196"/>
      <c r="AF280" s="237"/>
      <c r="AG280" s="196"/>
      <c r="AH280" s="196"/>
      <c r="AI280" s="232"/>
      <c r="AJ280" s="232"/>
      <c r="AK280" s="196"/>
      <c r="AL280" s="196"/>
      <c r="AM280" s="196"/>
      <c r="AN280" s="196"/>
      <c r="AO280" s="196"/>
      <c r="AP280" s="196"/>
      <c r="AQ280" s="196"/>
      <c r="AR280" s="237"/>
      <c r="AS280" s="223"/>
      <c r="AT280" s="223"/>
      <c r="AU280" s="223"/>
      <c r="AV280" s="223"/>
      <c r="AW280" s="238" t="str">
        <f>IFERROR(ROUNDDOWN((('Master File'!$AU280*100)/'Master File'!$AV280)-Master[[#This Row],[Quantity On Hand]],0),"")</f>
        <v/>
      </c>
      <c r="AX280" s="217"/>
      <c r="AY280" s="217"/>
      <c r="AZ280" s="217"/>
      <c r="BA280" s="196"/>
      <c r="BB280" s="236" t="str">
        <f t="shared" si="6"/>
        <v xml:space="preserve"> </v>
      </c>
      <c r="BC280" s="196"/>
      <c r="BD280" s="237"/>
      <c r="BE280" s="196"/>
      <c r="BF280" s="196"/>
      <c r="BG280" s="237"/>
      <c r="BH280" s="213"/>
      <c r="BI280" s="213"/>
      <c r="BJ280" s="213"/>
      <c r="BK280" s="196"/>
      <c r="BL280" s="196"/>
      <c r="BM280" s="196"/>
      <c r="BN280" s="196"/>
      <c r="BO280" s="196"/>
      <c r="BP280" s="237"/>
      <c r="BQ280" s="196"/>
    </row>
    <row r="281" spans="1:69" x14ac:dyDescent="0.25">
      <c r="A281" s="196"/>
      <c r="B281" s="196"/>
      <c r="C281" s="236" t="str">
        <f>IFERROR(LEFT(Master[[#This Row],[Taxon -Lookup Picker in GRIN]],FIND(" ",Master[[#This Row],[Taxon -Lookup Picker in GRIN]],1)-1),"")</f>
        <v/>
      </c>
      <c r="D281" s="237"/>
      <c r="E281" s="217"/>
      <c r="F281" s="217"/>
      <c r="G281" s="217"/>
      <c r="H281" s="196"/>
      <c r="I281" s="196"/>
      <c r="J281" s="196"/>
      <c r="K281" s="219"/>
      <c r="L281" s="196"/>
      <c r="M281" s="196"/>
      <c r="N281" s="196"/>
      <c r="O281" s="196"/>
      <c r="P281" s="219"/>
      <c r="Q281" s="219"/>
      <c r="R281" s="196"/>
      <c r="S281" s="233"/>
      <c r="T281" s="217"/>
      <c r="U281" s="196"/>
      <c r="V281" s="196"/>
      <c r="W281" s="196"/>
      <c r="X281" s="227" t="str">
        <f>IFERROR(CONVERT(#REF!,"ft","m"),"")</f>
        <v/>
      </c>
      <c r="Y281" s="234"/>
      <c r="Z281" s="234"/>
      <c r="AA281" s="235"/>
      <c r="AB281" s="196"/>
      <c r="AC281" s="196"/>
      <c r="AD281" s="196"/>
      <c r="AE281" s="196"/>
      <c r="AF281" s="237"/>
      <c r="AG281" s="196"/>
      <c r="AH281" s="196"/>
      <c r="AI281" s="232"/>
      <c r="AJ281" s="232"/>
      <c r="AK281" s="196"/>
      <c r="AL281" s="196"/>
      <c r="AM281" s="196"/>
      <c r="AN281" s="196"/>
      <c r="AO281" s="196"/>
      <c r="AP281" s="196"/>
      <c r="AQ281" s="196"/>
      <c r="AR281" s="237"/>
      <c r="AS281" s="223"/>
      <c r="AT281" s="223"/>
      <c r="AU281" s="223"/>
      <c r="AV281" s="223"/>
      <c r="AW281" s="238" t="str">
        <f>IFERROR(ROUNDDOWN((('Master File'!$AU281*100)/'Master File'!$AV281)-Master[[#This Row],[Quantity On Hand]],0),"")</f>
        <v/>
      </c>
      <c r="AX281" s="217"/>
      <c r="AY281" s="217"/>
      <c r="AZ281" s="217"/>
      <c r="BA281" s="196"/>
      <c r="BB281" s="236" t="str">
        <f t="shared" si="6"/>
        <v xml:space="preserve"> </v>
      </c>
      <c r="BC281" s="196"/>
      <c r="BD281" s="237"/>
      <c r="BE281" s="196"/>
      <c r="BF281" s="196"/>
      <c r="BG281" s="237"/>
      <c r="BH281" s="213"/>
      <c r="BI281" s="213"/>
      <c r="BJ281" s="213"/>
      <c r="BK281" s="196"/>
      <c r="BL281" s="196"/>
      <c r="BM281" s="196"/>
      <c r="BN281" s="196"/>
      <c r="BO281" s="196"/>
      <c r="BP281" s="237"/>
      <c r="BQ281" s="196"/>
    </row>
  </sheetData>
  <dataConsolidate/>
  <phoneticPr fontId="23" type="noConversion"/>
  <conditionalFormatting sqref="H2:H281">
    <cfRule type="containsText" dxfId="278" priority="1" operator="containsText" text="m1">
      <formula>NOT(ISERROR(SEARCH("m1",H2)))</formula>
    </cfRule>
    <cfRule type="containsText" dxfId="277" priority="2" operator="containsText" text="c1">
      <formula>NOT(ISERROR(SEARCH("c1",H2)))</formula>
    </cfRule>
    <cfRule type="containsText" dxfId="276" priority="3" operator="containsText" text="01">
      <formula>NOT(ISERROR(SEARCH("01",H2)))</formula>
    </cfRule>
  </conditionalFormatting>
  <dataValidations disablePrompts="1" count="2">
    <dataValidation type="list" allowBlank="1" showInputMessage="1" showErrorMessage="1" sqref="AT2:AT281" xr:uid="{00000000-0002-0000-0300-000000000000}">
      <formula1>"count,packet"</formula1>
    </dataValidation>
    <dataValidation type="decimal" allowBlank="1" showInputMessage="1" showErrorMessage="1" sqref="AI2:AI281" xr:uid="{00000000-0002-0000-0300-000001000000}">
      <formula1>0</formula1>
      <formula2>360</formula2>
    </dataValidation>
  </dataValidations>
  <pageMargins left="0.7" right="0.7" top="0.75" bottom="0.75" header="0.3" footer="0.3"/>
  <pageSetup scale="10" orientation="portrait" r:id="rId1"/>
  <ignoredErrors>
    <ignoredError sqref="BI1 BI153:BI1048576" listDataValidation="1"/>
  </ignoredErrors>
  <legacyDrawing r:id="rId2"/>
  <tableParts count="1">
    <tablePart r:id="rId3"/>
  </tableParts>
  <extLst>
    <ext xmlns:x14="http://schemas.microsoft.com/office/spreadsheetml/2009/9/main" uri="{CCE6A557-97BC-4b89-ADB6-D9C93CAAB3DF}">
      <x14:dataValidations xmlns:xm="http://schemas.microsoft.com/office/excel/2006/main" disablePrompts="1" count="12">
        <x14:dataValidation type="list" allowBlank="1" showInputMessage="1" showErrorMessage="1" xr:uid="{00000000-0002-0000-0300-000008000000}">
          <x14:formula1>
            <xm:f>'Lookup Picker'!$B$2:$B$40</xm:f>
          </x14:formula1>
          <xm:sqref>I2:I281</xm:sqref>
        </x14:dataValidation>
        <x14:dataValidation type="list" allowBlank="1" showInputMessage="1" showErrorMessage="1" xr:uid="{00000000-0002-0000-0300-000002000000}">
          <x14:formula1>
            <xm:f>'Lookup Picker'!$J$2:$J$43</xm:f>
          </x14:formula1>
          <xm:sqref>AR2:AR281</xm:sqref>
        </x14:dataValidation>
        <x14:dataValidation type="list" allowBlank="1" showInputMessage="1" showErrorMessage="1" xr:uid="{00000000-0002-0000-0300-000004000000}">
          <x14:formula1>
            <xm:f>'Lookup Picker'!$M$2:$M$23</xm:f>
          </x14:formula1>
          <xm:sqref>AM2:AM281</xm:sqref>
        </x14:dataValidation>
        <x14:dataValidation type="list" allowBlank="1" showInputMessage="1" showErrorMessage="1" xr:uid="{00000000-0002-0000-0300-000005000000}">
          <x14:formula1>
            <xm:f>'Lookup Picker'!$N$2:$N$10</xm:f>
          </x14:formula1>
          <xm:sqref>AK2:AK281</xm:sqref>
        </x14:dataValidation>
        <x14:dataValidation type="list" allowBlank="1" showInputMessage="1" showErrorMessage="1" xr:uid="{00000000-0002-0000-0300-000006000000}">
          <x14:formula1>
            <xm:f>'Lookup Picker'!$L$2:$L$28</xm:f>
          </x14:formula1>
          <xm:sqref>T2:T281</xm:sqref>
        </x14:dataValidation>
        <x14:dataValidation type="list" allowBlank="1" showInputMessage="1" showErrorMessage="1" xr:uid="{00000000-0002-0000-0300-000007000000}">
          <x14:formula1>
            <xm:f>'Lookup Picker'!$C$2:$C$13</xm:f>
          </x14:formula1>
          <xm:sqref>L2:L281</xm:sqref>
        </x14:dataValidation>
        <x14:dataValidation type="list" allowBlank="1" showInputMessage="1" showErrorMessage="1" xr:uid="{00000000-0002-0000-0300-000009000000}">
          <x14:formula1>
            <xm:f>'Lookup Picker'!$D$2:$D$11</xm:f>
          </x14:formula1>
          <xm:sqref>M2:M281</xm:sqref>
        </x14:dataValidation>
        <x14:dataValidation type="list" allowBlank="1" showInputMessage="1" showErrorMessage="1" xr:uid="{00000000-0002-0000-0300-00000A000000}">
          <x14:formula1>
            <xm:f>'Lookup Picker'!$E$2:$E$12</xm:f>
          </x14:formula1>
          <xm:sqref>N2:N281</xm:sqref>
        </x14:dataValidation>
        <x14:dataValidation type="list" allowBlank="1" showInputMessage="1" showErrorMessage="1" xr:uid="{00000000-0002-0000-0300-00000B000000}">
          <x14:formula1>
            <xm:f>'Lookup Picker'!$G$2:$G$16</xm:f>
          </x14:formula1>
          <xm:sqref>AB2:AB281</xm:sqref>
        </x14:dataValidation>
        <x14:dataValidation type="list" allowBlank="1" showInputMessage="1" showErrorMessage="1" xr:uid="{00000000-0002-0000-0300-00000C000000}">
          <x14:formula1>
            <xm:f>'Lookup Picker'!$F$2:$F$15</xm:f>
          </x14:formula1>
          <xm:sqref>BC2:BC281 BI1:BI1048576 BF2:BF281</xm:sqref>
        </x14:dataValidation>
        <x14:dataValidation type="list" allowBlank="1" showInputMessage="1" showErrorMessage="1" xr:uid="{00000000-0002-0000-0300-00000D000000}">
          <x14:formula1>
            <xm:f>'Lookup Picker'!$I$2:$I$27</xm:f>
          </x14:formula1>
          <xm:sqref>AQ1:AQ1048576</xm:sqref>
        </x14:dataValidation>
        <x14:dataValidation type="list" allowBlank="1" showInputMessage="1" showErrorMessage="1" xr:uid="{3C7CC199-7CC9-4FA5-AFA2-F99EA594896B}">
          <x14:formula1>
            <xm:f>'Lookup Picker'!$O$2:$O$184</xm:f>
          </x14:formula1>
          <xm:sqref>AO1:AO1048576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0" tint="-0.249977111117893"/>
  </sheetPr>
  <dimension ref="A1:K201"/>
  <sheetViews>
    <sheetView tabSelected="1" zoomScale="90" zoomScaleNormal="90" workbookViewId="0">
      <selection activeCell="K17" sqref="K17"/>
    </sheetView>
  </sheetViews>
  <sheetFormatPr defaultColWidth="9" defaultRowHeight="15" x14ac:dyDescent="0.25"/>
  <cols>
    <col min="1" max="1" width="10.7109375" style="9" customWidth="1"/>
    <col min="2" max="2" width="10.85546875" style="9" customWidth="1"/>
    <col min="3" max="3" width="12" style="9" customWidth="1"/>
    <col min="4" max="4" width="57" style="9" bestFit="1" customWidth="1"/>
    <col min="5" max="5" width="10.42578125" style="9" customWidth="1"/>
    <col min="6" max="6" width="16.28515625" style="9" customWidth="1"/>
    <col min="7" max="7" width="16.5703125" style="9" customWidth="1"/>
    <col min="8" max="8" width="10.140625" style="33" customWidth="1"/>
    <col min="9" max="9" width="10.42578125" style="33" customWidth="1"/>
    <col min="10" max="10" width="14.5703125" style="41" bestFit="1" customWidth="1"/>
    <col min="11" max="11" width="235.7109375" style="44" bestFit="1" customWidth="1"/>
    <col min="12" max="16384" width="9" style="9"/>
  </cols>
  <sheetData>
    <row r="1" spans="1:11" s="133" customFormat="1" ht="53.25" customHeight="1" x14ac:dyDescent="0.25">
      <c r="A1" s="133" t="s">
        <v>1</v>
      </c>
      <c r="B1" s="134" t="s">
        <v>2</v>
      </c>
      <c r="C1" s="133" t="s">
        <v>3</v>
      </c>
      <c r="D1" s="134" t="s">
        <v>0</v>
      </c>
      <c r="E1" s="133" t="s">
        <v>4</v>
      </c>
      <c r="F1" s="133" t="s">
        <v>5</v>
      </c>
      <c r="G1" s="133" t="s">
        <v>6</v>
      </c>
      <c r="H1" s="135" t="s">
        <v>7</v>
      </c>
      <c r="I1" s="135" t="s">
        <v>463</v>
      </c>
      <c r="J1" s="136" t="s">
        <v>8</v>
      </c>
      <c r="K1" s="137" t="s">
        <v>9</v>
      </c>
    </row>
    <row r="2" spans="1:11" s="1" customFormat="1" ht="15.75" hidden="1" x14ac:dyDescent="0.25">
      <c r="A2" s="1">
        <v>999999999</v>
      </c>
      <c r="B2" s="1" t="str">
        <f>IF(Master[[#This Row],[Accession Prefix (NPGS)]]="","",Master[[#This Row],[Accession Prefix (NPGS)]])</f>
        <v>W6</v>
      </c>
      <c r="C2" s="1" t="str">
        <f>"-1"</f>
        <v>-1</v>
      </c>
      <c r="D2" s="114" t="str">
        <f>IF(Master[[#This Row],[Taxon -Lookup Picker in GRIN]]="","",Master[[#This Row],[Taxon -Lookup Picker in GRIN]])</f>
        <v>Linum kingii</v>
      </c>
      <c r="E2" s="1" t="str">
        <f>IF(Master[[#This Row],[Life Form -Lookup Picker]]="","",Master[[#This Row],[Life Form -Lookup Picker]])</f>
        <v/>
      </c>
      <c r="F2" s="1" t="str">
        <f>IF(Master[[#This Row],[Level of Improvement -Lookup Picker]]="","",Master[[#This Row],[Level of Improvement -Lookup Picker]])</f>
        <v>Wild material</v>
      </c>
      <c r="G2" s="1" t="str">
        <f>IF(Master[[#This Row],[Reproductive Uniformity -Lookup Picker]]="","",Master[[#This Row],[Reproductive Uniformity -Lookup Picker]])</f>
        <v/>
      </c>
      <c r="H2" s="11" t="str">
        <f>IF(Master[[#This Row],[Inventory Type - Lookup Picker]]="","",Master[[#This Row],[Inventory Type - Lookup Picker]])</f>
        <v>SD</v>
      </c>
      <c r="I2" s="11" t="str">
        <f t="shared" ref="I2:I21" si="0">"mm/dd/yyyy"</f>
        <v>mm/dd/yyyy</v>
      </c>
      <c r="J2" s="112">
        <f>Master[[#This Row],[Received Date -received by site]]</f>
        <v>43734</v>
      </c>
      <c r="K2" s="43" t="str">
        <f>IF(Master[[#This Row],[Note (Accession Narrative)]]="","",Master[[#This Row],[Note (Accession Narrative)]])</f>
        <v>(General remarks about Accession.)</v>
      </c>
    </row>
    <row r="3" spans="1:11" s="1" customFormat="1" ht="15.75" hidden="1" x14ac:dyDescent="0.25">
      <c r="B3" s="63" t="str">
        <f>IF(Master[[#This Row],[Accession Prefix (NPGS)]]="","",Master[[#This Row],[Accession Prefix (NPGS)]])</f>
        <v>W6</v>
      </c>
      <c r="C3" s="64" t="str">
        <f>IF(Master[[#This Row],[Accession Number -Assigned]]="","",Master[[#This Row],[Accession Number -Assigned]])</f>
        <v/>
      </c>
      <c r="D3" s="115" t="str">
        <f>IF(Master[[#This Row],[Taxon -Lookup Picker in GRIN]]="","",Master[[#This Row],[Taxon -Lookup Picker in GRIN]])</f>
        <v>NAME</v>
      </c>
      <c r="E3" s="63" t="str">
        <f>IF(Master[[#This Row],[Life Form -Lookup Picker]]="","",Master[[#This Row],[Life Form -Lookup Picker]])</f>
        <v/>
      </c>
      <c r="F3" s="63" t="str">
        <f>IF(Master[[#This Row],[Level of Improvement -Lookup Picker]]="","",Master[[#This Row],[Level of Improvement -Lookup Picker]])</f>
        <v>Wild material</v>
      </c>
      <c r="G3" s="63" t="str">
        <f>IF(Master[[#This Row],[Reproductive Uniformity -Lookup Picker]]="","",Master[[#This Row],[Reproductive Uniformity -Lookup Picker]])</f>
        <v/>
      </c>
      <c r="H3" s="65" t="str">
        <f>IF(Master[[#This Row],[Inventory Type - Lookup Picker]]="","",Master[[#This Row],[Inventory Type - Lookup Picker]])</f>
        <v>SD</v>
      </c>
      <c r="I3" s="64" t="str">
        <f t="shared" si="0"/>
        <v>mm/dd/yyyy</v>
      </c>
      <c r="J3" s="113">
        <f>Master[[#This Row],[Received Date -received by site]]</f>
        <v>0</v>
      </c>
      <c r="K3" s="43" t="str">
        <f>IF(Master[[#This Row],[Note (Accession Narrative)]]="","",Master[[#This Row],[Note (Accession Narrative)]])</f>
        <v>DESCRIPTION</v>
      </c>
    </row>
    <row r="4" spans="1:11" s="1" customFormat="1" ht="15.75" x14ac:dyDescent="0.25">
      <c r="B4" s="63" t="str">
        <f>IF(Master[[#This Row],[Accession Prefix (NPGS)]]="","",Master[[#This Row],[Accession Prefix (NPGS)]])</f>
        <v>W6</v>
      </c>
      <c r="C4" s="64">
        <f>IF(Master[[#This Row],[Accession Number -Assigned]]="","",Master[[#This Row],[Accession Number -Assigned]])</f>
        <v>59590</v>
      </c>
      <c r="D4" s="115" t="str">
        <f>IF(Master[[#This Row],[Taxon -Lookup Picker in GRIN]]="","",Master[[#This Row],[Taxon -Lookup Picker in GRIN]])</f>
        <v>Packera multilobata</v>
      </c>
      <c r="E4" s="63" t="str">
        <f>IF(Master[[#This Row],[Life Form -Lookup Picker]]="","",Master[[#This Row],[Life Form -Lookup Picker]])</f>
        <v/>
      </c>
      <c r="F4" s="63" t="str">
        <f>IF(Master[[#This Row],[Level of Improvement -Lookup Picker]]="","",Master[[#This Row],[Level of Improvement -Lookup Picker]])</f>
        <v>Wild material</v>
      </c>
      <c r="G4" s="63" t="str">
        <f>IF(Master[[#This Row],[Reproductive Uniformity -Lookup Picker]]="","",Master[[#This Row],[Reproductive Uniformity -Lookup Picker]])</f>
        <v/>
      </c>
      <c r="H4" s="65" t="str">
        <f>IF(Master[[#This Row],[Inventory Type - Lookup Picker]]="","",Master[[#This Row],[Inventory Type - Lookup Picker]])</f>
        <v>SD</v>
      </c>
      <c r="I4" s="64" t="str">
        <f t="shared" si="0"/>
        <v>mm/dd/yyyy</v>
      </c>
      <c r="J4" s="113">
        <f>Master[[#This Row],[Received Date -received by site]]</f>
        <v>44466</v>
      </c>
      <c r="K4" s="43" t="str">
        <f>IF(Master[[#This Row],[Note (Accession Narrative)]]="","",Master[[#This Row],[Note (Accession Narrative)]])</f>
        <v>Leaves alternate, obovate to oblanceolate, deeply pinnatifid. Corymb-like clusters, yellow disks, involucre bracts</v>
      </c>
    </row>
    <row r="5" spans="1:11" s="1" customFormat="1" ht="15.75" x14ac:dyDescent="0.25">
      <c r="B5" s="63" t="str">
        <f>IF(Master[[#This Row],[Accession Prefix (NPGS)]]="","",Master[[#This Row],[Accession Prefix (NPGS)]])</f>
        <v>W6</v>
      </c>
      <c r="C5" s="64">
        <f>IF(Master[[#This Row],[Accession Number -Assigned]]="","",Master[[#This Row],[Accession Number -Assigned]])</f>
        <v>59591</v>
      </c>
      <c r="D5" s="115" t="str">
        <f>IF(Master[[#This Row],[Taxon -Lookup Picker in GRIN]]="","",Master[[#This Row],[Taxon -Lookup Picker in GRIN]])</f>
        <v>Penstemon osterhoutii</v>
      </c>
      <c r="E5" s="63" t="str">
        <f>IF(Master[[#This Row],[Life Form -Lookup Picker]]="","",Master[[#This Row],[Life Form -Lookup Picker]])</f>
        <v/>
      </c>
      <c r="F5" s="63" t="str">
        <f>IF(Master[[#This Row],[Level of Improvement -Lookup Picker]]="","",Master[[#This Row],[Level of Improvement -Lookup Picker]])</f>
        <v>Wild material</v>
      </c>
      <c r="G5" s="63" t="str">
        <f>IF(Master[[#This Row],[Reproductive Uniformity -Lookup Picker]]="","",Master[[#This Row],[Reproductive Uniformity -Lookup Picker]])</f>
        <v/>
      </c>
      <c r="H5" s="65" t="str">
        <f>IF(Master[[#This Row],[Inventory Type - Lookup Picker]]="","",Master[[#This Row],[Inventory Type - Lookup Picker]])</f>
        <v>SD</v>
      </c>
      <c r="I5" s="64" t="str">
        <f t="shared" si="0"/>
        <v>mm/dd/yyyy</v>
      </c>
      <c r="J5" s="113">
        <f>Master[[#This Row],[Received Date -received by site]]</f>
        <v>44466</v>
      </c>
      <c r="K5" s="43" t="str">
        <f>IF(Master[[#This Row],[Note (Accession Narrative)]]="","",Master[[#This Row],[Note (Accession Narrative)]])</f>
        <v>Violet blue flowers, cylindrical inflorescence, densely paniculate with many flowers, staminode barely exerted, densely short bearded at apex, leaves ovate, glabrous/glaucous</v>
      </c>
    </row>
    <row r="6" spans="1:11" s="1" customFormat="1" ht="15.75" x14ac:dyDescent="0.25">
      <c r="B6" s="63" t="str">
        <f>IF(Master[[#This Row],[Accession Prefix (NPGS)]]="","",Master[[#This Row],[Accession Prefix (NPGS)]])</f>
        <v>W6</v>
      </c>
      <c r="C6" s="64">
        <f>IF(Master[[#This Row],[Accession Number -Assigned]]="","",Master[[#This Row],[Accession Number -Assigned]])</f>
        <v>59592</v>
      </c>
      <c r="D6" s="115" t="str">
        <f>IF(Master[[#This Row],[Taxon -Lookup Picker in GRIN]]="","",Master[[#This Row],[Taxon -Lookup Picker in GRIN]])</f>
        <v>Orthocarpus luteus</v>
      </c>
      <c r="E6" s="63" t="str">
        <f>IF(Master[[#This Row],[Life Form -Lookup Picker]]="","",Master[[#This Row],[Life Form -Lookup Picker]])</f>
        <v/>
      </c>
      <c r="F6" s="63" t="str">
        <f>IF(Master[[#This Row],[Level of Improvement -Lookup Picker]]="","",Master[[#This Row],[Level of Improvement -Lookup Picker]])</f>
        <v>Wild material</v>
      </c>
      <c r="G6" s="63" t="str">
        <f>IF(Master[[#This Row],[Reproductive Uniformity -Lookup Picker]]="","",Master[[#This Row],[Reproductive Uniformity -Lookup Picker]])</f>
        <v/>
      </c>
      <c r="H6" s="65" t="str">
        <f>IF(Master[[#This Row],[Inventory Type - Lookup Picker]]="","",Master[[#This Row],[Inventory Type - Lookup Picker]])</f>
        <v>SD</v>
      </c>
      <c r="I6" s="64" t="str">
        <f t="shared" si="0"/>
        <v>mm/dd/yyyy</v>
      </c>
      <c r="J6" s="113">
        <f>Master[[#This Row],[Received Date -received by site]]</f>
        <v>44466</v>
      </c>
      <c r="K6" s="43" t="str">
        <f>IF(Master[[#This Row],[Note (Accession Narrative)]]="","",Master[[#This Row],[Note (Accession Narrative)]])</f>
        <v>flowers: yellow, partly covered by calyx; leaves: sessile, lanceolate, purple to reddish, green toward top of stem; stem: red to purple</v>
      </c>
    </row>
    <row r="7" spans="1:11" s="1" customFormat="1" ht="15.75" x14ac:dyDescent="0.25">
      <c r="B7" s="63" t="str">
        <f>IF(Master[[#This Row],[Accession Prefix (NPGS)]]="","",Master[[#This Row],[Accession Prefix (NPGS)]])</f>
        <v>W6</v>
      </c>
      <c r="C7" s="64">
        <f>IF(Master[[#This Row],[Accession Number -Assigned]]="","",Master[[#This Row],[Accession Number -Assigned]])</f>
        <v>59593</v>
      </c>
      <c r="D7" s="115" t="str">
        <f>IF(Master[[#This Row],[Taxon -Lookup Picker in GRIN]]="","",Master[[#This Row],[Taxon -Lookup Picker in GRIN]])</f>
        <v>Purshia tridentata</v>
      </c>
      <c r="E7" s="63" t="str">
        <f>IF(Master[[#This Row],[Life Form -Lookup Picker]]="","",Master[[#This Row],[Life Form -Lookup Picker]])</f>
        <v/>
      </c>
      <c r="F7" s="63" t="str">
        <f>IF(Master[[#This Row],[Level of Improvement -Lookup Picker]]="","",Master[[#This Row],[Level of Improvement -Lookup Picker]])</f>
        <v>Wild material</v>
      </c>
      <c r="G7" s="63" t="str">
        <f>IF(Master[[#This Row],[Reproductive Uniformity -Lookup Picker]]="","",Master[[#This Row],[Reproductive Uniformity -Lookup Picker]])</f>
        <v/>
      </c>
      <c r="H7" s="65" t="str">
        <f>IF(Master[[#This Row],[Inventory Type - Lookup Picker]]="","",Master[[#This Row],[Inventory Type - Lookup Picker]])</f>
        <v>SD</v>
      </c>
      <c r="I7" s="64" t="str">
        <f t="shared" si="0"/>
        <v>mm/dd/yyyy</v>
      </c>
      <c r="J7" s="113">
        <f>Master[[#This Row],[Received Date -received by site]]</f>
        <v>44466</v>
      </c>
      <c r="K7" s="43" t="str">
        <f>IF(Master[[#This Row],[Note (Accession Narrative)]]="","",Master[[#This Row],[Note (Accession Narrative)]])</f>
        <v>petals: 5, white to light yellow; sepals: 5, light green; leaves: green tometose on adaxial surface, witish tometose on abaxial surface, alternate, simple, 3 lobed at apex; fruit: ovoid achene, papery brown outer, with reddish purple seed inside</v>
      </c>
    </row>
    <row r="8" spans="1:11" s="1" customFormat="1" ht="15.75" x14ac:dyDescent="0.25">
      <c r="B8" s="63" t="str">
        <f>IF(Master[[#This Row],[Accession Prefix (NPGS)]]="","",Master[[#This Row],[Accession Prefix (NPGS)]])</f>
        <v>W6</v>
      </c>
      <c r="C8" s="64">
        <f>IF(Master[[#This Row],[Accession Number -Assigned]]="","",Master[[#This Row],[Accession Number -Assigned]])</f>
        <v>59594</v>
      </c>
      <c r="D8" s="115" t="str">
        <f>IF(Master[[#This Row],[Taxon -Lookup Picker in GRIN]]="","",Master[[#This Row],[Taxon -Lookup Picker in GRIN]])</f>
        <v>Pascopyrum smithii</v>
      </c>
      <c r="E8" s="63" t="str">
        <f>IF(Master[[#This Row],[Life Form -Lookup Picker]]="","",Master[[#This Row],[Life Form -Lookup Picker]])</f>
        <v/>
      </c>
      <c r="F8" s="63" t="str">
        <f>IF(Master[[#This Row],[Level of Improvement -Lookup Picker]]="","",Master[[#This Row],[Level of Improvement -Lookup Picker]])</f>
        <v>Wild material</v>
      </c>
      <c r="G8" s="63" t="str">
        <f>IF(Master[[#This Row],[Reproductive Uniformity -Lookup Picker]]="","",Master[[#This Row],[Reproductive Uniformity -Lookup Picker]])</f>
        <v/>
      </c>
      <c r="H8" s="65" t="str">
        <f>IF(Master[[#This Row],[Inventory Type - Lookup Picker]]="","",Master[[#This Row],[Inventory Type - Lookup Picker]])</f>
        <v>SD</v>
      </c>
      <c r="I8" s="64" t="str">
        <f t="shared" si="0"/>
        <v>mm/dd/yyyy</v>
      </c>
      <c r="J8" s="113">
        <f>Master[[#This Row],[Received Date -received by site]]</f>
        <v>44466</v>
      </c>
      <c r="K8" s="43" t="str">
        <f>IF(Master[[#This Row],[Note (Accession Narrative)]]="","",Master[[#This Row],[Note (Accession Narrative)]])</f>
        <v>Culms erect, sheaths open, blades flat to in-rolled, rigid upper surface striate, inflorescence erect terminal spike, spikelet tightly overlapped</v>
      </c>
    </row>
    <row r="9" spans="1:11" s="1" customFormat="1" ht="15.75" x14ac:dyDescent="0.25">
      <c r="B9" s="63" t="str">
        <f>IF(Master[[#This Row],[Accession Prefix (NPGS)]]="","",Master[[#This Row],[Accession Prefix (NPGS)]])</f>
        <v>W6</v>
      </c>
      <c r="C9" s="64">
        <f>IF(Master[[#This Row],[Accession Number -Assigned]]="","",Master[[#This Row],[Accession Number -Assigned]])</f>
        <v>59595</v>
      </c>
      <c r="D9" s="115" t="str">
        <f>IF(Master[[#This Row],[Taxon -Lookup Picker in GRIN]]="","",Master[[#This Row],[Taxon -Lookup Picker in GRIN]])</f>
        <v>Erigeron speciosus</v>
      </c>
      <c r="E9" s="63" t="str">
        <f>IF(Master[[#This Row],[Life Form -Lookup Picker]]="","",Master[[#This Row],[Life Form -Lookup Picker]])</f>
        <v/>
      </c>
      <c r="F9" s="63" t="str">
        <f>IF(Master[[#This Row],[Level of Improvement -Lookup Picker]]="","",Master[[#This Row],[Level of Improvement -Lookup Picker]])</f>
        <v>Wild material</v>
      </c>
      <c r="G9" s="63" t="str">
        <f>IF(Master[[#This Row],[Reproductive Uniformity -Lookup Picker]]="","",Master[[#This Row],[Reproductive Uniformity -Lookup Picker]])</f>
        <v/>
      </c>
      <c r="H9" s="65" t="str">
        <f>IF(Master[[#This Row],[Inventory Type - Lookup Picker]]="","",Master[[#This Row],[Inventory Type - Lookup Picker]])</f>
        <v>SD</v>
      </c>
      <c r="I9" s="64" t="str">
        <f t="shared" si="0"/>
        <v>mm/dd/yyyy</v>
      </c>
      <c r="J9" s="113">
        <f>Master[[#This Row],[Received Date -received by site]]</f>
        <v>44466</v>
      </c>
      <c r="K9" s="43" t="str">
        <f>IF(Master[[#This Row],[Note (Accession Narrative)]]="","",Master[[#This Row],[Note (Accession Narrative)]])</f>
        <v>Erect stems, cauline leaves oblanceolate to ovate, glabrous, involucre glandular, flowers in terminal groups, blue violet rays, yellow disks</v>
      </c>
    </row>
    <row r="10" spans="1:11" s="1" customFormat="1" ht="15.75" x14ac:dyDescent="0.25">
      <c r="B10" s="63" t="str">
        <f>IF(Master[[#This Row],[Accession Prefix (NPGS)]]="","",Master[[#This Row],[Accession Prefix (NPGS)]])</f>
        <v>W6</v>
      </c>
      <c r="C10" s="64">
        <f>IF(Master[[#This Row],[Accession Number -Assigned]]="","",Master[[#This Row],[Accession Number -Assigned]])</f>
        <v>59596</v>
      </c>
      <c r="D10" s="115" t="str">
        <f>IF(Master[[#This Row],[Taxon -Lookup Picker in GRIN]]="","",Master[[#This Row],[Taxon -Lookup Picker in GRIN]])</f>
        <v>Eriogonum umbellatum</v>
      </c>
      <c r="E10" s="63" t="str">
        <f>IF(Master[[#This Row],[Life Form -Lookup Picker]]="","",Master[[#This Row],[Life Form -Lookup Picker]])</f>
        <v/>
      </c>
      <c r="F10" s="63" t="str">
        <f>IF(Master[[#This Row],[Level of Improvement -Lookup Picker]]="","",Master[[#This Row],[Level of Improvement -Lookup Picker]])</f>
        <v>Wild material</v>
      </c>
      <c r="G10" s="63" t="str">
        <f>IF(Master[[#This Row],[Reproductive Uniformity -Lookup Picker]]="","",Master[[#This Row],[Reproductive Uniformity -Lookup Picker]])</f>
        <v/>
      </c>
      <c r="H10" s="65" t="str">
        <f>IF(Master[[#This Row],[Inventory Type - Lookup Picker]]="","",Master[[#This Row],[Inventory Type - Lookup Picker]])</f>
        <v>SD</v>
      </c>
      <c r="I10" s="64" t="str">
        <f t="shared" si="0"/>
        <v>mm/dd/yyyy</v>
      </c>
      <c r="J10" s="113">
        <f>Master[[#This Row],[Received Date -received by site]]</f>
        <v>44466</v>
      </c>
      <c r="K10" s="43" t="str">
        <f>IF(Master[[#This Row],[Note (Accession Narrative)]]="","",Master[[#This Row],[Note (Accession Narrative)]])</f>
        <v>Stems glabrous to hairy, leaves basal, oblong ovate, gray-green, umbellate inflorescence, subtended by a whorl of leaf-like bracts, involucre cone to bell shaped, tepals yellow</v>
      </c>
    </row>
    <row r="11" spans="1:11" s="1" customFormat="1" ht="15.75" x14ac:dyDescent="0.25">
      <c r="B11" s="63" t="str">
        <f>IF(Master[[#This Row],[Accession Prefix (NPGS)]]="","",Master[[#This Row],[Accession Prefix (NPGS)]])</f>
        <v>W6</v>
      </c>
      <c r="C11" s="64">
        <f>IF(Master[[#This Row],[Accession Number -Assigned]]="","",Master[[#This Row],[Accession Number -Assigned]])</f>
        <v>59597</v>
      </c>
      <c r="D11" s="115" t="str">
        <f>IF(Master[[#This Row],[Taxon -Lookup Picker in GRIN]]="","",Master[[#This Row],[Taxon -Lookup Picker in GRIN]])</f>
        <v>Erigeron speciosus</v>
      </c>
      <c r="E11" s="63" t="str">
        <f>IF(Master[[#This Row],[Life Form -Lookup Picker]]="","",Master[[#This Row],[Life Form -Lookup Picker]])</f>
        <v/>
      </c>
      <c r="F11" s="63" t="str">
        <f>IF(Master[[#This Row],[Level of Improvement -Lookup Picker]]="","",Master[[#This Row],[Level of Improvement -Lookup Picker]])</f>
        <v>Wild material</v>
      </c>
      <c r="G11" s="63" t="str">
        <f>IF(Master[[#This Row],[Reproductive Uniformity -Lookup Picker]]="","",Master[[#This Row],[Reproductive Uniformity -Lookup Picker]])</f>
        <v/>
      </c>
      <c r="H11" s="65" t="str">
        <f>IF(Master[[#This Row],[Inventory Type - Lookup Picker]]="","",Master[[#This Row],[Inventory Type - Lookup Picker]])</f>
        <v>SD</v>
      </c>
      <c r="I11" s="64" t="str">
        <f t="shared" si="0"/>
        <v>mm/dd/yyyy</v>
      </c>
      <c r="J11" s="113">
        <f>Master[[#This Row],[Received Date -received by site]]</f>
        <v>44466</v>
      </c>
      <c r="K11" s="43" t="str">
        <f>IF(Master[[#This Row],[Note (Accession Narrative)]]="","",Master[[#This Row],[Note (Accession Narrative)]])</f>
        <v>Erect stems, cauline leaves oblanceolate to ovate, glabrous, involucre glandular, flowers in terminal groups, blue violet rays, yellow disks</v>
      </c>
    </row>
    <row r="12" spans="1:11" s="1" customFormat="1" ht="15.75" x14ac:dyDescent="0.25">
      <c r="B12" s="63" t="str">
        <f>IF(Master[[#This Row],[Accession Prefix (NPGS)]]="","",Master[[#This Row],[Accession Prefix (NPGS)]])</f>
        <v>W6</v>
      </c>
      <c r="C12" s="64">
        <f>IF(Master[[#This Row],[Accession Number -Assigned]]="","",Master[[#This Row],[Accession Number -Assigned]])</f>
        <v>59598</v>
      </c>
      <c r="D12" s="115" t="str">
        <f>IF(Master[[#This Row],[Taxon -Lookup Picker in GRIN]]="","",Master[[#This Row],[Taxon -Lookup Picker in GRIN]])</f>
        <v>Elymus elymoides</v>
      </c>
      <c r="E12" s="63" t="str">
        <f>IF(Master[[#This Row],[Life Form -Lookup Picker]]="","",Master[[#This Row],[Life Form -Lookup Picker]])</f>
        <v/>
      </c>
      <c r="F12" s="63" t="str">
        <f>IF(Master[[#This Row],[Level of Improvement -Lookup Picker]]="","",Master[[#This Row],[Level of Improvement -Lookup Picker]])</f>
        <v>Wild material</v>
      </c>
      <c r="G12" s="63" t="str">
        <f>IF(Master[[#This Row],[Reproductive Uniformity -Lookup Picker]]="","",Master[[#This Row],[Reproductive Uniformity -Lookup Picker]])</f>
        <v/>
      </c>
      <c r="H12" s="65" t="str">
        <f>IF(Master[[#This Row],[Inventory Type - Lookup Picker]]="","",Master[[#This Row],[Inventory Type - Lookup Picker]])</f>
        <v>SD</v>
      </c>
      <c r="I12" s="64" t="str">
        <f t="shared" si="0"/>
        <v>mm/dd/yyyy</v>
      </c>
      <c r="J12" s="113">
        <f>Master[[#This Row],[Received Date -received by site]]</f>
        <v>44466</v>
      </c>
      <c r="K12" s="43" t="str">
        <f>IF(Master[[#This Row],[Note (Accession Narrative)]]="","",Master[[#This Row],[Note (Accession Narrative)]])</f>
        <v>inflorescence: purple at tips, green at base, culms erect to spreading; blades: flat to slightly rolled</v>
      </c>
    </row>
    <row r="13" spans="1:11" s="1" customFormat="1" ht="15.75" x14ac:dyDescent="0.25">
      <c r="B13" s="63" t="str">
        <f>IF(Master[[#This Row],[Accession Prefix (NPGS)]]="","",Master[[#This Row],[Accession Prefix (NPGS)]])</f>
        <v>W6</v>
      </c>
      <c r="C13" s="64">
        <f>IF(Master[[#This Row],[Accession Number -Assigned]]="","",Master[[#This Row],[Accession Number -Assigned]])</f>
        <v>59599</v>
      </c>
      <c r="D13" s="115" t="str">
        <f>IF(Master[[#This Row],[Taxon -Lookup Picker in GRIN]]="","",Master[[#This Row],[Taxon -Lookup Picker in GRIN]])</f>
        <v>Erigeron speciosus</v>
      </c>
      <c r="E13" s="63" t="str">
        <f>IF(Master[[#This Row],[Life Form -Lookup Picker]]="","",Master[[#This Row],[Life Form -Lookup Picker]])</f>
        <v/>
      </c>
      <c r="F13" s="63" t="str">
        <f>IF(Master[[#This Row],[Level of Improvement -Lookup Picker]]="","",Master[[#This Row],[Level of Improvement -Lookup Picker]])</f>
        <v>Wild material</v>
      </c>
      <c r="G13" s="63" t="str">
        <f>IF(Master[[#This Row],[Reproductive Uniformity -Lookup Picker]]="","",Master[[#This Row],[Reproductive Uniformity -Lookup Picker]])</f>
        <v/>
      </c>
      <c r="H13" s="65" t="str">
        <f>IF(Master[[#This Row],[Inventory Type - Lookup Picker]]="","",Master[[#This Row],[Inventory Type - Lookup Picker]])</f>
        <v>SD</v>
      </c>
      <c r="I13" s="64" t="str">
        <f t="shared" si="0"/>
        <v>mm/dd/yyyy</v>
      </c>
      <c r="J13" s="113">
        <f>Master[[#This Row],[Received Date -received by site]]</f>
        <v>44466</v>
      </c>
      <c r="K13" s="43" t="str">
        <f>IF(Master[[#This Row],[Note (Accession Narrative)]]="","",Master[[#This Row],[Note (Accession Narrative)]])</f>
        <v>flowers: light purple ray, yellow disc; leaves: alternate, slightly toothed, sessile, lanceolate, pubescent; stems: green, pubescent</v>
      </c>
    </row>
    <row r="14" spans="1:11" s="1" customFormat="1" ht="15.75" x14ac:dyDescent="0.25">
      <c r="B14" s="63" t="str">
        <f>IF(Master[[#This Row],[Accession Prefix (NPGS)]]="","",Master[[#This Row],[Accession Prefix (NPGS)]])</f>
        <v>W6</v>
      </c>
      <c r="C14" s="64">
        <f>IF(Master[[#This Row],[Accession Number -Assigned]]="","",Master[[#This Row],[Accession Number -Assigned]])</f>
        <v>59600</v>
      </c>
      <c r="D14" s="115" t="str">
        <f>IF(Master[[#This Row],[Taxon -Lookup Picker in GRIN]]="","",Master[[#This Row],[Taxon -Lookup Picker in GRIN]])</f>
        <v>Hymenoxys hoopesii</v>
      </c>
      <c r="E14" s="63" t="str">
        <f>IF(Master[[#This Row],[Life Form -Lookup Picker]]="","",Master[[#This Row],[Life Form -Lookup Picker]])</f>
        <v/>
      </c>
      <c r="F14" s="63" t="str">
        <f>IF(Master[[#This Row],[Level of Improvement -Lookup Picker]]="","",Master[[#This Row],[Level of Improvement -Lookup Picker]])</f>
        <v>Wild material</v>
      </c>
      <c r="G14" s="63" t="str">
        <f>IF(Master[[#This Row],[Reproductive Uniformity -Lookup Picker]]="","",Master[[#This Row],[Reproductive Uniformity -Lookup Picker]])</f>
        <v/>
      </c>
      <c r="H14" s="65" t="str">
        <f>IF(Master[[#This Row],[Inventory Type - Lookup Picker]]="","",Master[[#This Row],[Inventory Type - Lookup Picker]])</f>
        <v>SD</v>
      </c>
      <c r="I14" s="64" t="str">
        <f t="shared" si="0"/>
        <v>mm/dd/yyyy</v>
      </c>
      <c r="J14" s="113">
        <f>Master[[#This Row],[Received Date -received by site]]</f>
        <v>44466</v>
      </c>
      <c r="K14" s="43" t="str">
        <f>IF(Master[[#This Row],[Note (Accession Narrative)]]="","",Master[[#This Row],[Note (Accession Narrative)]])</f>
        <v>flowers: dark yellow to orange ray and disc flowers, ray flowers drooping and 2 lobed at apex; inflorescence: branching with solitary heads; leaves: dense basal rosette, leaves up stem alternate, pubescent; stem: pubescent, red at base becoming green at top</v>
      </c>
    </row>
    <row r="15" spans="1:11" s="1" customFormat="1" ht="15.75" x14ac:dyDescent="0.25">
      <c r="B15" s="63" t="str">
        <f>IF(Master[[#This Row],[Accession Prefix (NPGS)]]="","",Master[[#This Row],[Accession Prefix (NPGS)]])</f>
        <v>W6</v>
      </c>
      <c r="C15" s="64">
        <f>IF(Master[[#This Row],[Accession Number -Assigned]]="","",Master[[#This Row],[Accession Number -Assigned]])</f>
        <v>59601</v>
      </c>
      <c r="D15" s="115" t="str">
        <f>IF(Master[[#This Row],[Taxon -Lookup Picker in GRIN]]="","",Master[[#This Row],[Taxon -Lookup Picker in GRIN]])</f>
        <v>Heliomeris multiflora</v>
      </c>
      <c r="E15" s="63" t="str">
        <f>IF(Master[[#This Row],[Life Form -Lookup Picker]]="","",Master[[#This Row],[Life Form -Lookup Picker]])</f>
        <v/>
      </c>
      <c r="F15" s="63" t="str">
        <f>IF(Master[[#This Row],[Level of Improvement -Lookup Picker]]="","",Master[[#This Row],[Level of Improvement -Lookup Picker]])</f>
        <v>Wild material</v>
      </c>
      <c r="G15" s="63" t="str">
        <f>IF(Master[[#This Row],[Reproductive Uniformity -Lookup Picker]]="","",Master[[#This Row],[Reproductive Uniformity -Lookup Picker]])</f>
        <v/>
      </c>
      <c r="H15" s="65" t="str">
        <f>IF(Master[[#This Row],[Inventory Type - Lookup Picker]]="","",Master[[#This Row],[Inventory Type - Lookup Picker]])</f>
        <v>SD</v>
      </c>
      <c r="I15" s="64" t="str">
        <f t="shared" si="0"/>
        <v>mm/dd/yyyy</v>
      </c>
      <c r="J15" s="113">
        <f>Master[[#This Row],[Received Date -received by site]]</f>
        <v>44466</v>
      </c>
      <c r="K15" s="43" t="str">
        <f>IF(Master[[#This Row],[Note (Accession Narrative)]]="","",Master[[#This Row],[Note (Accession Narrative)]])</f>
        <v>Stems branching, leaves linear to ovate, short hairy, singular flower heads, yellow ray flowers, yellow disk flowers</v>
      </c>
    </row>
    <row r="16" spans="1:11" s="1" customFormat="1" ht="15.75" x14ac:dyDescent="0.25">
      <c r="B16" s="63" t="str">
        <f>IF(Master[[#This Row],[Accession Prefix (NPGS)]]="","",Master[[#This Row],[Accession Prefix (NPGS)]])</f>
        <v>W6</v>
      </c>
      <c r="C16" s="64">
        <f>IF(Master[[#This Row],[Accession Number -Assigned]]="","",Master[[#This Row],[Accession Number -Assigned]])</f>
        <v>59602</v>
      </c>
      <c r="D16" s="115" t="str">
        <f>IF(Master[[#This Row],[Taxon -Lookup Picker in GRIN]]="","",Master[[#This Row],[Taxon -Lookup Picker in GRIN]])</f>
        <v>Erigeron speciosus</v>
      </c>
      <c r="E16" s="63" t="str">
        <f>IF(Master[[#This Row],[Life Form -Lookup Picker]]="","",Master[[#This Row],[Life Form -Lookup Picker]])</f>
        <v/>
      </c>
      <c r="F16" s="63" t="str">
        <f>IF(Master[[#This Row],[Level of Improvement -Lookup Picker]]="","",Master[[#This Row],[Level of Improvement -Lookup Picker]])</f>
        <v>Wild material</v>
      </c>
      <c r="G16" s="63" t="str">
        <f>IF(Master[[#This Row],[Reproductive Uniformity -Lookup Picker]]="","",Master[[#This Row],[Reproductive Uniformity -Lookup Picker]])</f>
        <v/>
      </c>
      <c r="H16" s="65" t="str">
        <f>IF(Master[[#This Row],[Inventory Type - Lookup Picker]]="","",Master[[#This Row],[Inventory Type - Lookup Picker]])</f>
        <v>SD</v>
      </c>
      <c r="I16" s="64" t="str">
        <f t="shared" si="0"/>
        <v>mm/dd/yyyy</v>
      </c>
      <c r="J16" s="113">
        <f>Master[[#This Row],[Received Date -received by site]]</f>
        <v>44466</v>
      </c>
      <c r="K16" s="43" t="str">
        <f>IF(Master[[#This Row],[Note (Accession Narrative)]]="","",Master[[#This Row],[Note (Accession Narrative)]])</f>
        <v>Erect stems, cauline leaves oblanceolate to ovate, glabrous, involucre glandular, flowers in terminal groups, blue violet rays, yellow disks</v>
      </c>
    </row>
    <row r="17" spans="2:11" s="1" customFormat="1" ht="15.75" x14ac:dyDescent="0.25">
      <c r="B17" s="63" t="str">
        <f>IF(Master[[#This Row],[Accession Prefix (NPGS)]]="","",Master[[#This Row],[Accession Prefix (NPGS)]])</f>
        <v>W6</v>
      </c>
      <c r="C17" s="64">
        <f>IF(Master[[#This Row],[Accession Number -Assigned]]="","",Master[[#This Row],[Accession Number -Assigned]])</f>
        <v>59603</v>
      </c>
      <c r="D17" s="115" t="str">
        <f>IF(Master[[#This Row],[Taxon -Lookup Picker in GRIN]]="","",Master[[#This Row],[Taxon -Lookup Picker in GRIN]])</f>
        <v>Erigeron speciosus</v>
      </c>
      <c r="E17" s="63" t="str">
        <f>IF(Master[[#This Row],[Life Form -Lookup Picker]]="","",Master[[#This Row],[Life Form -Lookup Picker]])</f>
        <v/>
      </c>
      <c r="F17" s="63" t="str">
        <f>IF(Master[[#This Row],[Level of Improvement -Lookup Picker]]="","",Master[[#This Row],[Level of Improvement -Lookup Picker]])</f>
        <v>Wild material</v>
      </c>
      <c r="G17" s="63" t="str">
        <f>IF(Master[[#This Row],[Reproductive Uniformity -Lookup Picker]]="","",Master[[#This Row],[Reproductive Uniformity -Lookup Picker]])</f>
        <v/>
      </c>
      <c r="H17" s="65" t="str">
        <f>IF(Master[[#This Row],[Inventory Type - Lookup Picker]]="","",Master[[#This Row],[Inventory Type - Lookup Picker]])</f>
        <v>SD</v>
      </c>
      <c r="I17" s="64" t="str">
        <f t="shared" si="0"/>
        <v>mm/dd/yyyy</v>
      </c>
      <c r="J17" s="113">
        <f>Master[[#This Row],[Received Date -received by site]]</f>
        <v>44466</v>
      </c>
      <c r="K17" s="43" t="str">
        <f>IF(Master[[#This Row],[Note (Accession Narrative)]]="","",Master[[#This Row],[Note (Accession Narrative)]])</f>
        <v>flowers: light purple ray, yellow disc; leaves: alternate, slightly toothed, sessile, oblanceolate, pubescent; stems: green, pubescent</v>
      </c>
    </row>
    <row r="18" spans="2:11" s="1" customFormat="1" ht="15.75" x14ac:dyDescent="0.25">
      <c r="B18" s="63" t="str">
        <f>IF(Master[[#This Row],[Accession Prefix (NPGS)]]="","",Master[[#This Row],[Accession Prefix (NPGS)]])</f>
        <v>W6</v>
      </c>
      <c r="C18" s="64">
        <f>IF(Master[[#This Row],[Accession Number -Assigned]]="","",Master[[#This Row],[Accession Number -Assigned]])</f>
        <v>59604</v>
      </c>
      <c r="D18" s="115" t="str">
        <f>IF(Master[[#This Row],[Taxon -Lookup Picker in GRIN]]="","",Master[[#This Row],[Taxon -Lookup Picker in GRIN]])</f>
        <v>Orthocarpus luteus</v>
      </c>
      <c r="E18" s="63" t="str">
        <f>IF(Master[[#This Row],[Life Form -Lookup Picker]]="","",Master[[#This Row],[Life Form -Lookup Picker]])</f>
        <v/>
      </c>
      <c r="F18" s="63" t="str">
        <f>IF(Master[[#This Row],[Level of Improvement -Lookup Picker]]="","",Master[[#This Row],[Level of Improvement -Lookup Picker]])</f>
        <v>Wild material</v>
      </c>
      <c r="G18" s="63" t="str">
        <f>IF(Master[[#This Row],[Reproductive Uniformity -Lookup Picker]]="","",Master[[#This Row],[Reproductive Uniformity -Lookup Picker]])</f>
        <v/>
      </c>
      <c r="H18" s="65" t="str">
        <f>IF(Master[[#This Row],[Inventory Type - Lookup Picker]]="","",Master[[#This Row],[Inventory Type - Lookup Picker]])</f>
        <v>SD</v>
      </c>
      <c r="I18" s="64" t="str">
        <f t="shared" si="0"/>
        <v>mm/dd/yyyy</v>
      </c>
      <c r="J18" s="113">
        <f>Master[[#This Row],[Received Date -received by site]]</f>
        <v>44466</v>
      </c>
      <c r="K18" s="43" t="str">
        <f>IF(Master[[#This Row],[Note (Accession Narrative)]]="","",Master[[#This Row],[Note (Accession Narrative)]])</f>
        <v>flowers: yellow, partly covered by calyx; leaves: sessile, lanceolate, purple to reddish, green toward top of stem, pubescent; stem: red to purple, pubescent; seed pods: brown and dry if mature, green when immature</v>
      </c>
    </row>
    <row r="19" spans="2:11" s="1" customFormat="1" ht="15.75" x14ac:dyDescent="0.25">
      <c r="B19" s="63" t="str">
        <f>IF(Master[[#This Row],[Accession Prefix (NPGS)]]="","",Master[[#This Row],[Accession Prefix (NPGS)]])</f>
        <v>W6</v>
      </c>
      <c r="C19" s="64">
        <f>IF(Master[[#This Row],[Accession Number -Assigned]]="","",Master[[#This Row],[Accession Number -Assigned]])</f>
        <v>59605</v>
      </c>
      <c r="D19" s="115" t="str">
        <f>IF(Master[[#This Row],[Taxon -Lookup Picker in GRIN]]="","",Master[[#This Row],[Taxon -Lookup Picker in GRIN]])</f>
        <v>Mentzelia multiflora</v>
      </c>
      <c r="E19" s="63" t="str">
        <f>IF(Master[[#This Row],[Life Form -Lookup Picker]]="","",Master[[#This Row],[Life Form -Lookup Picker]])</f>
        <v/>
      </c>
      <c r="F19" s="63" t="str">
        <f>IF(Master[[#This Row],[Level of Improvement -Lookup Picker]]="","",Master[[#This Row],[Level of Improvement -Lookup Picker]])</f>
        <v>Wild material</v>
      </c>
      <c r="G19" s="63" t="str">
        <f>IF(Master[[#This Row],[Reproductive Uniformity -Lookup Picker]]="","",Master[[#This Row],[Reproductive Uniformity -Lookup Picker]])</f>
        <v/>
      </c>
      <c r="H19" s="65" t="str">
        <f>IF(Master[[#This Row],[Inventory Type - Lookup Picker]]="","",Master[[#This Row],[Inventory Type - Lookup Picker]])</f>
        <v>SD</v>
      </c>
      <c r="I19" s="64" t="str">
        <f t="shared" si="0"/>
        <v>mm/dd/yyyy</v>
      </c>
      <c r="J19" s="113">
        <f>Master[[#This Row],[Received Date -received by site]]</f>
        <v>44466</v>
      </c>
      <c r="K19" s="43" t="str">
        <f>IF(Master[[#This Row],[Note (Accession Narrative)]]="","",Master[[#This Row],[Note (Accession Narrative)]])</f>
        <v>flowers: yellow petals, orange-yellow sepals; leaves: linear on stem and lobed at base, hirsute; stem: brownish red, hirsute, highly branched</v>
      </c>
    </row>
    <row r="20" spans="2:11" s="1" customFormat="1" ht="15.75" x14ac:dyDescent="0.25">
      <c r="B20" s="63" t="str">
        <f>IF(Master[[#This Row],[Accession Prefix (NPGS)]]="","",Master[[#This Row],[Accession Prefix (NPGS)]])</f>
        <v>W6</v>
      </c>
      <c r="C20" s="64">
        <f>IF(Master[[#This Row],[Accession Number -Assigned]]="","",Master[[#This Row],[Accession Number -Assigned]])</f>
        <v>59606</v>
      </c>
      <c r="D20" s="115" t="str">
        <f>IF(Master[[#This Row],[Taxon -Lookup Picker in GRIN]]="","",Master[[#This Row],[Taxon -Lookup Picker in GRIN]])</f>
        <v>Ericameria nauseosa</v>
      </c>
      <c r="E20" s="63" t="str">
        <f>IF(Master[[#This Row],[Life Form -Lookup Picker]]="","",Master[[#This Row],[Life Form -Lookup Picker]])</f>
        <v/>
      </c>
      <c r="F20" s="63" t="str">
        <f>IF(Master[[#This Row],[Level of Improvement -Lookup Picker]]="","",Master[[#This Row],[Level of Improvement -Lookup Picker]])</f>
        <v>Wild material</v>
      </c>
      <c r="G20" s="63" t="str">
        <f>IF(Master[[#This Row],[Reproductive Uniformity -Lookup Picker]]="","",Master[[#This Row],[Reproductive Uniformity -Lookup Picker]])</f>
        <v/>
      </c>
      <c r="H20" s="65" t="str">
        <f>IF(Master[[#This Row],[Inventory Type - Lookup Picker]]="","",Master[[#This Row],[Inventory Type - Lookup Picker]])</f>
        <v>SD</v>
      </c>
      <c r="I20" s="64" t="str">
        <f t="shared" si="0"/>
        <v>mm/dd/yyyy</v>
      </c>
      <c r="J20" s="113">
        <f>Master[[#This Row],[Received Date -received by site]]</f>
        <v>44466</v>
      </c>
      <c r="K20" s="43" t="str">
        <f>IF(Master[[#This Row],[Note (Accession Narrative)]]="","",Master[[#This Row],[Note (Accession Narrative)]])</f>
        <v>flowers: yellow disc, lacking rays, terminal cymose clusters; leaves: sage/green leaves, tomentose, sessile, alternate; stem: green at top, turning gray, flaky and woody with age</v>
      </c>
    </row>
    <row r="21" spans="2:11" s="1" customFormat="1" ht="15.75" x14ac:dyDescent="0.25">
      <c r="B21" s="63" t="str">
        <f>IF(Master[[#This Row],[Accession Prefix (NPGS)]]="","",Master[[#This Row],[Accession Prefix (NPGS)]])</f>
        <v>W6</v>
      </c>
      <c r="C21" s="64">
        <f>IF(Master[[#This Row],[Accession Number -Assigned]]="","",Master[[#This Row],[Accession Number -Assigned]])</f>
        <v>59607</v>
      </c>
      <c r="D21" s="115" t="str">
        <f>IF(Master[[#This Row],[Taxon -Lookup Picker in GRIN]]="","",Master[[#This Row],[Taxon -Lookup Picker in GRIN]])</f>
        <v>Elymus elymoides</v>
      </c>
      <c r="E21" s="63" t="str">
        <f>IF(Master[[#This Row],[Life Form -Lookup Picker]]="","",Master[[#This Row],[Life Form -Lookup Picker]])</f>
        <v/>
      </c>
      <c r="F21" s="63" t="str">
        <f>IF(Master[[#This Row],[Level of Improvement -Lookup Picker]]="","",Master[[#This Row],[Level of Improvement -Lookup Picker]])</f>
        <v>Wild material</v>
      </c>
      <c r="G21" s="63" t="str">
        <f>IF(Master[[#This Row],[Reproductive Uniformity -Lookup Picker]]="","",Master[[#This Row],[Reproductive Uniformity -Lookup Picker]])</f>
        <v/>
      </c>
      <c r="H21" s="65" t="str">
        <f>IF(Master[[#This Row],[Inventory Type - Lookup Picker]]="","",Master[[#This Row],[Inventory Type - Lookup Picker]])</f>
        <v>SD</v>
      </c>
      <c r="I21" s="64" t="str">
        <f t="shared" si="0"/>
        <v>mm/dd/yyyy</v>
      </c>
      <c r="J21" s="113">
        <f>Master[[#This Row],[Received Date -received by site]]</f>
        <v>44466</v>
      </c>
      <c r="K21" s="43" t="str">
        <f>IF(Master[[#This Row],[Note (Accession Narrative)]]="","",Master[[#This Row],[Note (Accession Narrative)]])</f>
        <v>Culms erect to spreading, sheaths open, glabrous to pubescent, purplish, blades flat to folded to in-rolled, ascending, inflorescence compact to open, entire rachis disarticulate, fading to straw</v>
      </c>
    </row>
    <row r="22" spans="2:11" s="1" customFormat="1" ht="15.75" x14ac:dyDescent="0.25">
      <c r="B22" s="1" t="str">
        <f>IF(Master[[#This Row],[Accession Prefix (NPGS)]]="","",Master[[#This Row],[Accession Prefix (NPGS)]])</f>
        <v>W6</v>
      </c>
      <c r="C22" s="64">
        <f>IF(Master[[#This Row],[Accession Number -Assigned]]="","",Master[[#This Row],[Accession Number -Assigned]])</f>
        <v>59608</v>
      </c>
      <c r="D22" s="114" t="str">
        <f>IF(Master[[#This Row],[Taxon -Lookup Picker in GRIN]]="","",Master[[#This Row],[Taxon -Lookup Picker in GRIN]])</f>
        <v>Asclepias speciosa</v>
      </c>
      <c r="E22" s="1" t="str">
        <f>IF(Master[[#This Row],[Life Form -Lookup Picker]]="","",Master[[#This Row],[Life Form -Lookup Picker]])</f>
        <v/>
      </c>
      <c r="F22" s="1" t="str">
        <f>IF(Master[[#This Row],[Level of Improvement -Lookup Picker]]="","",Master[[#This Row],[Level of Improvement -Lookup Picker]])</f>
        <v>Wild material</v>
      </c>
      <c r="G22" s="1" t="str">
        <f>IF(Master[[#This Row],[Reproductive Uniformity -Lookup Picker]]="","",Master[[#This Row],[Reproductive Uniformity -Lookup Picker]])</f>
        <v/>
      </c>
      <c r="H22" s="11" t="str">
        <f>IF(Master[[#This Row],[Inventory Type - Lookup Picker]]="","",Master[[#This Row],[Inventory Type - Lookup Picker]])</f>
        <v>SD</v>
      </c>
      <c r="I22" s="149" t="str">
        <f t="shared" ref="I22:I53" si="1">"mm/dd/yyyy"</f>
        <v>mm/dd/yyyy</v>
      </c>
      <c r="J22" s="148">
        <f>Master[[#This Row],[Received Date -received by site]]</f>
        <v>44466</v>
      </c>
      <c r="K22" s="42" t="str">
        <f>IF(Master[[#This Row],[Note (Accession Narrative)]]="","",Master[[#This Row],[Note (Accession Narrative)]])</f>
        <v>Unbranched erect stem, leaves opposite, larger, lance-ovate, pubescent, solitary umbels, dense white pubescent, terminal, corolla pink-cream, horns present</v>
      </c>
    </row>
    <row r="23" spans="2:11" s="1" customFormat="1" ht="15.75" x14ac:dyDescent="0.25">
      <c r="B23" s="1" t="str">
        <f>IF(Master[[#This Row],[Accession Prefix (NPGS)]]="","",Master[[#This Row],[Accession Prefix (NPGS)]])</f>
        <v>W6</v>
      </c>
      <c r="C23" s="64">
        <f>IF(Master[[#This Row],[Accession Number -Assigned]]="","",Master[[#This Row],[Accession Number -Assigned]])</f>
        <v>59609</v>
      </c>
      <c r="D23" s="114" t="str">
        <f>IF(Master[[#This Row],[Taxon -Lookup Picker in GRIN]]="","",Master[[#This Row],[Taxon -Lookup Picker in GRIN]])</f>
        <v>Chrysothamnus viscidiflorus</v>
      </c>
      <c r="E23" s="1" t="str">
        <f>IF(Master[[#This Row],[Life Form -Lookup Picker]]="","",Master[[#This Row],[Life Form -Lookup Picker]])</f>
        <v/>
      </c>
      <c r="F23" s="1" t="str">
        <f>IF(Master[[#This Row],[Level of Improvement -Lookup Picker]]="","",Master[[#This Row],[Level of Improvement -Lookup Picker]])</f>
        <v>Wild material</v>
      </c>
      <c r="G23" s="1" t="str">
        <f>IF(Master[[#This Row],[Reproductive Uniformity -Lookup Picker]]="","",Master[[#This Row],[Reproductive Uniformity -Lookup Picker]])</f>
        <v/>
      </c>
      <c r="H23" s="11" t="str">
        <f>IF(Master[[#This Row],[Inventory Type - Lookup Picker]]="","",Master[[#This Row],[Inventory Type - Lookup Picker]])</f>
        <v>SD</v>
      </c>
      <c r="I23" s="149" t="str">
        <f t="shared" si="1"/>
        <v>mm/dd/yyyy</v>
      </c>
      <c r="J23" s="148">
        <f>Master[[#This Row],[Received Date -received by site]]</f>
        <v>44466</v>
      </c>
      <c r="K23" s="42" t="str">
        <f>IF(Master[[#This Row],[Note (Accession Narrative)]]="","",Master[[#This Row],[Note (Accession Narrative)]])</f>
        <v>Tan/gray flaky bark, leaves opposite, sessile, twisted, flower dense panicle above leaf, 3-5 bracts, tips acute to obtuse/round, imbricate, sticky, disk flowers yellow</v>
      </c>
    </row>
    <row r="24" spans="2:11" s="1" customFormat="1" ht="15.75" x14ac:dyDescent="0.25">
      <c r="B24" s="1" t="str">
        <f>IF(Master[[#This Row],[Accession Prefix (NPGS)]]="","",Master[[#This Row],[Accession Prefix (NPGS)]])</f>
        <v>W6</v>
      </c>
      <c r="C24" s="64">
        <f>IF(Master[[#This Row],[Accession Number -Assigned]]="","",Master[[#This Row],[Accession Number -Assigned]])</f>
        <v>59610</v>
      </c>
      <c r="D24" s="114" t="str">
        <f>IF(Master[[#This Row],[Taxon -Lookup Picker in GRIN]]="","",Master[[#This Row],[Taxon -Lookup Picker in GRIN]])</f>
        <v>Ericameria nauseosa</v>
      </c>
      <c r="E24" s="1" t="str">
        <f>IF(Master[[#This Row],[Life Form -Lookup Picker]]="","",Master[[#This Row],[Life Form -Lookup Picker]])</f>
        <v/>
      </c>
      <c r="F24" s="1" t="str">
        <f>IF(Master[[#This Row],[Level of Improvement -Lookup Picker]]="","",Master[[#This Row],[Level of Improvement -Lookup Picker]])</f>
        <v>Wild material</v>
      </c>
      <c r="G24" s="1" t="str">
        <f>IF(Master[[#This Row],[Reproductive Uniformity -Lookup Picker]]="","",Master[[#This Row],[Reproductive Uniformity -Lookup Picker]])</f>
        <v/>
      </c>
      <c r="H24" s="11" t="str">
        <f>IF(Master[[#This Row],[Inventory Type - Lookup Picker]]="","",Master[[#This Row],[Inventory Type - Lookup Picker]])</f>
        <v>SD</v>
      </c>
      <c r="I24" s="149" t="str">
        <f t="shared" si="1"/>
        <v>mm/dd/yyyy</v>
      </c>
      <c r="J24" s="148">
        <f>Master[[#This Row],[Received Date -received by site]]</f>
        <v>44466</v>
      </c>
      <c r="K24" s="42" t="str">
        <f>IF(Master[[#This Row],[Note (Accession Narrative)]]="","",Master[[#This Row],[Note (Accession Narrative)]])</f>
        <v>flowers: yellow disc, lacking rays, terminal cymose clusters; leaves: sage/green leaves, tomentose, sessile, alternate; stem: green at top, turning gray, flaky and woody with age</v>
      </c>
    </row>
    <row r="25" spans="2:11" s="1" customFormat="1" ht="15.75" x14ac:dyDescent="0.25">
      <c r="B25" s="1" t="str">
        <f>IF(Master[[#This Row],[Accession Prefix (NPGS)]]="","",Master[[#This Row],[Accession Prefix (NPGS)]])</f>
        <v>W6</v>
      </c>
      <c r="C25" s="64">
        <f>IF(Master[[#This Row],[Accession Number -Assigned]]="","",Master[[#This Row],[Accession Number -Assigned]])</f>
        <v>59611</v>
      </c>
      <c r="D25" s="114" t="str">
        <f>IF(Master[[#This Row],[Taxon -Lookup Picker in GRIN]]="","",Master[[#This Row],[Taxon -Lookup Picker in GRIN]])</f>
        <v>Chrysothamnus viscidiflorus</v>
      </c>
      <c r="E25" s="1" t="str">
        <f>IF(Master[[#This Row],[Life Form -Lookup Picker]]="","",Master[[#This Row],[Life Form -Lookup Picker]])</f>
        <v/>
      </c>
      <c r="F25" s="1" t="str">
        <f>IF(Master[[#This Row],[Level of Improvement -Lookup Picker]]="","",Master[[#This Row],[Level of Improvement -Lookup Picker]])</f>
        <v>Wild material</v>
      </c>
      <c r="G25" s="1" t="str">
        <f>IF(Master[[#This Row],[Reproductive Uniformity -Lookup Picker]]="","",Master[[#This Row],[Reproductive Uniformity -Lookup Picker]])</f>
        <v/>
      </c>
      <c r="H25" s="11" t="str">
        <f>IF(Master[[#This Row],[Inventory Type - Lookup Picker]]="","",Master[[#This Row],[Inventory Type - Lookup Picker]])</f>
        <v>SD</v>
      </c>
      <c r="I25" s="149" t="str">
        <f t="shared" si="1"/>
        <v>mm/dd/yyyy</v>
      </c>
      <c r="J25" s="148">
        <f>Master[[#This Row],[Received Date -received by site]]</f>
        <v>44466</v>
      </c>
      <c r="K25" s="42" t="str">
        <f>IF(Master[[#This Row],[Note (Accession Narrative)]]="","",Master[[#This Row],[Note (Accession Narrative)]])</f>
        <v>Tan/gray flaky bark, leaves opposite, sessile, twisted, flower dense panicle above leaf, 3-5 bracts, tips acute to obtuse/round, imbricate, sticky, disk flowers yellow</v>
      </c>
    </row>
    <row r="26" spans="2:11" s="1" customFormat="1" ht="15.75" x14ac:dyDescent="0.25">
      <c r="B26" s="1" t="str">
        <f>IF(Master[[#This Row],[Accession Prefix (NPGS)]]="","",Master[[#This Row],[Accession Prefix (NPGS)]])</f>
        <v>W6</v>
      </c>
      <c r="C26" s="64">
        <f>IF(Master[[#This Row],[Accession Number -Assigned]]="","",Master[[#This Row],[Accession Number -Assigned]])</f>
        <v>59612</v>
      </c>
      <c r="D26" s="114" t="str">
        <f>IF(Master[[#This Row],[Taxon -Lookup Picker in GRIN]]="","",Master[[#This Row],[Taxon -Lookup Picker in GRIN]])</f>
        <v>Ericameria nauseosa</v>
      </c>
      <c r="E26" s="1" t="str">
        <f>IF(Master[[#This Row],[Life Form -Lookup Picker]]="","",Master[[#This Row],[Life Form -Lookup Picker]])</f>
        <v/>
      </c>
      <c r="F26" s="1" t="str">
        <f>IF(Master[[#This Row],[Level of Improvement -Lookup Picker]]="","",Master[[#This Row],[Level of Improvement -Lookup Picker]])</f>
        <v>Wild material</v>
      </c>
      <c r="G26" s="1" t="str">
        <f>IF(Master[[#This Row],[Reproductive Uniformity -Lookup Picker]]="","",Master[[#This Row],[Reproductive Uniformity -Lookup Picker]])</f>
        <v/>
      </c>
      <c r="H26" s="11" t="str">
        <f>IF(Master[[#This Row],[Inventory Type - Lookup Picker]]="","",Master[[#This Row],[Inventory Type - Lookup Picker]])</f>
        <v>SD</v>
      </c>
      <c r="I26" s="149" t="str">
        <f t="shared" si="1"/>
        <v>mm/dd/yyyy</v>
      </c>
      <c r="J26" s="148">
        <f>Master[[#This Row],[Received Date -received by site]]</f>
        <v>44466</v>
      </c>
      <c r="K26" s="42" t="str">
        <f>IF(Master[[#This Row],[Note (Accession Narrative)]]="","",Master[[#This Row],[Note (Accession Narrative)]])</f>
        <v>Flexible, dense tomentum, white-greenish stems, leaves linear, alternate, crowded terminal cymose clusters, involucre strongly imbricate, ray flowers yellow</v>
      </c>
    </row>
    <row r="27" spans="2:11" s="1" customFormat="1" ht="15.75" x14ac:dyDescent="0.25">
      <c r="B27" s="1" t="str">
        <f>IF(Master[[#This Row],[Accession Prefix (NPGS)]]="","",Master[[#This Row],[Accession Prefix (NPGS)]])</f>
        <v>W6</v>
      </c>
      <c r="C27" s="64">
        <f>IF(Master[[#This Row],[Accession Number -Assigned]]="","",Master[[#This Row],[Accession Number -Assigned]])</f>
        <v>59613</v>
      </c>
      <c r="D27" s="114" t="str">
        <f>IF(Master[[#This Row],[Taxon -Lookup Picker in GRIN]]="","",Master[[#This Row],[Taxon -Lookup Picker in GRIN]])</f>
        <v>Chrysothamnus viscidiflorus</v>
      </c>
      <c r="E27" s="1" t="str">
        <f>IF(Master[[#This Row],[Life Form -Lookup Picker]]="","",Master[[#This Row],[Life Form -Lookup Picker]])</f>
        <v/>
      </c>
      <c r="F27" s="1" t="str">
        <f>IF(Master[[#This Row],[Level of Improvement -Lookup Picker]]="","",Master[[#This Row],[Level of Improvement -Lookup Picker]])</f>
        <v>Wild material</v>
      </c>
      <c r="G27" s="1" t="str">
        <f>IF(Master[[#This Row],[Reproductive Uniformity -Lookup Picker]]="","",Master[[#This Row],[Reproductive Uniformity -Lookup Picker]])</f>
        <v/>
      </c>
      <c r="H27" s="11" t="str">
        <f>IF(Master[[#This Row],[Inventory Type - Lookup Picker]]="","",Master[[#This Row],[Inventory Type - Lookup Picker]])</f>
        <v>SD</v>
      </c>
      <c r="I27" s="149" t="str">
        <f t="shared" si="1"/>
        <v>mm/dd/yyyy</v>
      </c>
      <c r="J27" s="148">
        <f>Master[[#This Row],[Received Date -received by site]]</f>
        <v>44466</v>
      </c>
      <c r="K27" s="42" t="str">
        <f>IF(Master[[#This Row],[Note (Accession Narrative)]]="","",Master[[#This Row],[Note (Accession Narrative)]])</f>
        <v>flowers: disc bright yellow, lacking rays, 1-3 florets per head; leaves: alternate, sessile, twisted; stem: brown and flaky at base and green at top</v>
      </c>
    </row>
    <row r="28" spans="2:11" s="1" customFormat="1" ht="15.75" x14ac:dyDescent="0.25">
      <c r="B28" s="1" t="str">
        <f>IF(Master[[#This Row],[Accession Prefix (NPGS)]]="","",Master[[#This Row],[Accession Prefix (NPGS)]])</f>
        <v>W6</v>
      </c>
      <c r="C28" s="64">
        <f>IF(Master[[#This Row],[Accession Number -Assigned]]="","",Master[[#This Row],[Accession Number -Assigned]])</f>
        <v>59614</v>
      </c>
      <c r="D28" s="114" t="str">
        <f>IF(Master[[#This Row],[Taxon -Lookup Picker in GRIN]]="","",Master[[#This Row],[Taxon -Lookup Picker in GRIN]])</f>
        <v>Ericameria nauseosa</v>
      </c>
      <c r="E28" s="1" t="str">
        <f>IF(Master[[#This Row],[Life Form -Lookup Picker]]="","",Master[[#This Row],[Life Form -Lookup Picker]])</f>
        <v/>
      </c>
      <c r="F28" s="1" t="str">
        <f>IF(Master[[#This Row],[Level of Improvement -Lookup Picker]]="","",Master[[#This Row],[Level of Improvement -Lookup Picker]])</f>
        <v>Wild material</v>
      </c>
      <c r="G28" s="1" t="str">
        <f>IF(Master[[#This Row],[Reproductive Uniformity -Lookup Picker]]="","",Master[[#This Row],[Reproductive Uniformity -Lookup Picker]])</f>
        <v/>
      </c>
      <c r="H28" s="11" t="str">
        <f>IF(Master[[#This Row],[Inventory Type - Lookup Picker]]="","",Master[[#This Row],[Inventory Type - Lookup Picker]])</f>
        <v>SD</v>
      </c>
      <c r="I28" s="149" t="str">
        <f t="shared" si="1"/>
        <v>mm/dd/yyyy</v>
      </c>
      <c r="J28" s="148">
        <f>Master[[#This Row],[Received Date -received by site]]</f>
        <v>44466</v>
      </c>
      <c r="K28" s="42" t="str">
        <f>IF(Master[[#This Row],[Note (Accession Narrative)]]="","",Master[[#This Row],[Note (Accession Narrative)]])</f>
        <v>Flexible, dense tomentum, white-greenish stems, leaves linear, alternate, crowded terminal cymose clusters, involucre strongly imbricate, ray flowers yellow</v>
      </c>
    </row>
    <row r="29" spans="2:11" s="1" customFormat="1" ht="15.75" x14ac:dyDescent="0.25">
      <c r="B29" s="1" t="str">
        <f>IF(Master[[#This Row],[Accession Prefix (NPGS)]]="","",Master[[#This Row],[Accession Prefix (NPGS)]])</f>
        <v>W6</v>
      </c>
      <c r="C29" s="64">
        <f>IF(Master[[#This Row],[Accession Number -Assigned]]="","",Master[[#This Row],[Accession Number -Assigned]])</f>
        <v>59615</v>
      </c>
      <c r="D29" s="114" t="str">
        <f>IF(Master[[#This Row],[Taxon -Lookup Picker in GRIN]]="","",Master[[#This Row],[Taxon -Lookup Picker in GRIN]])</f>
        <v>Ericameria nauseosa</v>
      </c>
      <c r="E29" s="1" t="str">
        <f>IF(Master[[#This Row],[Life Form -Lookup Picker]]="","",Master[[#This Row],[Life Form -Lookup Picker]])</f>
        <v/>
      </c>
      <c r="F29" s="1" t="str">
        <f>IF(Master[[#This Row],[Level of Improvement -Lookup Picker]]="","",Master[[#This Row],[Level of Improvement -Lookup Picker]])</f>
        <v>Wild material</v>
      </c>
      <c r="G29" s="1" t="str">
        <f>IF(Master[[#This Row],[Reproductive Uniformity -Lookup Picker]]="","",Master[[#This Row],[Reproductive Uniformity -Lookup Picker]])</f>
        <v/>
      </c>
      <c r="H29" s="11" t="str">
        <f>IF(Master[[#This Row],[Inventory Type - Lookup Picker]]="","",Master[[#This Row],[Inventory Type - Lookup Picker]])</f>
        <v>SD</v>
      </c>
      <c r="I29" s="149" t="str">
        <f t="shared" si="1"/>
        <v>mm/dd/yyyy</v>
      </c>
      <c r="J29" s="148">
        <f>Master[[#This Row],[Received Date -received by site]]</f>
        <v>44466</v>
      </c>
      <c r="K29" s="42" t="str">
        <f>IF(Master[[#This Row],[Note (Accession Narrative)]]="","",Master[[#This Row],[Note (Accession Narrative)]])</f>
        <v>Flexible, dense tomentum, white-greenish stems, leaves linear, alternate, crowded terminal cymose clusters, involucre strongly imbricate, ray flowers yellow</v>
      </c>
    </row>
    <row r="30" spans="2:11" s="1" customFormat="1" ht="15.75" x14ac:dyDescent="0.25">
      <c r="B30" s="1" t="str">
        <f>IF(Master[[#This Row],[Accession Prefix (NPGS)]]="","",Master[[#This Row],[Accession Prefix (NPGS)]])</f>
        <v>W6</v>
      </c>
      <c r="C30" s="64">
        <f>IF(Master[[#This Row],[Accession Number -Assigned]]="","",Master[[#This Row],[Accession Number -Assigned]])</f>
        <v>59616</v>
      </c>
      <c r="D30" s="114" t="str">
        <f>IF(Master[[#This Row],[Taxon -Lookup Picker in GRIN]]="","",Master[[#This Row],[Taxon -Lookup Picker in GRIN]])</f>
        <v>Artemisia tridentata subsp. vaseyana</v>
      </c>
      <c r="E30" s="1" t="str">
        <f>IF(Master[[#This Row],[Life Form -Lookup Picker]]="","",Master[[#This Row],[Life Form -Lookup Picker]])</f>
        <v/>
      </c>
      <c r="F30" s="1" t="str">
        <f>IF(Master[[#This Row],[Level of Improvement -Lookup Picker]]="","",Master[[#This Row],[Level of Improvement -Lookup Picker]])</f>
        <v>Wild material</v>
      </c>
      <c r="G30" s="1" t="str">
        <f>IF(Master[[#This Row],[Reproductive Uniformity -Lookup Picker]]="","",Master[[#This Row],[Reproductive Uniformity -Lookup Picker]])</f>
        <v/>
      </c>
      <c r="H30" s="11" t="str">
        <f>IF(Master[[#This Row],[Inventory Type - Lookup Picker]]="","",Master[[#This Row],[Inventory Type - Lookup Picker]])</f>
        <v>SD</v>
      </c>
      <c r="I30" s="149" t="str">
        <f t="shared" si="1"/>
        <v>mm/dd/yyyy</v>
      </c>
      <c r="J30" s="148">
        <f>Master[[#This Row],[Received Date -received by site]]</f>
        <v>44466</v>
      </c>
      <c r="K30" s="42" t="str">
        <f>IF(Master[[#This Row],[Note (Accession Narrative)]]="","",Master[[#This Row],[Note (Accession Narrative)]])</f>
        <v>Silky tomentose throughout vegetative parts, leaves 3-lobed at tip, wedge shaped at base, floral erect, dense narrow panicles, rays lacking, disks yellow</v>
      </c>
    </row>
    <row r="31" spans="2:11" s="1" customFormat="1" ht="15.75" x14ac:dyDescent="0.25">
      <c r="B31" s="1" t="str">
        <f>IF(Master[[#This Row],[Accession Prefix (NPGS)]]="","",Master[[#This Row],[Accession Prefix (NPGS)]])</f>
        <v>W6</v>
      </c>
      <c r="C31" s="64">
        <f>IF(Master[[#This Row],[Accession Number -Assigned]]="","",Master[[#This Row],[Accession Number -Assigned]])</f>
        <v>59617</v>
      </c>
      <c r="D31" s="114" t="str">
        <f>IF(Master[[#This Row],[Taxon -Lookup Picker in GRIN]]="","",Master[[#This Row],[Taxon -Lookup Picker in GRIN]])</f>
        <v>Puccinellia nuttalliana</v>
      </c>
      <c r="E31" s="1" t="str">
        <f>IF(Master[[#This Row],[Life Form -Lookup Picker]]="","",Master[[#This Row],[Life Form -Lookup Picker]])</f>
        <v/>
      </c>
      <c r="F31" s="1" t="str">
        <f>IF(Master[[#This Row],[Level of Improvement -Lookup Picker]]="","",Master[[#This Row],[Level of Improvement -Lookup Picker]])</f>
        <v>Wild material</v>
      </c>
      <c r="G31" s="1" t="str">
        <f>IF(Master[[#This Row],[Reproductive Uniformity -Lookup Picker]]="","",Master[[#This Row],[Reproductive Uniformity -Lookup Picker]])</f>
        <v/>
      </c>
      <c r="H31" s="11" t="str">
        <f>IF(Master[[#This Row],[Inventory Type - Lookup Picker]]="","",Master[[#This Row],[Inventory Type - Lookup Picker]])</f>
        <v>SD</v>
      </c>
      <c r="I31" s="149" t="str">
        <f t="shared" si="1"/>
        <v>mm/dd/yyyy</v>
      </c>
      <c r="J31" s="148">
        <f>Master[[#This Row],[Received Date -received by site]]</f>
        <v>44466</v>
      </c>
      <c r="K31" s="42" t="str">
        <f>IF(Master[[#This Row],[Note (Accession Narrative)]]="","",Master[[#This Row],[Note (Accession Narrative)]])</f>
        <v/>
      </c>
    </row>
    <row r="32" spans="2:11" s="1" customFormat="1" ht="15.75" x14ac:dyDescent="0.25">
      <c r="B32" s="1" t="str">
        <f>IF(Master[[#This Row],[Accession Prefix (NPGS)]]="","",Master[[#This Row],[Accession Prefix (NPGS)]])</f>
        <v>W6</v>
      </c>
      <c r="C32" s="64">
        <f>IF(Master[[#This Row],[Accession Number -Assigned]]="","",Master[[#This Row],[Accession Number -Assigned]])</f>
        <v>59618</v>
      </c>
      <c r="D32" s="114" t="str">
        <f>IF(Master[[#This Row],[Taxon -Lookup Picker in GRIN]]="","",Master[[#This Row],[Taxon -Lookup Picker in GRIN]])</f>
        <v>Eriogonum umbellatum</v>
      </c>
      <c r="E32" s="1" t="str">
        <f>IF(Master[[#This Row],[Life Form -Lookup Picker]]="","",Master[[#This Row],[Life Form -Lookup Picker]])</f>
        <v/>
      </c>
      <c r="F32" s="1" t="str">
        <f>IF(Master[[#This Row],[Level of Improvement -Lookup Picker]]="","",Master[[#This Row],[Level of Improvement -Lookup Picker]])</f>
        <v>Wild material</v>
      </c>
      <c r="G32" s="1" t="str">
        <f>IF(Master[[#This Row],[Reproductive Uniformity -Lookup Picker]]="","",Master[[#This Row],[Reproductive Uniformity -Lookup Picker]])</f>
        <v/>
      </c>
      <c r="H32" s="11" t="str">
        <f>IF(Master[[#This Row],[Inventory Type - Lookup Picker]]="","",Master[[#This Row],[Inventory Type - Lookup Picker]])</f>
        <v>SD</v>
      </c>
      <c r="I32" s="149" t="str">
        <f t="shared" si="1"/>
        <v>mm/dd/yyyy</v>
      </c>
      <c r="J32" s="148">
        <f>Master[[#This Row],[Received Date -received by site]]</f>
        <v>44466</v>
      </c>
      <c r="K32" s="42" t="str">
        <f>IF(Master[[#This Row],[Note (Accession Narrative)]]="","",Master[[#This Row],[Note (Accession Narrative)]])</f>
        <v/>
      </c>
    </row>
    <row r="33" spans="2:11" s="1" customFormat="1" ht="15.75" x14ac:dyDescent="0.25">
      <c r="B33" s="1" t="str">
        <f>IF(Master[[#This Row],[Accession Prefix (NPGS)]]="","",Master[[#This Row],[Accession Prefix (NPGS)]])</f>
        <v>W6</v>
      </c>
      <c r="C33" s="64">
        <f>IF(Master[[#This Row],[Accession Number -Assigned]]="","",Master[[#This Row],[Accession Number -Assigned]])</f>
        <v>59619</v>
      </c>
      <c r="D33" s="114" t="str">
        <f>IF(Master[[#This Row],[Taxon -Lookup Picker in GRIN]]="","",Master[[#This Row],[Taxon -Lookup Picker in GRIN]])</f>
        <v>Angelica lineariloba</v>
      </c>
      <c r="E33" s="1" t="str">
        <f>IF(Master[[#This Row],[Life Form -Lookup Picker]]="","",Master[[#This Row],[Life Form -Lookup Picker]])</f>
        <v/>
      </c>
      <c r="F33" s="1" t="str">
        <f>IF(Master[[#This Row],[Level of Improvement -Lookup Picker]]="","",Master[[#This Row],[Level of Improvement -Lookup Picker]])</f>
        <v>Wild material</v>
      </c>
      <c r="G33" s="1" t="str">
        <f>IF(Master[[#This Row],[Reproductive Uniformity -Lookup Picker]]="","",Master[[#This Row],[Reproductive Uniformity -Lookup Picker]])</f>
        <v/>
      </c>
      <c r="H33" s="11" t="str">
        <f>IF(Master[[#This Row],[Inventory Type - Lookup Picker]]="","",Master[[#This Row],[Inventory Type - Lookup Picker]])</f>
        <v>SD</v>
      </c>
      <c r="I33" s="149" t="str">
        <f t="shared" si="1"/>
        <v>mm/dd/yyyy</v>
      </c>
      <c r="J33" s="148">
        <f>Master[[#This Row],[Received Date -received by site]]</f>
        <v>44466</v>
      </c>
      <c r="K33" s="42" t="str">
        <f>IF(Master[[#This Row],[Note (Accession Narrative)]]="","",Master[[#This Row],[Note (Accession Narrative)]])</f>
        <v/>
      </c>
    </row>
    <row r="34" spans="2:11" s="1" customFormat="1" ht="15.75" x14ac:dyDescent="0.25">
      <c r="B34" s="1" t="str">
        <f>IF(Master[[#This Row],[Accession Prefix (NPGS)]]="","",Master[[#This Row],[Accession Prefix (NPGS)]])</f>
        <v>W6</v>
      </c>
      <c r="C34" s="64">
        <f>IF(Master[[#This Row],[Accession Number -Assigned]]="","",Master[[#This Row],[Accession Number -Assigned]])</f>
        <v>59620</v>
      </c>
      <c r="D34" s="114" t="str">
        <f>IF(Master[[#This Row],[Taxon -Lookup Picker in GRIN]]="","",Master[[#This Row],[Taxon -Lookup Picker in GRIN]])</f>
        <v>Asclepias fascicularis</v>
      </c>
      <c r="E34" s="1" t="str">
        <f>IF(Master[[#This Row],[Life Form -Lookup Picker]]="","",Master[[#This Row],[Life Form -Lookup Picker]])</f>
        <v/>
      </c>
      <c r="F34" s="1" t="str">
        <f>IF(Master[[#This Row],[Level of Improvement -Lookup Picker]]="","",Master[[#This Row],[Level of Improvement -Lookup Picker]])</f>
        <v>Wild material</v>
      </c>
      <c r="G34" s="1" t="str">
        <f>IF(Master[[#This Row],[Reproductive Uniformity -Lookup Picker]]="","",Master[[#This Row],[Reproductive Uniformity -Lookup Picker]])</f>
        <v/>
      </c>
      <c r="H34" s="11" t="str">
        <f>IF(Master[[#This Row],[Inventory Type - Lookup Picker]]="","",Master[[#This Row],[Inventory Type - Lookup Picker]])</f>
        <v>SD</v>
      </c>
      <c r="I34" s="149" t="str">
        <f t="shared" si="1"/>
        <v>mm/dd/yyyy</v>
      </c>
      <c r="J34" s="148">
        <f>Master[[#This Row],[Received Date -received by site]]</f>
        <v>44466</v>
      </c>
      <c r="K34" s="42" t="str">
        <f>IF(Master[[#This Row],[Note (Accession Narrative)]]="","",Master[[#This Row],[Note (Accession Narrative)]])</f>
        <v/>
      </c>
    </row>
    <row r="35" spans="2:11" s="1" customFormat="1" ht="15.75" x14ac:dyDescent="0.25">
      <c r="B35" s="1" t="str">
        <f>IF(Master[[#This Row],[Accession Prefix (NPGS)]]="","",Master[[#This Row],[Accession Prefix (NPGS)]])</f>
        <v>W6</v>
      </c>
      <c r="C35" s="64">
        <f>IF(Master[[#This Row],[Accession Number -Assigned]]="","",Master[[#This Row],[Accession Number -Assigned]])</f>
        <v>59621</v>
      </c>
      <c r="D35" s="114" t="str">
        <f>IF(Master[[#This Row],[Taxon -Lookup Picker in GRIN]]="","",Master[[#This Row],[Taxon -Lookup Picker in GRIN]])</f>
        <v>Asclepias speciosa</v>
      </c>
      <c r="E35" s="1" t="str">
        <f>IF(Master[[#This Row],[Life Form -Lookup Picker]]="","",Master[[#This Row],[Life Form -Lookup Picker]])</f>
        <v/>
      </c>
      <c r="F35" s="1" t="str">
        <f>IF(Master[[#This Row],[Level of Improvement -Lookup Picker]]="","",Master[[#This Row],[Level of Improvement -Lookup Picker]])</f>
        <v>Wild material</v>
      </c>
      <c r="G35" s="1" t="str">
        <f>IF(Master[[#This Row],[Reproductive Uniformity -Lookup Picker]]="","",Master[[#This Row],[Reproductive Uniformity -Lookup Picker]])</f>
        <v/>
      </c>
      <c r="H35" s="11" t="str">
        <f>IF(Master[[#This Row],[Inventory Type - Lookup Picker]]="","",Master[[#This Row],[Inventory Type - Lookup Picker]])</f>
        <v>SD</v>
      </c>
      <c r="I35" s="149" t="str">
        <f t="shared" si="1"/>
        <v>mm/dd/yyyy</v>
      </c>
      <c r="J35" s="148">
        <f>Master[[#This Row],[Received Date -received by site]]</f>
        <v>44466</v>
      </c>
      <c r="K35" s="42" t="str">
        <f>IF(Master[[#This Row],[Note (Accession Narrative)]]="","",Master[[#This Row],[Note (Accession Narrative)]])</f>
        <v/>
      </c>
    </row>
    <row r="36" spans="2:11" s="1" customFormat="1" ht="15.75" x14ac:dyDescent="0.25">
      <c r="B36" s="1" t="str">
        <f>IF(Master[[#This Row],[Accession Prefix (NPGS)]]="","",Master[[#This Row],[Accession Prefix (NPGS)]])</f>
        <v>W6</v>
      </c>
      <c r="C36" s="64">
        <f>IF(Master[[#This Row],[Accession Number -Assigned]]="","",Master[[#This Row],[Accession Number -Assigned]])</f>
        <v>59622</v>
      </c>
      <c r="D36" s="114" t="str">
        <f>IF(Master[[#This Row],[Taxon -Lookup Picker in GRIN]]="","",Master[[#This Row],[Taxon -Lookup Picker in GRIN]])</f>
        <v>Grindelia squarrosa</v>
      </c>
      <c r="E36" s="1" t="str">
        <f>IF(Master[[#This Row],[Life Form -Lookup Picker]]="","",Master[[#This Row],[Life Form -Lookup Picker]])</f>
        <v/>
      </c>
      <c r="F36" s="1" t="str">
        <f>IF(Master[[#This Row],[Level of Improvement -Lookup Picker]]="","",Master[[#This Row],[Level of Improvement -Lookup Picker]])</f>
        <v>Wild material</v>
      </c>
      <c r="G36" s="1" t="str">
        <f>IF(Master[[#This Row],[Reproductive Uniformity -Lookup Picker]]="","",Master[[#This Row],[Reproductive Uniformity -Lookup Picker]])</f>
        <v/>
      </c>
      <c r="H36" s="11" t="str">
        <f>IF(Master[[#This Row],[Inventory Type - Lookup Picker]]="","",Master[[#This Row],[Inventory Type - Lookup Picker]])</f>
        <v>SD</v>
      </c>
      <c r="I36" s="149" t="str">
        <f t="shared" si="1"/>
        <v>mm/dd/yyyy</v>
      </c>
      <c r="J36" s="148">
        <f>Master[[#This Row],[Received Date -received by site]]</f>
        <v>44466</v>
      </c>
      <c r="K36" s="42" t="str">
        <f>IF(Master[[#This Row],[Note (Accession Narrative)]]="","",Master[[#This Row],[Note (Accession Narrative)]])</f>
        <v/>
      </c>
    </row>
    <row r="37" spans="2:11" s="1" customFormat="1" ht="15.75" x14ac:dyDescent="0.25">
      <c r="B37" s="1" t="str">
        <f>IF(Master[[#This Row],[Accession Prefix (NPGS)]]="","",Master[[#This Row],[Accession Prefix (NPGS)]])</f>
        <v>W6</v>
      </c>
      <c r="C37" s="64">
        <f>IF(Master[[#This Row],[Accession Number -Assigned]]="","",Master[[#This Row],[Accession Number -Assigned]])</f>
        <v>59623</v>
      </c>
      <c r="D37" s="114" t="str">
        <f>IF(Master[[#This Row],[Taxon -Lookup Picker in GRIN]]="","",Master[[#This Row],[Taxon -Lookup Picker in GRIN]])</f>
        <v>Rumex hymenosepalus</v>
      </c>
      <c r="E37" s="1" t="str">
        <f>IF(Master[[#This Row],[Life Form -Lookup Picker]]="","",Master[[#This Row],[Life Form -Lookup Picker]])</f>
        <v/>
      </c>
      <c r="F37" s="1" t="str">
        <f>IF(Master[[#This Row],[Level of Improvement -Lookup Picker]]="","",Master[[#This Row],[Level of Improvement -Lookup Picker]])</f>
        <v>Wild material</v>
      </c>
      <c r="G37" s="1" t="str">
        <f>IF(Master[[#This Row],[Reproductive Uniformity -Lookup Picker]]="","",Master[[#This Row],[Reproductive Uniformity -Lookup Picker]])</f>
        <v/>
      </c>
      <c r="H37" s="11" t="str">
        <f>IF(Master[[#This Row],[Inventory Type - Lookup Picker]]="","",Master[[#This Row],[Inventory Type - Lookup Picker]])</f>
        <v>SD</v>
      </c>
      <c r="I37" s="149" t="str">
        <f t="shared" si="1"/>
        <v>mm/dd/yyyy</v>
      </c>
      <c r="J37" s="148">
        <f>Master[[#This Row],[Received Date -received by site]]</f>
        <v>44466</v>
      </c>
      <c r="K37" s="42" t="str">
        <f>IF(Master[[#This Row],[Note (Accession Narrative)]]="","",Master[[#This Row],[Note (Accession Narrative)]])</f>
        <v/>
      </c>
    </row>
    <row r="38" spans="2:11" s="1" customFormat="1" ht="15.75" x14ac:dyDescent="0.25">
      <c r="B38" s="1" t="str">
        <f>IF(Master[[#This Row],[Accession Prefix (NPGS)]]="","",Master[[#This Row],[Accession Prefix (NPGS)]])</f>
        <v>W6</v>
      </c>
      <c r="C38" s="64">
        <f>IF(Master[[#This Row],[Accession Number -Assigned]]="","",Master[[#This Row],[Accession Number -Assigned]])</f>
        <v>59624</v>
      </c>
      <c r="D38" s="114" t="str">
        <f>IF(Master[[#This Row],[Taxon -Lookup Picker in GRIN]]="","",Master[[#This Row],[Taxon -Lookup Picker in GRIN]])</f>
        <v>Ericameria nauseosa</v>
      </c>
      <c r="E38" s="1" t="str">
        <f>IF(Master[[#This Row],[Life Form -Lookup Picker]]="","",Master[[#This Row],[Life Form -Lookup Picker]])</f>
        <v/>
      </c>
      <c r="F38" s="1" t="str">
        <f>IF(Master[[#This Row],[Level of Improvement -Lookup Picker]]="","",Master[[#This Row],[Level of Improvement -Lookup Picker]])</f>
        <v>Wild material</v>
      </c>
      <c r="G38" s="1" t="str">
        <f>IF(Master[[#This Row],[Reproductive Uniformity -Lookup Picker]]="","",Master[[#This Row],[Reproductive Uniformity -Lookup Picker]])</f>
        <v/>
      </c>
      <c r="H38" s="11" t="str">
        <f>IF(Master[[#This Row],[Inventory Type - Lookup Picker]]="","",Master[[#This Row],[Inventory Type - Lookup Picker]])</f>
        <v>SD</v>
      </c>
      <c r="I38" s="149" t="str">
        <f t="shared" si="1"/>
        <v>mm/dd/yyyy</v>
      </c>
      <c r="J38" s="148">
        <f>Master[[#This Row],[Received Date -received by site]]</f>
        <v>44466</v>
      </c>
      <c r="K38" s="42" t="str">
        <f>IF(Master[[#This Row],[Note (Accession Narrative)]]="","",Master[[#This Row],[Note (Accession Narrative)]])</f>
        <v/>
      </c>
    </row>
    <row r="39" spans="2:11" s="1" customFormat="1" ht="15.75" x14ac:dyDescent="0.25">
      <c r="B39" s="1" t="str">
        <f>IF(Master[[#This Row],[Accession Prefix (NPGS)]]="","",Master[[#This Row],[Accession Prefix (NPGS)]])</f>
        <v>W6</v>
      </c>
      <c r="C39" s="64">
        <f>IF(Master[[#This Row],[Accession Number -Assigned]]="","",Master[[#This Row],[Accession Number -Assigned]])</f>
        <v>59625</v>
      </c>
      <c r="D39" s="114" t="str">
        <f>IF(Master[[#This Row],[Taxon -Lookup Picker in GRIN]]="","",Master[[#This Row],[Taxon -Lookup Picker in GRIN]])</f>
        <v>Typha latifolia</v>
      </c>
      <c r="E39" s="1" t="str">
        <f>IF(Master[[#This Row],[Life Form -Lookup Picker]]="","",Master[[#This Row],[Life Form -Lookup Picker]])</f>
        <v/>
      </c>
      <c r="F39" s="1" t="str">
        <f>IF(Master[[#This Row],[Level of Improvement -Lookup Picker]]="","",Master[[#This Row],[Level of Improvement -Lookup Picker]])</f>
        <v>Wild material</v>
      </c>
      <c r="G39" s="1" t="str">
        <f>IF(Master[[#This Row],[Reproductive Uniformity -Lookup Picker]]="","",Master[[#This Row],[Reproductive Uniformity -Lookup Picker]])</f>
        <v/>
      </c>
      <c r="H39" s="11" t="str">
        <f>IF(Master[[#This Row],[Inventory Type - Lookup Picker]]="","",Master[[#This Row],[Inventory Type - Lookup Picker]])</f>
        <v>SD</v>
      </c>
      <c r="I39" s="149" t="str">
        <f t="shared" si="1"/>
        <v>mm/dd/yyyy</v>
      </c>
      <c r="J39" s="148">
        <f>Master[[#This Row],[Received Date -received by site]]</f>
        <v>44466</v>
      </c>
      <c r="K39" s="42" t="str">
        <f>IF(Master[[#This Row],[Note (Accession Narrative)]]="","",Master[[#This Row],[Note (Accession Narrative)]])</f>
        <v/>
      </c>
    </row>
    <row r="40" spans="2:11" s="1" customFormat="1" ht="15.75" x14ac:dyDescent="0.25">
      <c r="B40" s="1" t="str">
        <f>IF(Master[[#This Row],[Accession Prefix (NPGS)]]="","",Master[[#This Row],[Accession Prefix (NPGS)]])</f>
        <v>W6</v>
      </c>
      <c r="C40" s="64">
        <f>IF(Master[[#This Row],[Accession Number -Assigned]]="","",Master[[#This Row],[Accession Number -Assigned]])</f>
        <v>59626</v>
      </c>
      <c r="D40" s="114" t="str">
        <f>IF(Master[[#This Row],[Taxon -Lookup Picker in GRIN]]="","",Master[[#This Row],[Taxon -Lookup Picker in GRIN]])</f>
        <v>Symphyotrichum ascendens</v>
      </c>
      <c r="E40" s="1" t="str">
        <f>IF(Master[[#This Row],[Life Form -Lookup Picker]]="","",Master[[#This Row],[Life Form -Lookup Picker]])</f>
        <v/>
      </c>
      <c r="F40" s="1" t="str">
        <f>IF(Master[[#This Row],[Level of Improvement -Lookup Picker]]="","",Master[[#This Row],[Level of Improvement -Lookup Picker]])</f>
        <v>Wild material</v>
      </c>
      <c r="G40" s="1" t="str">
        <f>IF(Master[[#This Row],[Reproductive Uniformity -Lookup Picker]]="","",Master[[#This Row],[Reproductive Uniformity -Lookup Picker]])</f>
        <v/>
      </c>
      <c r="H40" s="11" t="str">
        <f>IF(Master[[#This Row],[Inventory Type - Lookup Picker]]="","",Master[[#This Row],[Inventory Type - Lookup Picker]])</f>
        <v>SD</v>
      </c>
      <c r="I40" s="149" t="str">
        <f t="shared" si="1"/>
        <v>mm/dd/yyyy</v>
      </c>
      <c r="J40" s="148">
        <f>Master[[#This Row],[Received Date -received by site]]</f>
        <v>44466</v>
      </c>
      <c r="K40" s="42" t="str">
        <f>IF(Master[[#This Row],[Note (Accession Narrative)]]="","",Master[[#This Row],[Note (Accession Narrative)]])</f>
        <v/>
      </c>
    </row>
    <row r="41" spans="2:11" s="1" customFormat="1" ht="15.75" x14ac:dyDescent="0.25">
      <c r="B41" s="1" t="str">
        <f>IF(Master[[#This Row],[Accession Prefix (NPGS)]]="","",Master[[#This Row],[Accession Prefix (NPGS)]])</f>
        <v>W6</v>
      </c>
      <c r="C41" s="64">
        <f>IF(Master[[#This Row],[Accession Number -Assigned]]="","",Master[[#This Row],[Accession Number -Assigned]])</f>
        <v>59627</v>
      </c>
      <c r="D41" s="114" t="str">
        <f>IF(Master[[#This Row],[Taxon -Lookup Picker in GRIN]]="","",Master[[#This Row],[Taxon -Lookup Picker in GRIN]])</f>
        <v>Leymus cinereus</v>
      </c>
      <c r="E41" s="1" t="str">
        <f>IF(Master[[#This Row],[Life Form -Lookup Picker]]="","",Master[[#This Row],[Life Form -Lookup Picker]])</f>
        <v/>
      </c>
      <c r="F41" s="1" t="str">
        <f>IF(Master[[#This Row],[Level of Improvement -Lookup Picker]]="","",Master[[#This Row],[Level of Improvement -Lookup Picker]])</f>
        <v>Wild material</v>
      </c>
      <c r="G41" s="1" t="str">
        <f>IF(Master[[#This Row],[Reproductive Uniformity -Lookup Picker]]="","",Master[[#This Row],[Reproductive Uniformity -Lookup Picker]])</f>
        <v/>
      </c>
      <c r="H41" s="11" t="str">
        <f>IF(Master[[#This Row],[Inventory Type - Lookup Picker]]="","",Master[[#This Row],[Inventory Type - Lookup Picker]])</f>
        <v>SD</v>
      </c>
      <c r="I41" s="149" t="str">
        <f t="shared" si="1"/>
        <v>mm/dd/yyyy</v>
      </c>
      <c r="J41" s="148">
        <f>Master[[#This Row],[Received Date -received by site]]</f>
        <v>44466</v>
      </c>
      <c r="K41" s="42" t="str">
        <f>IF(Master[[#This Row],[Note (Accession Narrative)]]="","",Master[[#This Row],[Note (Accession Narrative)]])</f>
        <v/>
      </c>
    </row>
    <row r="42" spans="2:11" s="1" customFormat="1" ht="15.75" x14ac:dyDescent="0.25">
      <c r="B42" s="1" t="str">
        <f>IF(Master[[#This Row],[Accession Prefix (NPGS)]]="","",Master[[#This Row],[Accession Prefix (NPGS)]])</f>
        <v>W6</v>
      </c>
      <c r="C42" s="64">
        <f>IF(Master[[#This Row],[Accession Number -Assigned]]="","",Master[[#This Row],[Accession Number -Assigned]])</f>
        <v>59628</v>
      </c>
      <c r="D42" s="114" t="str">
        <f>IF(Master[[#This Row],[Taxon -Lookup Picker in GRIN]]="","",Master[[#This Row],[Taxon -Lookup Picker in GRIN]])</f>
        <v>Hordeum jubatum</v>
      </c>
      <c r="E42" s="1" t="str">
        <f>IF(Master[[#This Row],[Life Form -Lookup Picker]]="","",Master[[#This Row],[Life Form -Lookup Picker]])</f>
        <v/>
      </c>
      <c r="F42" s="1" t="str">
        <f>IF(Master[[#This Row],[Level of Improvement -Lookup Picker]]="","",Master[[#This Row],[Level of Improvement -Lookup Picker]])</f>
        <v>Wild material</v>
      </c>
      <c r="G42" s="1" t="str">
        <f>IF(Master[[#This Row],[Reproductive Uniformity -Lookup Picker]]="","",Master[[#This Row],[Reproductive Uniformity -Lookup Picker]])</f>
        <v/>
      </c>
      <c r="H42" s="11" t="str">
        <f>IF(Master[[#This Row],[Inventory Type - Lookup Picker]]="","",Master[[#This Row],[Inventory Type - Lookup Picker]])</f>
        <v>SD</v>
      </c>
      <c r="I42" s="149" t="str">
        <f t="shared" si="1"/>
        <v>mm/dd/yyyy</v>
      </c>
      <c r="J42" s="148">
        <f>Master[[#This Row],[Received Date -received by site]]</f>
        <v>44466</v>
      </c>
      <c r="K42" s="42" t="str">
        <f>IF(Master[[#This Row],[Note (Accession Narrative)]]="","",Master[[#This Row],[Note (Accession Narrative)]])</f>
        <v/>
      </c>
    </row>
    <row r="43" spans="2:11" s="1" customFormat="1" ht="15.75" x14ac:dyDescent="0.25">
      <c r="B43" s="1" t="str">
        <f>IF(Master[[#This Row],[Accession Prefix (NPGS)]]="","",Master[[#This Row],[Accession Prefix (NPGS)]])</f>
        <v>W6</v>
      </c>
      <c r="C43" s="64">
        <f>IF(Master[[#This Row],[Accession Number -Assigned]]="","",Master[[#This Row],[Accession Number -Assigned]])</f>
        <v>59629</v>
      </c>
      <c r="D43" s="114" t="str">
        <f>IF(Master[[#This Row],[Taxon -Lookup Picker in GRIN]]="","",Master[[#This Row],[Taxon -Lookup Picker in GRIN]])</f>
        <v>Symphyotrichum frondosum</v>
      </c>
      <c r="E43" s="1" t="str">
        <f>IF(Master[[#This Row],[Life Form -Lookup Picker]]="","",Master[[#This Row],[Life Form -Lookup Picker]])</f>
        <v/>
      </c>
      <c r="F43" s="1" t="str">
        <f>IF(Master[[#This Row],[Level of Improvement -Lookup Picker]]="","",Master[[#This Row],[Level of Improvement -Lookup Picker]])</f>
        <v>Wild material</v>
      </c>
      <c r="G43" s="1" t="str">
        <f>IF(Master[[#This Row],[Reproductive Uniformity -Lookup Picker]]="","",Master[[#This Row],[Reproductive Uniformity -Lookup Picker]])</f>
        <v/>
      </c>
      <c r="H43" s="11" t="str">
        <f>IF(Master[[#This Row],[Inventory Type - Lookup Picker]]="","",Master[[#This Row],[Inventory Type - Lookup Picker]])</f>
        <v>SD</v>
      </c>
      <c r="I43" s="149" t="str">
        <f t="shared" si="1"/>
        <v>mm/dd/yyyy</v>
      </c>
      <c r="J43" s="148">
        <f>Master[[#This Row],[Received Date -received by site]]</f>
        <v>44466</v>
      </c>
      <c r="K43" s="42" t="str">
        <f>IF(Master[[#This Row],[Note (Accession Narrative)]]="","",Master[[#This Row],[Note (Accession Narrative)]])</f>
        <v/>
      </c>
    </row>
    <row r="44" spans="2:11" s="1" customFormat="1" ht="15.75" x14ac:dyDescent="0.25">
      <c r="B44" s="1" t="str">
        <f>IF(Master[[#This Row],[Accession Prefix (NPGS)]]="","",Master[[#This Row],[Accession Prefix (NPGS)]])</f>
        <v>W6</v>
      </c>
      <c r="C44" s="64">
        <f>IF(Master[[#This Row],[Accession Number -Assigned]]="","",Master[[#This Row],[Accession Number -Assigned]])</f>
        <v>59630</v>
      </c>
      <c r="D44" s="114" t="str">
        <f>IF(Master[[#This Row],[Taxon -Lookup Picker in GRIN]]="","",Master[[#This Row],[Taxon -Lookup Picker in GRIN]])</f>
        <v>Atriplex canescens</v>
      </c>
      <c r="E44" s="1" t="str">
        <f>IF(Master[[#This Row],[Life Form -Lookup Picker]]="","",Master[[#This Row],[Life Form -Lookup Picker]])</f>
        <v/>
      </c>
      <c r="F44" s="1" t="str">
        <f>IF(Master[[#This Row],[Level of Improvement -Lookup Picker]]="","",Master[[#This Row],[Level of Improvement -Lookup Picker]])</f>
        <v>Wild material</v>
      </c>
      <c r="G44" s="1" t="str">
        <f>IF(Master[[#This Row],[Reproductive Uniformity -Lookup Picker]]="","",Master[[#This Row],[Reproductive Uniformity -Lookup Picker]])</f>
        <v/>
      </c>
      <c r="H44" s="11" t="str">
        <f>IF(Master[[#This Row],[Inventory Type - Lookup Picker]]="","",Master[[#This Row],[Inventory Type - Lookup Picker]])</f>
        <v>SD</v>
      </c>
      <c r="I44" s="149" t="str">
        <f t="shared" si="1"/>
        <v>mm/dd/yyyy</v>
      </c>
      <c r="J44" s="148">
        <f>Master[[#This Row],[Received Date -received by site]]</f>
        <v>44466</v>
      </c>
      <c r="K44" s="42" t="str">
        <f>IF(Master[[#This Row],[Note (Accession Narrative)]]="","",Master[[#This Row],[Note (Accession Narrative)]])</f>
        <v/>
      </c>
    </row>
    <row r="45" spans="2:11" s="1" customFormat="1" ht="15.75" x14ac:dyDescent="0.25">
      <c r="B45" s="1" t="str">
        <f>IF(Master[[#This Row],[Accession Prefix (NPGS)]]="","",Master[[#This Row],[Accession Prefix (NPGS)]])</f>
        <v>W6</v>
      </c>
      <c r="C45" s="64">
        <f>IF(Master[[#This Row],[Accession Number -Assigned]]="","",Master[[#This Row],[Accession Number -Assigned]])</f>
        <v>59631</v>
      </c>
      <c r="D45" s="114" t="str">
        <f>IF(Master[[#This Row],[Taxon -Lookup Picker in GRIN]]="","",Master[[#This Row],[Taxon -Lookup Picker in GRIN]])</f>
        <v>Rosa woodsii</v>
      </c>
      <c r="E45" s="1" t="str">
        <f>IF(Master[[#This Row],[Life Form -Lookup Picker]]="","",Master[[#This Row],[Life Form -Lookup Picker]])</f>
        <v/>
      </c>
      <c r="F45" s="1" t="str">
        <f>IF(Master[[#This Row],[Level of Improvement -Lookup Picker]]="","",Master[[#This Row],[Level of Improvement -Lookup Picker]])</f>
        <v>Wild material</v>
      </c>
      <c r="G45" s="1" t="str">
        <f>IF(Master[[#This Row],[Reproductive Uniformity -Lookup Picker]]="","",Master[[#This Row],[Reproductive Uniformity -Lookup Picker]])</f>
        <v/>
      </c>
      <c r="H45" s="11" t="str">
        <f>IF(Master[[#This Row],[Inventory Type - Lookup Picker]]="","",Master[[#This Row],[Inventory Type - Lookup Picker]])</f>
        <v>SD</v>
      </c>
      <c r="I45" s="149" t="str">
        <f t="shared" si="1"/>
        <v>mm/dd/yyyy</v>
      </c>
      <c r="J45" s="148">
        <f>Master[[#This Row],[Received Date -received by site]]</f>
        <v>44466</v>
      </c>
      <c r="K45" s="42" t="str">
        <f>IF(Master[[#This Row],[Note (Accession Narrative)]]="","",Master[[#This Row],[Note (Accession Narrative)]])</f>
        <v/>
      </c>
    </row>
    <row r="46" spans="2:11" s="248" customFormat="1" ht="15.75" x14ac:dyDescent="0.25">
      <c r="B46" s="248" t="str">
        <f>IF(Master[[#This Row],[Accession Prefix (NPGS)]]="","",Master[[#This Row],[Accession Prefix (NPGS)]])</f>
        <v>W6</v>
      </c>
      <c r="C46" s="249">
        <f>IF(Master[[#This Row],[Accession Number -Assigned]]="","",Master[[#This Row],[Accession Number -Assigned]])</f>
        <v>59632</v>
      </c>
      <c r="D46" s="250" t="str">
        <f>IF(Master[[#This Row],[Taxon -Lookup Picker in GRIN]]="","",Master[[#This Row],[Taxon -Lookup Picker in GRIN]])</f>
        <v>Ericameria nauseosa subsp. consimilis var. oreophila</v>
      </c>
      <c r="E46" s="248" t="str">
        <f>IF(Master[[#This Row],[Life Form -Lookup Picker]]="","",Master[[#This Row],[Life Form -Lookup Picker]])</f>
        <v/>
      </c>
      <c r="F46" s="248" t="str">
        <f>IF(Master[[#This Row],[Level of Improvement -Lookup Picker]]="","",Master[[#This Row],[Level of Improvement -Lookup Picker]])</f>
        <v>Wild material</v>
      </c>
      <c r="G46" s="248" t="str">
        <f>IF(Master[[#This Row],[Reproductive Uniformity -Lookup Picker]]="","",Master[[#This Row],[Reproductive Uniformity -Lookup Picker]])</f>
        <v/>
      </c>
      <c r="H46" s="251" t="str">
        <f>IF(Master[[#This Row],[Inventory Type - Lookup Picker]]="","",Master[[#This Row],[Inventory Type - Lookup Picker]])</f>
        <v>SD</v>
      </c>
      <c r="I46" s="252" t="str">
        <f t="shared" si="1"/>
        <v>mm/dd/yyyy</v>
      </c>
      <c r="J46" s="253">
        <f>Master[[#This Row],[Received Date -received by site]]</f>
        <v>44466</v>
      </c>
      <c r="K46" s="254" t="str">
        <f>IF(Master[[#This Row],[Note (Accession Narrative)]]="","",Master[[#This Row],[Note (Accession Narrative)]])</f>
        <v/>
      </c>
    </row>
    <row r="47" spans="2:11" s="1" customFormat="1" ht="15.75" x14ac:dyDescent="0.25">
      <c r="B47" s="1" t="str">
        <f>IF(Master[[#This Row],[Accession Prefix (NPGS)]]="","",Master[[#This Row],[Accession Prefix (NPGS)]])</f>
        <v>W6</v>
      </c>
      <c r="C47" s="64">
        <f>IF(Master[[#This Row],[Accession Number -Assigned]]="","",Master[[#This Row],[Accession Number -Assigned]])</f>
        <v>59633</v>
      </c>
      <c r="D47" s="114" t="str">
        <f>IF(Master[[#This Row],[Taxon -Lookup Picker in GRIN]]="","",Master[[#This Row],[Taxon -Lookup Picker in GRIN]])</f>
        <v>Atriplex canescens var. canescens</v>
      </c>
      <c r="E47" s="1" t="str">
        <f>IF(Master[[#This Row],[Life Form -Lookup Picker]]="","",Master[[#This Row],[Life Form -Lookup Picker]])</f>
        <v/>
      </c>
      <c r="F47" s="1" t="str">
        <f>IF(Master[[#This Row],[Level of Improvement -Lookup Picker]]="","",Master[[#This Row],[Level of Improvement -Lookup Picker]])</f>
        <v>Wild material</v>
      </c>
      <c r="G47" s="1" t="str">
        <f>IF(Master[[#This Row],[Reproductive Uniformity -Lookup Picker]]="","",Master[[#This Row],[Reproductive Uniformity -Lookup Picker]])</f>
        <v/>
      </c>
      <c r="H47" s="11" t="str">
        <f>IF(Master[[#This Row],[Inventory Type - Lookup Picker]]="","",Master[[#This Row],[Inventory Type - Lookup Picker]])</f>
        <v>SD</v>
      </c>
      <c r="I47" s="149" t="str">
        <f t="shared" si="1"/>
        <v>mm/dd/yyyy</v>
      </c>
      <c r="J47" s="148">
        <f>Master[[#This Row],[Received Date -received by site]]</f>
        <v>44466</v>
      </c>
      <c r="K47" s="42" t="str">
        <f>IF(Master[[#This Row],[Note (Accession Narrative)]]="","",Master[[#This Row],[Note (Accession Narrative)]])</f>
        <v/>
      </c>
    </row>
    <row r="48" spans="2:11" s="1" customFormat="1" ht="15.75" x14ac:dyDescent="0.25">
      <c r="B48" s="1" t="str">
        <f>IF(Master[[#This Row],[Accession Prefix (NPGS)]]="","",Master[[#This Row],[Accession Prefix (NPGS)]])</f>
        <v>W6</v>
      </c>
      <c r="C48" s="64">
        <f>IF(Master[[#This Row],[Accession Number -Assigned]]="","",Master[[#This Row],[Accession Number -Assigned]])</f>
        <v>59634</v>
      </c>
      <c r="D48" s="114" t="str">
        <f>IF(Master[[#This Row],[Taxon -Lookup Picker in GRIN]]="","",Master[[#This Row],[Taxon -Lookup Picker in GRIN]])</f>
        <v>Atriplex torreyi</v>
      </c>
      <c r="E48" s="1" t="str">
        <f>IF(Master[[#This Row],[Life Form -Lookup Picker]]="","",Master[[#This Row],[Life Form -Lookup Picker]])</f>
        <v/>
      </c>
      <c r="F48" s="1" t="str">
        <f>IF(Master[[#This Row],[Level of Improvement -Lookup Picker]]="","",Master[[#This Row],[Level of Improvement -Lookup Picker]])</f>
        <v>Wild material</v>
      </c>
      <c r="G48" s="1" t="str">
        <f>IF(Master[[#This Row],[Reproductive Uniformity -Lookup Picker]]="","",Master[[#This Row],[Reproductive Uniformity -Lookup Picker]])</f>
        <v/>
      </c>
      <c r="H48" s="11" t="str">
        <f>IF(Master[[#This Row],[Inventory Type - Lookup Picker]]="","",Master[[#This Row],[Inventory Type - Lookup Picker]])</f>
        <v>SD</v>
      </c>
      <c r="I48" s="149" t="str">
        <f t="shared" si="1"/>
        <v>mm/dd/yyyy</v>
      </c>
      <c r="J48" s="148">
        <f>Master[[#This Row],[Received Date -received by site]]</f>
        <v>44466</v>
      </c>
      <c r="K48" s="42" t="str">
        <f>IF(Master[[#This Row],[Note (Accession Narrative)]]="","",Master[[#This Row],[Note (Accession Narrative)]])</f>
        <v/>
      </c>
    </row>
    <row r="49" spans="2:11" s="1" customFormat="1" ht="15.75" x14ac:dyDescent="0.25">
      <c r="B49" s="1" t="str">
        <f>IF(Master[[#This Row],[Accession Prefix (NPGS)]]="","",Master[[#This Row],[Accession Prefix (NPGS)]])</f>
        <v>W6</v>
      </c>
      <c r="C49" s="64">
        <f>IF(Master[[#This Row],[Accession Number -Assigned]]="","",Master[[#This Row],[Accession Number -Assigned]])</f>
        <v>59635</v>
      </c>
      <c r="D49" s="114" t="str">
        <f>IF(Master[[#This Row],[Taxon -Lookup Picker in GRIN]]="","",Master[[#This Row],[Taxon -Lookup Picker in GRIN]])</f>
        <v>Pectis papposa</v>
      </c>
      <c r="E49" s="1" t="str">
        <f>IF(Master[[#This Row],[Life Form -Lookup Picker]]="","",Master[[#This Row],[Life Form -Lookup Picker]])</f>
        <v/>
      </c>
      <c r="F49" s="1" t="str">
        <f>IF(Master[[#This Row],[Level of Improvement -Lookup Picker]]="","",Master[[#This Row],[Level of Improvement -Lookup Picker]])</f>
        <v>Wild material</v>
      </c>
      <c r="G49" s="1" t="str">
        <f>IF(Master[[#This Row],[Reproductive Uniformity -Lookup Picker]]="","",Master[[#This Row],[Reproductive Uniformity -Lookup Picker]])</f>
        <v/>
      </c>
      <c r="H49" s="11" t="str">
        <f>IF(Master[[#This Row],[Inventory Type - Lookup Picker]]="","",Master[[#This Row],[Inventory Type - Lookup Picker]])</f>
        <v>SD</v>
      </c>
      <c r="I49" s="149" t="str">
        <f t="shared" si="1"/>
        <v>mm/dd/yyyy</v>
      </c>
      <c r="J49" s="148">
        <f>Master[[#This Row],[Received Date -received by site]]</f>
        <v>44466</v>
      </c>
      <c r="K49" s="42" t="str">
        <f>IF(Master[[#This Row],[Note (Accession Narrative)]]="","",Master[[#This Row],[Note (Accession Narrative)]])</f>
        <v>Very low growing aster with yellow flowers</v>
      </c>
    </row>
    <row r="50" spans="2:11" s="1" customFormat="1" ht="15.75" x14ac:dyDescent="0.25">
      <c r="B50" s="1" t="str">
        <f>IF(Master[[#This Row],[Accession Prefix (NPGS)]]="","",Master[[#This Row],[Accession Prefix (NPGS)]])</f>
        <v>W6</v>
      </c>
      <c r="C50" s="64">
        <f>IF(Master[[#This Row],[Accession Number -Assigned]]="","",Master[[#This Row],[Accession Number -Assigned]])</f>
        <v>59636</v>
      </c>
      <c r="D50" s="114" t="str">
        <f>IF(Master[[#This Row],[Taxon -Lookup Picker in GRIN]]="","",Master[[#This Row],[Taxon -Lookup Picker in GRIN]])</f>
        <v>Artemisia tridentata subsp. tridentata</v>
      </c>
      <c r="E50" s="1" t="str">
        <f>IF(Master[[#This Row],[Life Form -Lookup Picker]]="","",Master[[#This Row],[Life Form -Lookup Picker]])</f>
        <v/>
      </c>
      <c r="F50" s="1" t="str">
        <f>IF(Master[[#This Row],[Level of Improvement -Lookup Picker]]="","",Master[[#This Row],[Level of Improvement -Lookup Picker]])</f>
        <v>Wild material</v>
      </c>
      <c r="G50" s="1" t="str">
        <f>IF(Master[[#This Row],[Reproductive Uniformity -Lookup Picker]]="","",Master[[#This Row],[Reproductive Uniformity -Lookup Picker]])</f>
        <v/>
      </c>
      <c r="H50" s="11" t="str">
        <f>IF(Master[[#This Row],[Inventory Type - Lookup Picker]]="","",Master[[#This Row],[Inventory Type - Lookup Picker]])</f>
        <v>SD</v>
      </c>
      <c r="I50" s="149" t="str">
        <f t="shared" si="1"/>
        <v>mm/dd/yyyy</v>
      </c>
      <c r="J50" s="148">
        <f>Master[[#This Row],[Received Date -received by site]]</f>
        <v>44466</v>
      </c>
      <c r="K50" s="42" t="str">
        <f>IF(Master[[#This Row],[Note (Accession Narrative)]]="","",Master[[#This Row],[Note (Accession Narrative)]])</f>
        <v/>
      </c>
    </row>
    <row r="51" spans="2:11" s="1" customFormat="1" ht="15.75" x14ac:dyDescent="0.25">
      <c r="B51" s="1" t="str">
        <f>IF(Master[[#This Row],[Accession Prefix (NPGS)]]="","",Master[[#This Row],[Accession Prefix (NPGS)]])</f>
        <v>W6</v>
      </c>
      <c r="C51" s="64">
        <f>IF(Master[[#This Row],[Accession Number -Assigned]]="","",Master[[#This Row],[Accession Number -Assigned]])</f>
        <v>59637</v>
      </c>
      <c r="D51" s="114" t="str">
        <f>IF(Master[[#This Row],[Taxon -Lookup Picker in GRIN]]="","",Master[[#This Row],[Taxon -Lookup Picker in GRIN]])</f>
        <v>Typha latifolia</v>
      </c>
      <c r="E51" s="1" t="str">
        <f>IF(Master[[#This Row],[Life Form -Lookup Picker]]="","",Master[[#This Row],[Life Form -Lookup Picker]])</f>
        <v/>
      </c>
      <c r="F51" s="1" t="str">
        <f>IF(Master[[#This Row],[Level of Improvement -Lookup Picker]]="","",Master[[#This Row],[Level of Improvement -Lookup Picker]])</f>
        <v>Wild material</v>
      </c>
      <c r="G51" s="1" t="str">
        <f>IF(Master[[#This Row],[Reproductive Uniformity -Lookup Picker]]="","",Master[[#This Row],[Reproductive Uniformity -Lookup Picker]])</f>
        <v/>
      </c>
      <c r="H51" s="11" t="str">
        <f>IF(Master[[#This Row],[Inventory Type - Lookup Picker]]="","",Master[[#This Row],[Inventory Type - Lookup Picker]])</f>
        <v>SD</v>
      </c>
      <c r="I51" s="149" t="str">
        <f t="shared" si="1"/>
        <v>mm/dd/yyyy</v>
      </c>
      <c r="J51" s="148">
        <f>Master[[#This Row],[Received Date -received by site]]</f>
        <v>44466</v>
      </c>
      <c r="K51" s="42" t="str">
        <f>IF(Master[[#This Row],[Note (Accession Narrative)]]="","",Master[[#This Row],[Note (Accession Narrative)]])</f>
        <v/>
      </c>
    </row>
    <row r="52" spans="2:11" s="1" customFormat="1" ht="15.75" x14ac:dyDescent="0.25">
      <c r="B52" s="1" t="str">
        <f>IF(Master[[#This Row],[Accession Prefix (NPGS)]]="","",Master[[#This Row],[Accession Prefix (NPGS)]])</f>
        <v>W6</v>
      </c>
      <c r="C52" s="64">
        <f>IF(Master[[#This Row],[Accession Number -Assigned]]="","",Master[[#This Row],[Accession Number -Assigned]])</f>
        <v>59638</v>
      </c>
      <c r="D52" s="114" t="str">
        <f>IF(Master[[#This Row],[Taxon -Lookup Picker in GRIN]]="","",Master[[#This Row],[Taxon -Lookup Picker in GRIN]])</f>
        <v>Euthamia occidentalis</v>
      </c>
      <c r="E52" s="1" t="str">
        <f>IF(Master[[#This Row],[Life Form -Lookup Picker]]="","",Master[[#This Row],[Life Form -Lookup Picker]])</f>
        <v/>
      </c>
      <c r="F52" s="1" t="str">
        <f>IF(Master[[#This Row],[Level of Improvement -Lookup Picker]]="","",Master[[#This Row],[Level of Improvement -Lookup Picker]])</f>
        <v>Wild material</v>
      </c>
      <c r="G52" s="1" t="str">
        <f>IF(Master[[#This Row],[Reproductive Uniformity -Lookup Picker]]="","",Master[[#This Row],[Reproductive Uniformity -Lookup Picker]])</f>
        <v/>
      </c>
      <c r="H52" s="11" t="str">
        <f>IF(Master[[#This Row],[Inventory Type - Lookup Picker]]="","",Master[[#This Row],[Inventory Type - Lookup Picker]])</f>
        <v>SD</v>
      </c>
      <c r="I52" s="149" t="str">
        <f t="shared" si="1"/>
        <v>mm/dd/yyyy</v>
      </c>
      <c r="J52" s="148">
        <f>Master[[#This Row],[Received Date -received by site]]</f>
        <v>44466</v>
      </c>
      <c r="K52" s="42" t="str">
        <f>IF(Master[[#This Row],[Note (Accession Narrative)]]="","",Master[[#This Row],[Note (Accession Narrative)]])</f>
        <v/>
      </c>
    </row>
    <row r="53" spans="2:11" s="1" customFormat="1" ht="15.75" x14ac:dyDescent="0.25">
      <c r="B53" s="1" t="str">
        <f>IF(Master[[#This Row],[Accession Prefix (NPGS)]]="","",Master[[#This Row],[Accession Prefix (NPGS)]])</f>
        <v>W6</v>
      </c>
      <c r="C53" s="64">
        <f>IF(Master[[#This Row],[Accession Number -Assigned]]="","",Master[[#This Row],[Accession Number -Assigned]])</f>
        <v>59639</v>
      </c>
      <c r="D53" s="114" t="str">
        <f>IF(Master[[#This Row],[Taxon -Lookup Picker in GRIN]]="","",Master[[#This Row],[Taxon -Lookup Picker in GRIN]])</f>
        <v>Euthamia occidentalis</v>
      </c>
      <c r="E53" s="1" t="str">
        <f>IF(Master[[#This Row],[Life Form -Lookup Picker]]="","",Master[[#This Row],[Life Form -Lookup Picker]])</f>
        <v/>
      </c>
      <c r="F53" s="1" t="str">
        <f>IF(Master[[#This Row],[Level of Improvement -Lookup Picker]]="","",Master[[#This Row],[Level of Improvement -Lookup Picker]])</f>
        <v>Wild material</v>
      </c>
      <c r="G53" s="1" t="str">
        <f>IF(Master[[#This Row],[Reproductive Uniformity -Lookup Picker]]="","",Master[[#This Row],[Reproductive Uniformity -Lookup Picker]])</f>
        <v/>
      </c>
      <c r="H53" s="11" t="str">
        <f>IF(Master[[#This Row],[Inventory Type - Lookup Picker]]="","",Master[[#This Row],[Inventory Type - Lookup Picker]])</f>
        <v>SD</v>
      </c>
      <c r="I53" s="149" t="str">
        <f t="shared" si="1"/>
        <v>mm/dd/yyyy</v>
      </c>
      <c r="J53" s="148">
        <f>Master[[#This Row],[Received Date -received by site]]</f>
        <v>44466</v>
      </c>
      <c r="K53" s="42" t="str">
        <f>IF(Master[[#This Row],[Note (Accession Narrative)]]="","",Master[[#This Row],[Note (Accession Narrative)]])</f>
        <v/>
      </c>
    </row>
    <row r="54" spans="2:11" s="1" customFormat="1" ht="15.75" x14ac:dyDescent="0.25">
      <c r="B54" s="1" t="str">
        <f>IF(Master[[#This Row],[Accession Prefix (NPGS)]]="","",Master[[#This Row],[Accession Prefix (NPGS)]])</f>
        <v>W6</v>
      </c>
      <c r="C54" s="64">
        <f>IF(Master[[#This Row],[Accession Number -Assigned]]="","",Master[[#This Row],[Accession Number -Assigned]])</f>
        <v>59640</v>
      </c>
      <c r="D54" s="114" t="str">
        <f>IF(Master[[#This Row],[Taxon -Lookup Picker in GRIN]]="","",Master[[#This Row],[Taxon -Lookup Picker in GRIN]])</f>
        <v>Artemisia tridentata</v>
      </c>
      <c r="E54" s="1" t="str">
        <f>IF(Master[[#This Row],[Life Form -Lookup Picker]]="","",Master[[#This Row],[Life Form -Lookup Picker]])</f>
        <v/>
      </c>
      <c r="F54" s="1" t="str">
        <f>IF(Master[[#This Row],[Level of Improvement -Lookup Picker]]="","",Master[[#This Row],[Level of Improvement -Lookup Picker]])</f>
        <v>Wild material</v>
      </c>
      <c r="G54" s="1" t="str">
        <f>IF(Master[[#This Row],[Reproductive Uniformity -Lookup Picker]]="","",Master[[#This Row],[Reproductive Uniformity -Lookup Picker]])</f>
        <v/>
      </c>
      <c r="H54" s="11" t="str">
        <f>IF(Master[[#This Row],[Inventory Type - Lookup Picker]]="","",Master[[#This Row],[Inventory Type - Lookup Picker]])</f>
        <v>SD</v>
      </c>
      <c r="I54" s="149" t="str">
        <f t="shared" ref="I54:I85" si="2">"mm/dd/yyyy"</f>
        <v>mm/dd/yyyy</v>
      </c>
      <c r="J54" s="148">
        <f>Master[[#This Row],[Received Date -received by site]]</f>
        <v>44466</v>
      </c>
      <c r="K54" s="42" t="str">
        <f>IF(Master[[#This Row],[Note (Accession Narrative)]]="","",Master[[#This Row],[Note (Accession Narrative)]])</f>
        <v/>
      </c>
    </row>
    <row r="55" spans="2:11" s="1" customFormat="1" ht="15.75" x14ac:dyDescent="0.25">
      <c r="B55" s="1" t="str">
        <f>IF(Master[[#This Row],[Accession Prefix (NPGS)]]="","",Master[[#This Row],[Accession Prefix (NPGS)]])</f>
        <v>W6</v>
      </c>
      <c r="C55" s="64">
        <f>IF(Master[[#This Row],[Accession Number -Assigned]]="","",Master[[#This Row],[Accession Number -Assigned]])</f>
        <v>59641</v>
      </c>
      <c r="D55" s="114" t="str">
        <f>IF(Master[[#This Row],[Taxon -Lookup Picker in GRIN]]="","",Master[[#This Row],[Taxon -Lookup Picker in GRIN]])</f>
        <v>Schoenoplectus pungens var. longispicatus</v>
      </c>
      <c r="E55" s="1" t="str">
        <f>IF(Master[[#This Row],[Life Form -Lookup Picker]]="","",Master[[#This Row],[Life Form -Lookup Picker]])</f>
        <v/>
      </c>
      <c r="F55" s="1" t="str">
        <f>IF(Master[[#This Row],[Level of Improvement -Lookup Picker]]="","",Master[[#This Row],[Level of Improvement -Lookup Picker]])</f>
        <v>Wild material</v>
      </c>
      <c r="G55" s="1" t="str">
        <f>IF(Master[[#This Row],[Reproductive Uniformity -Lookup Picker]]="","",Master[[#This Row],[Reproductive Uniformity -Lookup Picker]])</f>
        <v/>
      </c>
      <c r="H55" s="11" t="str">
        <f>IF(Master[[#This Row],[Inventory Type - Lookup Picker]]="","",Master[[#This Row],[Inventory Type - Lookup Picker]])</f>
        <v>SD</v>
      </c>
      <c r="I55" s="149" t="str">
        <f t="shared" si="2"/>
        <v>mm/dd/yyyy</v>
      </c>
      <c r="J55" s="148">
        <f>Master[[#This Row],[Received Date -received by site]]</f>
        <v>44466</v>
      </c>
      <c r="K55" s="42" t="str">
        <f>IF(Master[[#This Row],[Note (Accession Narrative)]]="","",Master[[#This Row],[Note (Accession Narrative)]])</f>
        <v/>
      </c>
    </row>
    <row r="56" spans="2:11" s="1" customFormat="1" ht="15.75" x14ac:dyDescent="0.25">
      <c r="B56" s="1" t="str">
        <f>IF(Master[[#This Row],[Accession Prefix (NPGS)]]="","",Master[[#This Row],[Accession Prefix (NPGS)]])</f>
        <v>W6</v>
      </c>
      <c r="C56" s="64">
        <f>IF(Master[[#This Row],[Accession Number -Assigned]]="","",Master[[#This Row],[Accession Number -Assigned]])</f>
        <v>59642</v>
      </c>
      <c r="D56" s="114" t="str">
        <f>IF(Master[[#This Row],[Taxon -Lookup Picker in GRIN]]="","",Master[[#This Row],[Taxon -Lookup Picker in GRIN]])</f>
        <v>Triglochin maritima</v>
      </c>
      <c r="E56" s="1" t="str">
        <f>IF(Master[[#This Row],[Life Form -Lookup Picker]]="","",Master[[#This Row],[Life Form -Lookup Picker]])</f>
        <v/>
      </c>
      <c r="F56" s="1" t="str">
        <f>IF(Master[[#This Row],[Level of Improvement -Lookup Picker]]="","",Master[[#This Row],[Level of Improvement -Lookup Picker]])</f>
        <v>Wild material</v>
      </c>
      <c r="G56" s="1" t="str">
        <f>IF(Master[[#This Row],[Reproductive Uniformity -Lookup Picker]]="","",Master[[#This Row],[Reproductive Uniformity -Lookup Picker]])</f>
        <v/>
      </c>
      <c r="H56" s="11" t="str">
        <f>IF(Master[[#This Row],[Inventory Type - Lookup Picker]]="","",Master[[#This Row],[Inventory Type - Lookup Picker]])</f>
        <v>SD</v>
      </c>
      <c r="I56" s="149" t="str">
        <f t="shared" si="2"/>
        <v>mm/dd/yyyy</v>
      </c>
      <c r="J56" s="148">
        <f>Master[[#This Row],[Received Date -received by site]]</f>
        <v>44466</v>
      </c>
      <c r="K56" s="42" t="str">
        <f>IF(Master[[#This Row],[Note (Accession Narrative)]]="","",Master[[#This Row],[Note (Accession Narrative)]])</f>
        <v/>
      </c>
    </row>
    <row r="57" spans="2:11" s="1" customFormat="1" ht="15.75" x14ac:dyDescent="0.25">
      <c r="B57" s="1" t="str">
        <f>IF(Master[[#This Row],[Accession Prefix (NPGS)]]="","",Master[[#This Row],[Accession Prefix (NPGS)]])</f>
        <v>W6</v>
      </c>
      <c r="C57" s="64">
        <f>IF(Master[[#This Row],[Accession Number -Assigned]]="","",Master[[#This Row],[Accession Number -Assigned]])</f>
        <v>59643</v>
      </c>
      <c r="D57" s="114" t="str">
        <f>IF(Master[[#This Row],[Taxon -Lookup Picker in GRIN]]="","",Master[[#This Row],[Taxon -Lookup Picker in GRIN]])</f>
        <v>Poa secunda</v>
      </c>
      <c r="E57" s="1" t="str">
        <f>IF(Master[[#This Row],[Life Form -Lookup Picker]]="","",Master[[#This Row],[Life Form -Lookup Picker]])</f>
        <v/>
      </c>
      <c r="F57" s="1" t="str">
        <f>IF(Master[[#This Row],[Level of Improvement -Lookup Picker]]="","",Master[[#This Row],[Level of Improvement -Lookup Picker]])</f>
        <v>Wild material</v>
      </c>
      <c r="G57" s="1" t="str">
        <f>IF(Master[[#This Row],[Reproductive Uniformity -Lookup Picker]]="","",Master[[#This Row],[Reproductive Uniformity -Lookup Picker]])</f>
        <v/>
      </c>
      <c r="H57" s="11" t="str">
        <f>IF(Master[[#This Row],[Inventory Type - Lookup Picker]]="","",Master[[#This Row],[Inventory Type - Lookup Picker]])</f>
        <v>SD</v>
      </c>
      <c r="I57" s="149" t="str">
        <f t="shared" si="2"/>
        <v>mm/dd/yyyy</v>
      </c>
      <c r="J57" s="148">
        <f>Master[[#This Row],[Received Date -received by site]]</f>
        <v>44466</v>
      </c>
      <c r="K57" s="42" t="str">
        <f>IF(Master[[#This Row],[Note (Accession Narrative)]]="","",Master[[#This Row],[Note (Accession Narrative)]])</f>
        <v>Grows in tufts with 1- 10 inflorescences per plant. Some stems still had reddish tint at the time of seed collection. Many individuals' growth stunted by drought and many individuals produced no reproductive shoots this year.</v>
      </c>
    </row>
    <row r="58" spans="2:11" s="1" customFormat="1" ht="15.75" x14ac:dyDescent="0.25">
      <c r="B58" s="1" t="str">
        <f>IF(Master[[#This Row],[Accession Prefix (NPGS)]]="","",Master[[#This Row],[Accession Prefix (NPGS)]])</f>
        <v>W6</v>
      </c>
      <c r="C58" s="64">
        <f>IF(Master[[#This Row],[Accession Number -Assigned]]="","",Master[[#This Row],[Accession Number -Assigned]])</f>
        <v>59644</v>
      </c>
      <c r="D58" s="114" t="str">
        <f>IF(Master[[#This Row],[Taxon -Lookup Picker in GRIN]]="","",Master[[#This Row],[Taxon -Lookup Picker in GRIN]])</f>
        <v>Poa secunda</v>
      </c>
      <c r="E58" s="1" t="str">
        <f>IF(Master[[#This Row],[Life Form -Lookup Picker]]="","",Master[[#This Row],[Life Form -Lookup Picker]])</f>
        <v/>
      </c>
      <c r="F58" s="1" t="str">
        <f>IF(Master[[#This Row],[Level of Improvement -Lookup Picker]]="","",Master[[#This Row],[Level of Improvement -Lookup Picker]])</f>
        <v>Wild material</v>
      </c>
      <c r="G58" s="1" t="str">
        <f>IF(Master[[#This Row],[Reproductive Uniformity -Lookup Picker]]="","",Master[[#This Row],[Reproductive Uniformity -Lookup Picker]])</f>
        <v/>
      </c>
      <c r="H58" s="11" t="str">
        <f>IF(Master[[#This Row],[Inventory Type - Lookup Picker]]="","",Master[[#This Row],[Inventory Type - Lookup Picker]])</f>
        <v>SD</v>
      </c>
      <c r="I58" s="149" t="str">
        <f t="shared" si="2"/>
        <v>mm/dd/yyyy</v>
      </c>
      <c r="J58" s="148">
        <f>Master[[#This Row],[Received Date -received by site]]</f>
        <v>44466</v>
      </c>
      <c r="K58" s="42" t="str">
        <f>IF(Master[[#This Row],[Note (Accession Narrative)]]="","",Master[[#This Row],[Note (Accession Narrative)]])</f>
        <v>Grows in tufts with 1- 10 inflorescences per plant. Some stems still had reddish tint at the time of seed collection. Individuals located along dry stream beds seemed to have the greatest amount of seed production.</v>
      </c>
    </row>
    <row r="59" spans="2:11" s="1" customFormat="1" ht="15.75" x14ac:dyDescent="0.25">
      <c r="B59" s="1" t="str">
        <f>IF(Master[[#This Row],[Accession Prefix (NPGS)]]="","",Master[[#This Row],[Accession Prefix (NPGS)]])</f>
        <v>W6</v>
      </c>
      <c r="C59" s="64">
        <f>IF(Master[[#This Row],[Accession Number -Assigned]]="","",Master[[#This Row],[Accession Number -Assigned]])</f>
        <v>59645</v>
      </c>
      <c r="D59" s="114" t="str">
        <f>IF(Master[[#This Row],[Taxon -Lookup Picker in GRIN]]="","",Master[[#This Row],[Taxon -Lookup Picker in GRIN]])</f>
        <v>Poa secunda</v>
      </c>
      <c r="E59" s="1" t="str">
        <f>IF(Master[[#This Row],[Life Form -Lookup Picker]]="","",Master[[#This Row],[Life Form -Lookup Picker]])</f>
        <v/>
      </c>
      <c r="F59" s="1" t="str">
        <f>IF(Master[[#This Row],[Level of Improvement -Lookup Picker]]="","",Master[[#This Row],[Level of Improvement -Lookup Picker]])</f>
        <v>Wild material</v>
      </c>
      <c r="G59" s="1" t="str">
        <f>IF(Master[[#This Row],[Reproductive Uniformity -Lookup Picker]]="","",Master[[#This Row],[Reproductive Uniformity -Lookup Picker]])</f>
        <v/>
      </c>
      <c r="H59" s="11" t="str">
        <f>IF(Master[[#This Row],[Inventory Type - Lookup Picker]]="","",Master[[#This Row],[Inventory Type - Lookup Picker]])</f>
        <v>SD</v>
      </c>
      <c r="I59" s="149" t="str">
        <f t="shared" si="2"/>
        <v>mm/dd/yyyy</v>
      </c>
      <c r="J59" s="148">
        <f>Master[[#This Row],[Received Date -received by site]]</f>
        <v>44466</v>
      </c>
      <c r="K59" s="42" t="str">
        <f>IF(Master[[#This Row],[Note (Accession Narrative)]]="","",Master[[#This Row],[Note (Accession Narrative)]])</f>
        <v>Grows in tufts with 1- 10 inflorescences per plant. Some stems still had reddish tint at the time of seed collection. Individuals located along dry stream beds seemed to have the greatest amount of seed production. Individuals higher on slopes appeared to have stunted reproductive growth, likely due to drought.</v>
      </c>
    </row>
    <row r="60" spans="2:11" s="1" customFormat="1" ht="15.75" x14ac:dyDescent="0.25">
      <c r="B60" s="1" t="str">
        <f>IF(Master[[#This Row],[Accession Prefix (NPGS)]]="","",Master[[#This Row],[Accession Prefix (NPGS)]])</f>
        <v>W6</v>
      </c>
      <c r="C60" s="64">
        <f>IF(Master[[#This Row],[Accession Number -Assigned]]="","",Master[[#This Row],[Accession Number -Assigned]])</f>
        <v>59646</v>
      </c>
      <c r="D60" s="114" t="str">
        <f>IF(Master[[#This Row],[Taxon -Lookup Picker in GRIN]]="","",Master[[#This Row],[Taxon -Lookup Picker in GRIN]])</f>
        <v>Pseudoroegneria spicata</v>
      </c>
      <c r="E60" s="1" t="str">
        <f>IF(Master[[#This Row],[Life Form -Lookup Picker]]="","",Master[[#This Row],[Life Form -Lookup Picker]])</f>
        <v/>
      </c>
      <c r="F60" s="1" t="str">
        <f>IF(Master[[#This Row],[Level of Improvement -Lookup Picker]]="","",Master[[#This Row],[Level of Improvement -Lookup Picker]])</f>
        <v>Wild material</v>
      </c>
      <c r="G60" s="1" t="str">
        <f>IF(Master[[#This Row],[Reproductive Uniformity -Lookup Picker]]="","",Master[[#This Row],[Reproductive Uniformity -Lookup Picker]])</f>
        <v/>
      </c>
      <c r="H60" s="11" t="str">
        <f>IF(Master[[#This Row],[Inventory Type - Lookup Picker]]="","",Master[[#This Row],[Inventory Type - Lookup Picker]])</f>
        <v>SD</v>
      </c>
      <c r="I60" s="149" t="str">
        <f t="shared" si="2"/>
        <v>mm/dd/yyyy</v>
      </c>
      <c r="J60" s="148">
        <f>Master[[#This Row],[Received Date -received by site]]</f>
        <v>44466</v>
      </c>
      <c r="K60" s="42" t="str">
        <f>IF(Master[[#This Row],[Note (Accession Narrative)]]="","",Master[[#This Row],[Note (Accession Narrative)]])</f>
        <v>Perennial bunchgrass forming expansive populations, with individuals generally spaced apart evenly covering entire slopes. Awns at 90 degrees from shoot axis. Many plants lacking reproductive shoots this year due to drought, with seed production mostly limited to areas surrounding dry stream beds and ravines.</v>
      </c>
    </row>
    <row r="61" spans="2:11" s="1" customFormat="1" ht="15.75" x14ac:dyDescent="0.25">
      <c r="B61" s="1" t="str">
        <f>IF(Master[[#This Row],[Accession Prefix (NPGS)]]="","",Master[[#This Row],[Accession Prefix (NPGS)]])</f>
        <v>W6</v>
      </c>
      <c r="C61" s="64">
        <f>IF(Master[[#This Row],[Accession Number -Assigned]]="","",Master[[#This Row],[Accession Number -Assigned]])</f>
        <v>59647</v>
      </c>
      <c r="D61" s="114" t="str">
        <f>IF(Master[[#This Row],[Taxon -Lookup Picker in GRIN]]="","",Master[[#This Row],[Taxon -Lookup Picker in GRIN]])</f>
        <v>Poa secunda</v>
      </c>
      <c r="E61" s="1" t="str">
        <f>IF(Master[[#This Row],[Life Form -Lookup Picker]]="","",Master[[#This Row],[Life Form -Lookup Picker]])</f>
        <v/>
      </c>
      <c r="F61" s="1" t="str">
        <f>IF(Master[[#This Row],[Level of Improvement -Lookup Picker]]="","",Master[[#This Row],[Level of Improvement -Lookup Picker]])</f>
        <v>Wild material</v>
      </c>
      <c r="G61" s="1" t="str">
        <f>IF(Master[[#This Row],[Reproductive Uniformity -Lookup Picker]]="","",Master[[#This Row],[Reproductive Uniformity -Lookup Picker]])</f>
        <v/>
      </c>
      <c r="H61" s="11" t="str">
        <f>IF(Master[[#This Row],[Inventory Type - Lookup Picker]]="","",Master[[#This Row],[Inventory Type - Lookup Picker]])</f>
        <v>SD</v>
      </c>
      <c r="I61" s="149" t="str">
        <f t="shared" si="2"/>
        <v>mm/dd/yyyy</v>
      </c>
      <c r="J61" s="148">
        <f>Master[[#This Row],[Received Date -received by site]]</f>
        <v>44466</v>
      </c>
      <c r="K61" s="42" t="str">
        <f>IF(Master[[#This Row],[Note (Accession Narrative)]]="","",Master[[#This Row],[Note (Accession Narrative)]])</f>
        <v>Perennial bunchgrass growing in tufts with a reddish tint or golden hue to stems. Specimens here were relatively tall and healthy, growing along a south-facing slope within the Raft River Mountains. Extremely dense population, dominating the landscape at the upper elevations of the slope.</v>
      </c>
    </row>
    <row r="62" spans="2:11" s="1" customFormat="1" ht="15.75" x14ac:dyDescent="0.25">
      <c r="B62" s="1" t="str">
        <f>IF(Master[[#This Row],[Accession Prefix (NPGS)]]="","",Master[[#This Row],[Accession Prefix (NPGS)]])</f>
        <v>W6</v>
      </c>
      <c r="C62" s="64">
        <f>IF(Master[[#This Row],[Accession Number -Assigned]]="","",Master[[#This Row],[Accession Number -Assigned]])</f>
        <v>59648</v>
      </c>
      <c r="D62" s="114" t="str">
        <f>IF(Master[[#This Row],[Taxon -Lookup Picker in GRIN]]="","",Master[[#This Row],[Taxon -Lookup Picker in GRIN]])</f>
        <v>Pseudoroegneria spicata</v>
      </c>
      <c r="E62" s="1" t="str">
        <f>IF(Master[[#This Row],[Life Form -Lookup Picker]]="","",Master[[#This Row],[Life Form -Lookup Picker]])</f>
        <v/>
      </c>
      <c r="F62" s="1" t="str">
        <f>IF(Master[[#This Row],[Level of Improvement -Lookup Picker]]="","",Master[[#This Row],[Level of Improvement -Lookup Picker]])</f>
        <v>Wild material</v>
      </c>
      <c r="G62" s="1" t="str">
        <f>IF(Master[[#This Row],[Reproductive Uniformity -Lookup Picker]]="","",Master[[#This Row],[Reproductive Uniformity -Lookup Picker]])</f>
        <v/>
      </c>
      <c r="H62" s="11" t="str">
        <f>IF(Master[[#This Row],[Inventory Type - Lookup Picker]]="","",Master[[#This Row],[Inventory Type - Lookup Picker]])</f>
        <v>SD</v>
      </c>
      <c r="I62" s="149" t="str">
        <f t="shared" si="2"/>
        <v>mm/dd/yyyy</v>
      </c>
      <c r="J62" s="148">
        <f>Master[[#This Row],[Received Date -received by site]]</f>
        <v>44466</v>
      </c>
      <c r="K62" s="42" t="str">
        <f>IF(Master[[#This Row],[Note (Accession Narrative)]]="","",Master[[#This Row],[Note (Accession Narrative)]])</f>
        <v>Perennial bunchgrass with narrow spike inflorescence, forming expansive populations with individuals generally spaced apart evenly, covering entire slopes. Awns at 90 degrees from shoot axis. Reproductive growth only moderately limited by drought this year, with most seed production occurring on plants growing in valley bottoms and surrounding toe-slopes.</v>
      </c>
    </row>
    <row r="63" spans="2:11" s="1" customFormat="1" ht="15.75" x14ac:dyDescent="0.25">
      <c r="B63" s="1" t="str">
        <f>IF(Master[[#This Row],[Accession Prefix (NPGS)]]="","",Master[[#This Row],[Accession Prefix (NPGS)]])</f>
        <v>W6</v>
      </c>
      <c r="C63" s="64">
        <f>IF(Master[[#This Row],[Accession Number -Assigned]]="","",Master[[#This Row],[Accession Number -Assigned]])</f>
        <v>59649</v>
      </c>
      <c r="D63" s="114" t="str">
        <f>IF(Master[[#This Row],[Taxon -Lookup Picker in GRIN]]="","",Master[[#This Row],[Taxon -Lookup Picker in GRIN]])</f>
        <v>Poa secunda</v>
      </c>
      <c r="E63" s="1" t="str">
        <f>IF(Master[[#This Row],[Life Form -Lookup Picker]]="","",Master[[#This Row],[Life Form -Lookup Picker]])</f>
        <v/>
      </c>
      <c r="F63" s="1" t="str">
        <f>IF(Master[[#This Row],[Level of Improvement -Lookup Picker]]="","",Master[[#This Row],[Level of Improvement -Lookup Picker]])</f>
        <v>Wild material</v>
      </c>
      <c r="G63" s="1" t="str">
        <f>IF(Master[[#This Row],[Reproductive Uniformity -Lookup Picker]]="","",Master[[#This Row],[Reproductive Uniformity -Lookup Picker]])</f>
        <v/>
      </c>
      <c r="H63" s="11" t="str">
        <f>IF(Master[[#This Row],[Inventory Type - Lookup Picker]]="","",Master[[#This Row],[Inventory Type - Lookup Picker]])</f>
        <v>SD</v>
      </c>
      <c r="I63" s="149" t="str">
        <f t="shared" si="2"/>
        <v>mm/dd/yyyy</v>
      </c>
      <c r="J63" s="148">
        <f>Master[[#This Row],[Received Date -received by site]]</f>
        <v>44466</v>
      </c>
      <c r="K63" s="42" t="str">
        <f>IF(Master[[#This Row],[Note (Accession Narrative)]]="","",Master[[#This Row],[Note (Accession Narrative)]])</f>
        <v>Perennial bunchgrass with narrow panicle inflorescence, growing in tufts with a reddish tint or golden hue to stems. Plants in this population were relatively tall for Sandberg Bluegrass in the West Desert of Utah, since they were growing in a wet mountain meadow. Poa secunda was the dominant grass in the small area where we collected.</v>
      </c>
    </row>
    <row r="64" spans="2:11" s="1" customFormat="1" ht="15.75" x14ac:dyDescent="0.25">
      <c r="B64" s="1" t="str">
        <f>IF(Master[[#This Row],[Accession Prefix (NPGS)]]="","",Master[[#This Row],[Accession Prefix (NPGS)]])</f>
        <v>W6</v>
      </c>
      <c r="C64" s="64">
        <f>IF(Master[[#This Row],[Accession Number -Assigned]]="","",Master[[#This Row],[Accession Number -Assigned]])</f>
        <v>59650</v>
      </c>
      <c r="D64" s="114" t="str">
        <f>IF(Master[[#This Row],[Taxon -Lookup Picker in GRIN]]="","",Master[[#This Row],[Taxon -Lookup Picker in GRIN]])</f>
        <v>Leymus cinereus</v>
      </c>
      <c r="E64" s="1" t="str">
        <f>IF(Master[[#This Row],[Life Form -Lookup Picker]]="","",Master[[#This Row],[Life Form -Lookup Picker]])</f>
        <v/>
      </c>
      <c r="F64" s="1" t="str">
        <f>IF(Master[[#This Row],[Level of Improvement -Lookup Picker]]="","",Master[[#This Row],[Level of Improvement -Lookup Picker]])</f>
        <v>Wild material</v>
      </c>
      <c r="G64" s="1" t="str">
        <f>IF(Master[[#This Row],[Reproductive Uniformity -Lookup Picker]]="","",Master[[#This Row],[Reproductive Uniformity -Lookup Picker]])</f>
        <v/>
      </c>
      <c r="H64" s="11" t="str">
        <f>IF(Master[[#This Row],[Inventory Type - Lookup Picker]]="","",Master[[#This Row],[Inventory Type - Lookup Picker]])</f>
        <v>SD</v>
      </c>
      <c r="I64" s="149" t="str">
        <f t="shared" si="2"/>
        <v>mm/dd/yyyy</v>
      </c>
      <c r="J64" s="148">
        <f>Master[[#This Row],[Received Date -received by site]]</f>
        <v>44466</v>
      </c>
      <c r="K64" s="42" t="str">
        <f>IF(Master[[#This Row],[Note (Accession Narrative)]]="","",Master[[#This Row],[Note (Accession Narrative)]])</f>
        <v>Perennial bunchgrass forming tall, sprawling clumps with numerous inflorescences. Plant height averaged 5 ft and plants here appeared healthy, but cattle grazing was particularly heavy in the area, so most of the plants had been trampled upon and chewed down. Population densest in the flat, open, wet bottom of the canyon, and sparser along the drier surrounding toe-slopes.</v>
      </c>
    </row>
    <row r="65" spans="2:11" s="1" customFormat="1" ht="15.75" x14ac:dyDescent="0.25">
      <c r="B65" s="1" t="str">
        <f>IF(Master[[#This Row],[Accession Prefix (NPGS)]]="","",Master[[#This Row],[Accession Prefix (NPGS)]])</f>
        <v>W6</v>
      </c>
      <c r="C65" s="64">
        <f>IF(Master[[#This Row],[Accession Number -Assigned]]="","",Master[[#This Row],[Accession Number -Assigned]])</f>
        <v>59651</v>
      </c>
      <c r="D65" s="114" t="str">
        <f>IF(Master[[#This Row],[Taxon -Lookup Picker in GRIN]]="","",Master[[#This Row],[Taxon -Lookup Picker in GRIN]])</f>
        <v>Leymus cinereus</v>
      </c>
      <c r="E65" s="1" t="str">
        <f>IF(Master[[#This Row],[Life Form -Lookup Picker]]="","",Master[[#This Row],[Life Form -Lookup Picker]])</f>
        <v/>
      </c>
      <c r="F65" s="1" t="str">
        <f>IF(Master[[#This Row],[Level of Improvement -Lookup Picker]]="","",Master[[#This Row],[Level of Improvement -Lookup Picker]])</f>
        <v>Wild material</v>
      </c>
      <c r="G65" s="1" t="str">
        <f>IF(Master[[#This Row],[Reproductive Uniformity -Lookup Picker]]="","",Master[[#This Row],[Reproductive Uniformity -Lookup Picker]])</f>
        <v/>
      </c>
      <c r="H65" s="11" t="str">
        <f>IF(Master[[#This Row],[Inventory Type - Lookup Picker]]="","",Master[[#This Row],[Inventory Type - Lookup Picker]])</f>
        <v>SD</v>
      </c>
      <c r="I65" s="149" t="str">
        <f t="shared" si="2"/>
        <v>mm/dd/yyyy</v>
      </c>
      <c r="J65" s="148">
        <f>Master[[#This Row],[Received Date -received by site]]</f>
        <v>44466</v>
      </c>
      <c r="K65" s="42" t="str">
        <f>IF(Master[[#This Row],[Note (Accession Narrative)]]="","",Master[[#This Row],[Note (Accession Narrative)]])</f>
        <v>Perennial bunchgrass forming tall, sprawling clumps with numerous inflorescences. Plant height averaged 4.67 ft and plants retained most of their inflorescences, despite trampling and heavy grazing by cattle in the area. Population densest in flat, open sites at the bottom of the canyon. At the time of seed collection, the lower leaves of most plants were completely dried up, while upper leaf blades were light green in color.</v>
      </c>
    </row>
    <row r="66" spans="2:11" s="1" customFormat="1" ht="15.75" x14ac:dyDescent="0.25">
      <c r="B66" s="1" t="str">
        <f>IF(Master[[#This Row],[Accession Prefix (NPGS)]]="","",Master[[#This Row],[Accession Prefix (NPGS)]])</f>
        <v>W6</v>
      </c>
      <c r="C66" s="64">
        <f>IF(Master[[#This Row],[Accession Number -Assigned]]="","",Master[[#This Row],[Accession Number -Assigned]])</f>
        <v>59652</v>
      </c>
      <c r="D66" s="114" t="str">
        <f>IF(Master[[#This Row],[Taxon -Lookup Picker in GRIN]]="","",Master[[#This Row],[Taxon -Lookup Picker in GRIN]])</f>
        <v>Leymus cinereus</v>
      </c>
      <c r="E66" s="1" t="str">
        <f>IF(Master[[#This Row],[Life Form -Lookup Picker]]="","",Master[[#This Row],[Life Form -Lookup Picker]])</f>
        <v/>
      </c>
      <c r="F66" s="1" t="str">
        <f>IF(Master[[#This Row],[Level of Improvement -Lookup Picker]]="","",Master[[#This Row],[Level of Improvement -Lookup Picker]])</f>
        <v>Wild material</v>
      </c>
      <c r="G66" s="1" t="str">
        <f>IF(Master[[#This Row],[Reproductive Uniformity -Lookup Picker]]="","",Master[[#This Row],[Reproductive Uniformity -Lookup Picker]])</f>
        <v/>
      </c>
      <c r="H66" s="11" t="str">
        <f>IF(Master[[#This Row],[Inventory Type - Lookup Picker]]="","",Master[[#This Row],[Inventory Type - Lookup Picker]])</f>
        <v>SD</v>
      </c>
      <c r="I66" s="149" t="str">
        <f t="shared" si="2"/>
        <v>mm/dd/yyyy</v>
      </c>
      <c r="J66" s="148">
        <f>Master[[#This Row],[Received Date -received by site]]</f>
        <v>44466</v>
      </c>
      <c r="K66" s="42" t="str">
        <f>IF(Master[[#This Row],[Note (Accession Narrative)]]="","",Master[[#This Row],[Note (Accession Narrative)]])</f>
        <v>Perennial bunchgrass forming tall, sprawling clumps with numerous inflorescences. Plant height averaged 4.5 ft and plants appeared healthy, but many plants in this area produced few or no reproductive shoots this year. Plants were present in flat, open areas directly alongside Wildcat Creek, but also along dry drainage paths relatively far from the creek. Most of the plants we collected seed from were located on rather dry, sloped sites, with their lower leaf blades dried up at the time of collection.</v>
      </c>
    </row>
    <row r="67" spans="2:11" s="1" customFormat="1" ht="15.75" x14ac:dyDescent="0.25">
      <c r="B67" s="1" t="str">
        <f>IF(Master[[#This Row],[Accession Prefix (NPGS)]]="","",Master[[#This Row],[Accession Prefix (NPGS)]])</f>
        <v>W6</v>
      </c>
      <c r="C67" s="64">
        <f>IF(Master[[#This Row],[Accession Number -Assigned]]="","",Master[[#This Row],[Accession Number -Assigned]])</f>
        <v>59653</v>
      </c>
      <c r="D67" s="114" t="str">
        <f>IF(Master[[#This Row],[Taxon -Lookup Picker in GRIN]]="","",Master[[#This Row],[Taxon -Lookup Picker in GRIN]])</f>
        <v>Leymus cinereus</v>
      </c>
      <c r="E67" s="1" t="str">
        <f>IF(Master[[#This Row],[Life Form -Lookup Picker]]="","",Master[[#This Row],[Life Form -Lookup Picker]])</f>
        <v/>
      </c>
      <c r="F67" s="1" t="str">
        <f>IF(Master[[#This Row],[Level of Improvement -Lookup Picker]]="","",Master[[#This Row],[Level of Improvement -Lookup Picker]])</f>
        <v>Wild material</v>
      </c>
      <c r="G67" s="1" t="str">
        <f>IF(Master[[#This Row],[Reproductive Uniformity -Lookup Picker]]="","",Master[[#This Row],[Reproductive Uniformity -Lookup Picker]])</f>
        <v/>
      </c>
      <c r="H67" s="11" t="str">
        <f>IF(Master[[#This Row],[Inventory Type - Lookup Picker]]="","",Master[[#This Row],[Inventory Type - Lookup Picker]])</f>
        <v>SD</v>
      </c>
      <c r="I67" s="149" t="str">
        <f t="shared" si="2"/>
        <v>mm/dd/yyyy</v>
      </c>
      <c r="J67" s="148">
        <f>Master[[#This Row],[Received Date -received by site]]</f>
        <v>44466</v>
      </c>
      <c r="K67" s="42" t="str">
        <f>IF(Master[[#This Row],[Note (Accession Narrative)]]="","",Master[[#This Row],[Note (Accession Narrative)]])</f>
        <v>Perennial bunchgrass forming tall, sprawling clumps with numerous inflorescences. Plant height averaged 4.67 ft in this area, with most individuals found in dense clusters at the bottom of the canyon. This area had been heavily grazed and trampled upon by cattle before our collection, but most of the plants retained all of their inflorescences. Seeds of plants at higher elevations along the creek and in shadier sites beneath Populus tremuloides trees were still not quite mature at the time of our collection on 08/12/2020, so our collection was primarily limited to lower-elevation, open sites.</v>
      </c>
    </row>
    <row r="68" spans="2:11" s="1" customFormat="1" ht="15.75" x14ac:dyDescent="0.25">
      <c r="B68" s="1" t="str">
        <f>IF(Master[[#This Row],[Accession Prefix (NPGS)]]="","",Master[[#This Row],[Accession Prefix (NPGS)]])</f>
        <v>W6</v>
      </c>
      <c r="C68" s="64">
        <f>IF(Master[[#This Row],[Accession Number -Assigned]]="","",Master[[#This Row],[Accession Number -Assigned]])</f>
        <v>59654</v>
      </c>
      <c r="D68" s="114" t="str">
        <f>IF(Master[[#This Row],[Taxon -Lookup Picker in GRIN]]="","",Master[[#This Row],[Taxon -Lookup Picker in GRIN]])</f>
        <v>Leymus cinereus</v>
      </c>
      <c r="E68" s="1" t="str">
        <f>IF(Master[[#This Row],[Life Form -Lookup Picker]]="","",Master[[#This Row],[Life Form -Lookup Picker]])</f>
        <v/>
      </c>
      <c r="F68" s="1" t="str">
        <f>IF(Master[[#This Row],[Level of Improvement -Lookup Picker]]="","",Master[[#This Row],[Level of Improvement -Lookup Picker]])</f>
        <v>Wild material</v>
      </c>
      <c r="G68" s="1" t="str">
        <f>IF(Master[[#This Row],[Reproductive Uniformity -Lookup Picker]]="","",Master[[#This Row],[Reproductive Uniformity -Lookup Picker]])</f>
        <v/>
      </c>
      <c r="H68" s="11" t="str">
        <f>IF(Master[[#This Row],[Inventory Type - Lookup Picker]]="","",Master[[#This Row],[Inventory Type - Lookup Picker]])</f>
        <v>SD</v>
      </c>
      <c r="I68" s="149" t="str">
        <f t="shared" si="2"/>
        <v>mm/dd/yyyy</v>
      </c>
      <c r="J68" s="148">
        <f>Master[[#This Row],[Received Date -received by site]]</f>
        <v>44466</v>
      </c>
      <c r="K68" s="42" t="str">
        <f>IF(Master[[#This Row],[Note (Accession Narrative)]]="","",Master[[#This Row],[Note (Accession Narrative)]])</f>
        <v>Perennial bunchgrass forming tall, sprawling clumps with numerous inflorescences. Plant height averaged 4.58 ft, with plants scattered alongside Clear Creek Rd in relatively flat, open sites. The effects of grazing here were minimal this season, so most plants were neither chewed down nor trampled upon. Rather than forming dense clusters, most of the plants here were scattered far from one another amidst other tall grasses, shrubs, and forbs. Since the riparian zone here is heavily forested, most Leymus cinereus individuals were relatively far from the creek, compared with other sites where we've collected.</v>
      </c>
    </row>
    <row r="69" spans="2:11" s="1" customFormat="1" ht="15.75" x14ac:dyDescent="0.25">
      <c r="B69" s="1" t="str">
        <f>IF(Master[[#This Row],[Accession Prefix (NPGS)]]="","",Master[[#This Row],[Accession Prefix (NPGS)]])</f>
        <v>W6</v>
      </c>
      <c r="C69" s="64">
        <f>IF(Master[[#This Row],[Accession Number -Assigned]]="","",Master[[#This Row],[Accession Number -Assigned]])</f>
        <v>59655</v>
      </c>
      <c r="D69" s="114" t="str">
        <f>IF(Master[[#This Row],[Taxon -Lookup Picker in GRIN]]="","",Master[[#This Row],[Taxon -Lookup Picker in GRIN]])</f>
        <v>Elymus elymoides</v>
      </c>
      <c r="E69" s="1" t="str">
        <f>IF(Master[[#This Row],[Life Form -Lookup Picker]]="","",Master[[#This Row],[Life Form -Lookup Picker]])</f>
        <v/>
      </c>
      <c r="F69" s="1" t="str">
        <f>IF(Master[[#This Row],[Level of Improvement -Lookup Picker]]="","",Master[[#This Row],[Level of Improvement -Lookup Picker]])</f>
        <v>Wild material</v>
      </c>
      <c r="G69" s="1" t="str">
        <f>IF(Master[[#This Row],[Reproductive Uniformity -Lookup Picker]]="","",Master[[#This Row],[Reproductive Uniformity -Lookup Picker]])</f>
        <v/>
      </c>
      <c r="H69" s="11" t="str">
        <f>IF(Master[[#This Row],[Inventory Type - Lookup Picker]]="","",Master[[#This Row],[Inventory Type - Lookup Picker]])</f>
        <v>SD</v>
      </c>
      <c r="I69" s="149" t="str">
        <f t="shared" si="2"/>
        <v>mm/dd/yyyy</v>
      </c>
      <c r="J69" s="148">
        <f>Master[[#This Row],[Received Date -received by site]]</f>
        <v>44466</v>
      </c>
      <c r="K69" s="42" t="str">
        <f>IF(Master[[#This Row],[Note (Accession Narrative)]]="","",Master[[#This Row],[Note (Accession Narrative)]])</f>
        <v/>
      </c>
    </row>
    <row r="70" spans="2:11" s="1" customFormat="1" ht="15.75" x14ac:dyDescent="0.25">
      <c r="B70" s="1" t="str">
        <f>IF(Master[[#This Row],[Accession Prefix (NPGS)]]="","",Master[[#This Row],[Accession Prefix (NPGS)]])</f>
        <v>W6</v>
      </c>
      <c r="C70" s="64">
        <f>IF(Master[[#This Row],[Accession Number -Assigned]]="","",Master[[#This Row],[Accession Number -Assigned]])</f>
        <v>59656</v>
      </c>
      <c r="D70" s="114" t="str">
        <f>IF(Master[[#This Row],[Taxon -Lookup Picker in GRIN]]="","",Master[[#This Row],[Taxon -Lookup Picker in GRIN]])</f>
        <v>Elymus elymoides</v>
      </c>
      <c r="E70" s="1" t="str">
        <f>IF(Master[[#This Row],[Life Form -Lookup Picker]]="","",Master[[#This Row],[Life Form -Lookup Picker]])</f>
        <v/>
      </c>
      <c r="F70" s="1" t="str">
        <f>IF(Master[[#This Row],[Level of Improvement -Lookup Picker]]="","",Master[[#This Row],[Level of Improvement -Lookup Picker]])</f>
        <v>Wild material</v>
      </c>
      <c r="G70" s="1" t="str">
        <f>IF(Master[[#This Row],[Reproductive Uniformity -Lookup Picker]]="","",Master[[#This Row],[Reproductive Uniformity -Lookup Picker]])</f>
        <v/>
      </c>
      <c r="H70" s="11" t="str">
        <f>IF(Master[[#This Row],[Inventory Type - Lookup Picker]]="","",Master[[#This Row],[Inventory Type - Lookup Picker]])</f>
        <v>SD</v>
      </c>
      <c r="I70" s="149" t="str">
        <f t="shared" si="2"/>
        <v>mm/dd/yyyy</v>
      </c>
      <c r="J70" s="148">
        <f>Master[[#This Row],[Received Date -received by site]]</f>
        <v>44466</v>
      </c>
      <c r="K70" s="42" t="str">
        <f>IF(Master[[#This Row],[Note (Accession Narrative)]]="","",Master[[#This Row],[Note (Accession Narrative)]])</f>
        <v/>
      </c>
    </row>
    <row r="71" spans="2:11" s="1" customFormat="1" ht="15.75" x14ac:dyDescent="0.25">
      <c r="B71" s="1" t="str">
        <f>IF(Master[[#This Row],[Accession Prefix (NPGS)]]="","",Master[[#This Row],[Accession Prefix (NPGS)]])</f>
        <v>W6</v>
      </c>
      <c r="C71" s="64">
        <f>IF(Master[[#This Row],[Accession Number -Assigned]]="","",Master[[#This Row],[Accession Number -Assigned]])</f>
        <v>59657</v>
      </c>
      <c r="D71" s="114" t="str">
        <f>IF(Master[[#This Row],[Taxon -Lookup Picker in GRIN]]="","",Master[[#This Row],[Taxon -Lookup Picker in GRIN]])</f>
        <v>Pleuraphis jamesii</v>
      </c>
      <c r="E71" s="1" t="str">
        <f>IF(Master[[#This Row],[Life Form -Lookup Picker]]="","",Master[[#This Row],[Life Form -Lookup Picker]])</f>
        <v/>
      </c>
      <c r="F71" s="1" t="str">
        <f>IF(Master[[#This Row],[Level of Improvement -Lookup Picker]]="","",Master[[#This Row],[Level of Improvement -Lookup Picker]])</f>
        <v>Wild material</v>
      </c>
      <c r="G71" s="1" t="str">
        <f>IF(Master[[#This Row],[Reproductive Uniformity -Lookup Picker]]="","",Master[[#This Row],[Reproductive Uniformity -Lookup Picker]])</f>
        <v/>
      </c>
      <c r="H71" s="11" t="str">
        <f>IF(Master[[#This Row],[Inventory Type - Lookup Picker]]="","",Master[[#This Row],[Inventory Type - Lookup Picker]])</f>
        <v>SD</v>
      </c>
      <c r="I71" s="149" t="str">
        <f t="shared" si="2"/>
        <v>mm/dd/yyyy</v>
      </c>
      <c r="J71" s="148">
        <f>Master[[#This Row],[Received Date -received by site]]</f>
        <v>44466</v>
      </c>
      <c r="K71" s="42" t="str">
        <f>IF(Master[[#This Row],[Note (Accession Narrative)]]="","",Master[[#This Row],[Note (Accession Narrative)]])</f>
        <v/>
      </c>
    </row>
    <row r="72" spans="2:11" s="1" customFormat="1" ht="15.75" x14ac:dyDescent="0.25">
      <c r="B72" s="1" t="str">
        <f>IF(Master[[#This Row],[Accession Prefix (NPGS)]]="","",Master[[#This Row],[Accession Prefix (NPGS)]])</f>
        <v>W6</v>
      </c>
      <c r="C72" s="64">
        <f>IF(Master[[#This Row],[Accession Number -Assigned]]="","",Master[[#This Row],[Accession Number -Assigned]])</f>
        <v>59658</v>
      </c>
      <c r="D72" s="114" t="str">
        <f>IF(Master[[#This Row],[Taxon -Lookup Picker in GRIN]]="","",Master[[#This Row],[Taxon -Lookup Picker in GRIN]])</f>
        <v>Pleuraphis jamesii</v>
      </c>
      <c r="E72" s="1" t="str">
        <f>IF(Master[[#This Row],[Life Form -Lookup Picker]]="","",Master[[#This Row],[Life Form -Lookup Picker]])</f>
        <v/>
      </c>
      <c r="F72" s="1" t="str">
        <f>IF(Master[[#This Row],[Level of Improvement -Lookup Picker]]="","",Master[[#This Row],[Level of Improvement -Lookup Picker]])</f>
        <v>Wild material</v>
      </c>
      <c r="G72" s="1" t="str">
        <f>IF(Master[[#This Row],[Reproductive Uniformity -Lookup Picker]]="","",Master[[#This Row],[Reproductive Uniformity -Lookup Picker]])</f>
        <v/>
      </c>
      <c r="H72" s="11" t="str">
        <f>IF(Master[[#This Row],[Inventory Type - Lookup Picker]]="","",Master[[#This Row],[Inventory Type - Lookup Picker]])</f>
        <v>SD</v>
      </c>
      <c r="I72" s="149" t="str">
        <f t="shared" si="2"/>
        <v>mm/dd/yyyy</v>
      </c>
      <c r="J72" s="148">
        <f>Master[[#This Row],[Received Date -received by site]]</f>
        <v>44466</v>
      </c>
      <c r="K72" s="42" t="str">
        <f>IF(Master[[#This Row],[Note (Accession Narrative)]]="","",Master[[#This Row],[Note (Accession Narrative)]])</f>
        <v/>
      </c>
    </row>
    <row r="73" spans="2:11" s="1" customFormat="1" ht="15.75" x14ac:dyDescent="0.25">
      <c r="B73" s="1" t="str">
        <f>IF(Master[[#This Row],[Accession Prefix (NPGS)]]="","",Master[[#This Row],[Accession Prefix (NPGS)]])</f>
        <v>W6</v>
      </c>
      <c r="C73" s="64">
        <f>IF(Master[[#This Row],[Accession Number -Assigned]]="","",Master[[#This Row],[Accession Number -Assigned]])</f>
        <v>59659</v>
      </c>
      <c r="D73" s="114" t="str">
        <f>IF(Master[[#This Row],[Taxon -Lookup Picker in GRIN]]="","",Master[[#This Row],[Taxon -Lookup Picker in GRIN]])</f>
        <v>Elymus elymoides</v>
      </c>
      <c r="E73" s="1" t="str">
        <f>IF(Master[[#This Row],[Life Form -Lookup Picker]]="","",Master[[#This Row],[Life Form -Lookup Picker]])</f>
        <v/>
      </c>
      <c r="F73" s="1" t="str">
        <f>IF(Master[[#This Row],[Level of Improvement -Lookup Picker]]="","",Master[[#This Row],[Level of Improvement -Lookup Picker]])</f>
        <v>Wild material</v>
      </c>
      <c r="G73" s="1" t="str">
        <f>IF(Master[[#This Row],[Reproductive Uniformity -Lookup Picker]]="","",Master[[#This Row],[Reproductive Uniformity -Lookup Picker]])</f>
        <v/>
      </c>
      <c r="H73" s="11" t="str">
        <f>IF(Master[[#This Row],[Inventory Type - Lookup Picker]]="","",Master[[#This Row],[Inventory Type - Lookup Picker]])</f>
        <v>SD</v>
      </c>
      <c r="I73" s="149" t="str">
        <f t="shared" si="2"/>
        <v>mm/dd/yyyy</v>
      </c>
      <c r="J73" s="148">
        <f>Master[[#This Row],[Received Date -received by site]]</f>
        <v>44466</v>
      </c>
      <c r="K73" s="42" t="str">
        <f>IF(Master[[#This Row],[Note (Accession Narrative)]]="","",Master[[#This Row],[Note (Accession Narrative)]])</f>
        <v/>
      </c>
    </row>
    <row r="74" spans="2:11" s="1" customFormat="1" ht="15.75" x14ac:dyDescent="0.25">
      <c r="B74" s="1" t="str">
        <f>IF(Master[[#This Row],[Accession Prefix (NPGS)]]="","",Master[[#This Row],[Accession Prefix (NPGS)]])</f>
        <v>W6</v>
      </c>
      <c r="C74" s="64">
        <f>IF(Master[[#This Row],[Accession Number -Assigned]]="","",Master[[#This Row],[Accession Number -Assigned]])</f>
        <v>59660</v>
      </c>
      <c r="D74" s="114" t="str">
        <f>IF(Master[[#This Row],[Taxon -Lookup Picker in GRIN]]="","",Master[[#This Row],[Taxon -Lookup Picker in GRIN]])</f>
        <v>Sphaeralcea coccinea subsp. coccinea</v>
      </c>
      <c r="E74" s="1" t="str">
        <f>IF(Master[[#This Row],[Life Form -Lookup Picker]]="","",Master[[#This Row],[Life Form -Lookup Picker]])</f>
        <v/>
      </c>
      <c r="F74" s="1" t="str">
        <f>IF(Master[[#This Row],[Level of Improvement -Lookup Picker]]="","",Master[[#This Row],[Level of Improvement -Lookup Picker]])</f>
        <v>Wild material</v>
      </c>
      <c r="G74" s="1" t="str">
        <f>IF(Master[[#This Row],[Reproductive Uniformity -Lookup Picker]]="","",Master[[#This Row],[Reproductive Uniformity -Lookup Picker]])</f>
        <v/>
      </c>
      <c r="H74" s="11" t="str">
        <f>IF(Master[[#This Row],[Inventory Type - Lookup Picker]]="","",Master[[#This Row],[Inventory Type - Lookup Picker]])</f>
        <v>SD</v>
      </c>
      <c r="I74" s="149" t="str">
        <f t="shared" si="2"/>
        <v>mm/dd/yyyy</v>
      </c>
      <c r="J74" s="148">
        <f>Master[[#This Row],[Received Date -received by site]]</f>
        <v>44466</v>
      </c>
      <c r="K74" s="42" t="str">
        <f>IF(Master[[#This Row],[Note (Accession Narrative)]]="","",Master[[#This Row],[Note (Accession Narrative)]])</f>
        <v/>
      </c>
    </row>
    <row r="75" spans="2:11" s="1" customFormat="1" ht="15.75" x14ac:dyDescent="0.25">
      <c r="B75" s="1" t="str">
        <f>IF(Master[[#This Row],[Accession Prefix (NPGS)]]="","",Master[[#This Row],[Accession Prefix (NPGS)]])</f>
        <v>W6</v>
      </c>
      <c r="C75" s="64">
        <f>IF(Master[[#This Row],[Accession Number -Assigned]]="","",Master[[#This Row],[Accession Number -Assigned]])</f>
        <v>59661</v>
      </c>
      <c r="D75" s="114" t="str">
        <f>IF(Master[[#This Row],[Taxon -Lookup Picker in GRIN]]="","",Master[[#This Row],[Taxon -Lookup Picker in GRIN]])</f>
        <v>Sphaeralcea parvifolia</v>
      </c>
      <c r="E75" s="1" t="str">
        <f>IF(Master[[#This Row],[Life Form -Lookup Picker]]="","",Master[[#This Row],[Life Form -Lookup Picker]])</f>
        <v/>
      </c>
      <c r="F75" s="1" t="str">
        <f>IF(Master[[#This Row],[Level of Improvement -Lookup Picker]]="","",Master[[#This Row],[Level of Improvement -Lookup Picker]])</f>
        <v>Wild material</v>
      </c>
      <c r="G75" s="1" t="str">
        <f>IF(Master[[#This Row],[Reproductive Uniformity -Lookup Picker]]="","",Master[[#This Row],[Reproductive Uniformity -Lookup Picker]])</f>
        <v/>
      </c>
      <c r="H75" s="11" t="str">
        <f>IF(Master[[#This Row],[Inventory Type - Lookup Picker]]="","",Master[[#This Row],[Inventory Type - Lookup Picker]])</f>
        <v>SD</v>
      </c>
      <c r="I75" s="149" t="str">
        <f t="shared" si="2"/>
        <v>mm/dd/yyyy</v>
      </c>
      <c r="J75" s="148">
        <f>Master[[#This Row],[Received Date -received by site]]</f>
        <v>44466</v>
      </c>
      <c r="K75" s="42" t="str">
        <f>IF(Master[[#This Row],[Note (Accession Narrative)]]="","",Master[[#This Row],[Note (Accession Narrative)]])</f>
        <v/>
      </c>
    </row>
    <row r="76" spans="2:11" s="1" customFormat="1" ht="15.75" x14ac:dyDescent="0.25">
      <c r="B76" s="1" t="str">
        <f>IF(Master[[#This Row],[Accession Prefix (NPGS)]]="","",Master[[#This Row],[Accession Prefix (NPGS)]])</f>
        <v>W6</v>
      </c>
      <c r="C76" s="64">
        <f>IF(Master[[#This Row],[Accession Number -Assigned]]="","",Master[[#This Row],[Accession Number -Assigned]])</f>
        <v>59662</v>
      </c>
      <c r="D76" s="114" t="str">
        <f>IF(Master[[#This Row],[Taxon -Lookup Picker in GRIN]]="","",Master[[#This Row],[Taxon -Lookup Picker in GRIN]])</f>
        <v>Sphaeralcea parvifolia</v>
      </c>
      <c r="E76" s="1" t="str">
        <f>IF(Master[[#This Row],[Life Form -Lookup Picker]]="","",Master[[#This Row],[Life Form -Lookup Picker]])</f>
        <v/>
      </c>
      <c r="F76" s="1" t="str">
        <f>IF(Master[[#This Row],[Level of Improvement -Lookup Picker]]="","",Master[[#This Row],[Level of Improvement -Lookup Picker]])</f>
        <v>Wild material</v>
      </c>
      <c r="G76" s="1" t="str">
        <f>IF(Master[[#This Row],[Reproductive Uniformity -Lookup Picker]]="","",Master[[#This Row],[Reproductive Uniformity -Lookup Picker]])</f>
        <v/>
      </c>
      <c r="H76" s="11" t="str">
        <f>IF(Master[[#This Row],[Inventory Type - Lookup Picker]]="","",Master[[#This Row],[Inventory Type - Lookup Picker]])</f>
        <v>SD</v>
      </c>
      <c r="I76" s="149" t="str">
        <f t="shared" si="2"/>
        <v>mm/dd/yyyy</v>
      </c>
      <c r="J76" s="148">
        <f>Master[[#This Row],[Received Date -received by site]]</f>
        <v>44466</v>
      </c>
      <c r="K76" s="42" t="str">
        <f>IF(Master[[#This Row],[Note (Accession Narrative)]]="","",Master[[#This Row],[Note (Accession Narrative)]])</f>
        <v/>
      </c>
    </row>
    <row r="77" spans="2:11" s="1" customFormat="1" ht="15.75" x14ac:dyDescent="0.25">
      <c r="B77" s="1" t="str">
        <f>IF(Master[[#This Row],[Accession Prefix (NPGS)]]="","",Master[[#This Row],[Accession Prefix (NPGS)]])</f>
        <v>W6</v>
      </c>
      <c r="C77" s="64">
        <f>IF(Master[[#This Row],[Accession Number -Assigned]]="","",Master[[#This Row],[Accession Number -Assigned]])</f>
        <v>59663</v>
      </c>
      <c r="D77" s="114" t="str">
        <f>IF(Master[[#This Row],[Taxon -Lookup Picker in GRIN]]="","",Master[[#This Row],[Taxon -Lookup Picker in GRIN]])</f>
        <v>Aristida purpurea</v>
      </c>
      <c r="E77" s="1" t="str">
        <f>IF(Master[[#This Row],[Life Form -Lookup Picker]]="","",Master[[#This Row],[Life Form -Lookup Picker]])</f>
        <v/>
      </c>
      <c r="F77" s="1" t="str">
        <f>IF(Master[[#This Row],[Level of Improvement -Lookup Picker]]="","",Master[[#This Row],[Level of Improvement -Lookup Picker]])</f>
        <v>Wild material</v>
      </c>
      <c r="G77" s="1" t="str">
        <f>IF(Master[[#This Row],[Reproductive Uniformity -Lookup Picker]]="","",Master[[#This Row],[Reproductive Uniformity -Lookup Picker]])</f>
        <v/>
      </c>
      <c r="H77" s="11" t="str">
        <f>IF(Master[[#This Row],[Inventory Type - Lookup Picker]]="","",Master[[#This Row],[Inventory Type - Lookup Picker]])</f>
        <v>SD</v>
      </c>
      <c r="I77" s="149" t="str">
        <f t="shared" si="2"/>
        <v>mm/dd/yyyy</v>
      </c>
      <c r="J77" s="148">
        <f>Master[[#This Row],[Received Date -received by site]]</f>
        <v>44466</v>
      </c>
      <c r="K77" s="42" t="str">
        <f>IF(Master[[#This Row],[Note (Accession Narrative)]]="","",Master[[#This Row],[Note (Accession Narrative)]])</f>
        <v/>
      </c>
    </row>
    <row r="78" spans="2:11" s="1" customFormat="1" ht="15.75" x14ac:dyDescent="0.25">
      <c r="B78" s="1" t="str">
        <f>IF(Master[[#This Row],[Accession Prefix (NPGS)]]="","",Master[[#This Row],[Accession Prefix (NPGS)]])</f>
        <v>W6</v>
      </c>
      <c r="C78" s="64">
        <f>IF(Master[[#This Row],[Accession Number -Assigned]]="","",Master[[#This Row],[Accession Number -Assigned]])</f>
        <v>59664</v>
      </c>
      <c r="D78" s="114" t="str">
        <f>IF(Master[[#This Row],[Taxon -Lookup Picker in GRIN]]="","",Master[[#This Row],[Taxon -Lookup Picker in GRIN]])</f>
        <v>Eriogonum heracleoides</v>
      </c>
      <c r="E78" s="1" t="str">
        <f>IF(Master[[#This Row],[Life Form -Lookup Picker]]="","",Master[[#This Row],[Life Form -Lookup Picker]])</f>
        <v/>
      </c>
      <c r="F78" s="1" t="str">
        <f>IF(Master[[#This Row],[Level of Improvement -Lookup Picker]]="","",Master[[#This Row],[Level of Improvement -Lookup Picker]])</f>
        <v>Wild material</v>
      </c>
      <c r="G78" s="1" t="str">
        <f>IF(Master[[#This Row],[Reproductive Uniformity -Lookup Picker]]="","",Master[[#This Row],[Reproductive Uniformity -Lookup Picker]])</f>
        <v/>
      </c>
      <c r="H78" s="11" t="str">
        <f>IF(Master[[#This Row],[Inventory Type - Lookup Picker]]="","",Master[[#This Row],[Inventory Type - Lookup Picker]])</f>
        <v>SD</v>
      </c>
      <c r="I78" s="149" t="str">
        <f t="shared" si="2"/>
        <v>mm/dd/yyyy</v>
      </c>
      <c r="J78" s="148">
        <f>Master[[#This Row],[Received Date -received by site]]</f>
        <v>44466</v>
      </c>
      <c r="K78" s="42" t="str">
        <f>IF(Master[[#This Row],[Note (Accession Narrative)]]="","",Master[[#This Row],[Note (Accession Narrative)]])</f>
        <v/>
      </c>
    </row>
    <row r="79" spans="2:11" s="1" customFormat="1" ht="15.75" x14ac:dyDescent="0.25">
      <c r="B79" s="1" t="str">
        <f>IF(Master[[#This Row],[Accession Prefix (NPGS)]]="","",Master[[#This Row],[Accession Prefix (NPGS)]])</f>
        <v>W6</v>
      </c>
      <c r="C79" s="64">
        <f>IF(Master[[#This Row],[Accession Number -Assigned]]="","",Master[[#This Row],[Accession Number -Assigned]])</f>
        <v>59665</v>
      </c>
      <c r="D79" s="114" t="str">
        <f>IF(Master[[#This Row],[Taxon -Lookup Picker in GRIN]]="","",Master[[#This Row],[Taxon -Lookup Picker in GRIN]])</f>
        <v>Sporobolus airoides</v>
      </c>
      <c r="E79" s="1" t="str">
        <f>IF(Master[[#This Row],[Life Form -Lookup Picker]]="","",Master[[#This Row],[Life Form -Lookup Picker]])</f>
        <v/>
      </c>
      <c r="F79" s="1" t="str">
        <f>IF(Master[[#This Row],[Level of Improvement -Lookup Picker]]="","",Master[[#This Row],[Level of Improvement -Lookup Picker]])</f>
        <v>Wild material</v>
      </c>
      <c r="G79" s="1" t="str">
        <f>IF(Master[[#This Row],[Reproductive Uniformity -Lookup Picker]]="","",Master[[#This Row],[Reproductive Uniformity -Lookup Picker]])</f>
        <v/>
      </c>
      <c r="H79" s="11" t="str">
        <f>IF(Master[[#This Row],[Inventory Type - Lookup Picker]]="","",Master[[#This Row],[Inventory Type - Lookup Picker]])</f>
        <v>SD</v>
      </c>
      <c r="I79" s="149" t="str">
        <f t="shared" si="2"/>
        <v>mm/dd/yyyy</v>
      </c>
      <c r="J79" s="148">
        <f>Master[[#This Row],[Received Date -received by site]]</f>
        <v>44466</v>
      </c>
      <c r="K79" s="42" t="str">
        <f>IF(Master[[#This Row],[Note (Accession Narrative)]]="","",Master[[#This Row],[Note (Accession Narrative)]])</f>
        <v/>
      </c>
    </row>
    <row r="80" spans="2:11" s="1" customFormat="1" ht="15.75" x14ac:dyDescent="0.25">
      <c r="B80" s="1" t="str">
        <f>IF(Master[[#This Row],[Accession Prefix (NPGS)]]="","",Master[[#This Row],[Accession Prefix (NPGS)]])</f>
        <v>W6</v>
      </c>
      <c r="C80" s="64">
        <f>IF(Master[[#This Row],[Accession Number -Assigned]]="","",Master[[#This Row],[Accession Number -Assigned]])</f>
        <v>59666</v>
      </c>
      <c r="D80" s="114" t="str">
        <f>IF(Master[[#This Row],[Taxon -Lookup Picker in GRIN]]="","",Master[[#This Row],[Taxon -Lookup Picker in GRIN]])</f>
        <v>Sporobolus airoides</v>
      </c>
      <c r="E80" s="1" t="str">
        <f>IF(Master[[#This Row],[Life Form -Lookup Picker]]="","",Master[[#This Row],[Life Form -Lookup Picker]])</f>
        <v/>
      </c>
      <c r="F80" s="1" t="str">
        <f>IF(Master[[#This Row],[Level of Improvement -Lookup Picker]]="","",Master[[#This Row],[Level of Improvement -Lookup Picker]])</f>
        <v>Wild material</v>
      </c>
      <c r="G80" s="1" t="str">
        <f>IF(Master[[#This Row],[Reproductive Uniformity -Lookup Picker]]="","",Master[[#This Row],[Reproductive Uniformity -Lookup Picker]])</f>
        <v/>
      </c>
      <c r="H80" s="11" t="str">
        <f>IF(Master[[#This Row],[Inventory Type - Lookup Picker]]="","",Master[[#This Row],[Inventory Type - Lookup Picker]])</f>
        <v>SD</v>
      </c>
      <c r="I80" s="149" t="str">
        <f t="shared" si="2"/>
        <v>mm/dd/yyyy</v>
      </c>
      <c r="J80" s="148">
        <f>Master[[#This Row],[Received Date -received by site]]</f>
        <v>44466</v>
      </c>
      <c r="K80" s="42" t="str">
        <f>IF(Master[[#This Row],[Note (Accession Narrative)]]="","",Master[[#This Row],[Note (Accession Narrative)]])</f>
        <v/>
      </c>
    </row>
    <row r="81" spans="2:11" s="1" customFormat="1" ht="15.75" x14ac:dyDescent="0.25">
      <c r="B81" s="1" t="str">
        <f>IF(Master[[#This Row],[Accession Prefix (NPGS)]]="","",Master[[#This Row],[Accession Prefix (NPGS)]])</f>
        <v>W6</v>
      </c>
      <c r="C81" s="64">
        <f>IF(Master[[#This Row],[Accession Number -Assigned]]="","",Master[[#This Row],[Accession Number -Assigned]])</f>
        <v>59667</v>
      </c>
      <c r="D81" s="114" t="str">
        <f>IF(Master[[#This Row],[Taxon -Lookup Picker in GRIN]]="","",Master[[#This Row],[Taxon -Lookup Picker in GRIN]])</f>
        <v>Astragalus mollissimus</v>
      </c>
      <c r="E81" s="1" t="str">
        <f>IF(Master[[#This Row],[Life Form -Lookup Picker]]="","",Master[[#This Row],[Life Form -Lookup Picker]])</f>
        <v/>
      </c>
      <c r="F81" s="1" t="str">
        <f>IF(Master[[#This Row],[Level of Improvement -Lookup Picker]]="","",Master[[#This Row],[Level of Improvement -Lookup Picker]])</f>
        <v>Wild material</v>
      </c>
      <c r="G81" s="1" t="str">
        <f>IF(Master[[#This Row],[Reproductive Uniformity -Lookup Picker]]="","",Master[[#This Row],[Reproductive Uniformity -Lookup Picker]])</f>
        <v/>
      </c>
      <c r="H81" s="11" t="str">
        <f>IF(Master[[#This Row],[Inventory Type - Lookup Picker]]="","",Master[[#This Row],[Inventory Type - Lookup Picker]])</f>
        <v>SD</v>
      </c>
      <c r="I81" s="149" t="str">
        <f t="shared" si="2"/>
        <v>mm/dd/yyyy</v>
      </c>
      <c r="J81" s="148">
        <f>Master[[#This Row],[Received Date -received by site]]</f>
        <v>44466</v>
      </c>
      <c r="K81" s="42" t="str">
        <f>IF(Master[[#This Row],[Note (Accession Narrative)]]="","",Master[[#This Row],[Note (Accession Narrative)]])</f>
        <v/>
      </c>
    </row>
    <row r="82" spans="2:11" s="1" customFormat="1" ht="15.75" x14ac:dyDescent="0.25">
      <c r="B82" s="1" t="str">
        <f>IF(Master[[#This Row],[Accession Prefix (NPGS)]]="","",Master[[#This Row],[Accession Prefix (NPGS)]])</f>
        <v>W6</v>
      </c>
      <c r="C82" s="64">
        <f>IF(Master[[#This Row],[Accession Number -Assigned]]="","",Master[[#This Row],[Accession Number -Assigned]])</f>
        <v>59668</v>
      </c>
      <c r="D82" s="114" t="str">
        <f>IF(Master[[#This Row],[Taxon -Lookup Picker in GRIN]]="","",Master[[#This Row],[Taxon -Lookup Picker in GRIN]])</f>
        <v>Aristida purpurea</v>
      </c>
      <c r="E82" s="1" t="str">
        <f>IF(Master[[#This Row],[Life Form -Lookup Picker]]="","",Master[[#This Row],[Life Form -Lookup Picker]])</f>
        <v/>
      </c>
      <c r="F82" s="1" t="str">
        <f>IF(Master[[#This Row],[Level of Improvement -Lookup Picker]]="","",Master[[#This Row],[Level of Improvement -Lookup Picker]])</f>
        <v>Wild material</v>
      </c>
      <c r="G82" s="1" t="str">
        <f>IF(Master[[#This Row],[Reproductive Uniformity -Lookup Picker]]="","",Master[[#This Row],[Reproductive Uniformity -Lookup Picker]])</f>
        <v/>
      </c>
      <c r="H82" s="11" t="str">
        <f>IF(Master[[#This Row],[Inventory Type - Lookup Picker]]="","",Master[[#This Row],[Inventory Type - Lookup Picker]])</f>
        <v>SD</v>
      </c>
      <c r="I82" s="149" t="str">
        <f t="shared" si="2"/>
        <v>mm/dd/yyyy</v>
      </c>
      <c r="J82" s="148">
        <f>Master[[#This Row],[Received Date -received by site]]</f>
        <v>44466</v>
      </c>
      <c r="K82" s="42" t="str">
        <f>IF(Master[[#This Row],[Note (Accession Narrative)]]="","",Master[[#This Row],[Note (Accession Narrative)]])</f>
        <v/>
      </c>
    </row>
    <row r="83" spans="2:11" s="1" customFormat="1" ht="15.75" x14ac:dyDescent="0.25">
      <c r="B83" s="1" t="str">
        <f>IF(Master[[#This Row],[Accession Prefix (NPGS)]]="","",Master[[#This Row],[Accession Prefix (NPGS)]])</f>
        <v>W6</v>
      </c>
      <c r="C83" s="64">
        <f>IF(Master[[#This Row],[Accession Number -Assigned]]="","",Master[[#This Row],[Accession Number -Assigned]])</f>
        <v>59669</v>
      </c>
      <c r="D83" s="114" t="str">
        <f>IF(Master[[#This Row],[Taxon -Lookup Picker in GRIN]]="","",Master[[#This Row],[Taxon -Lookup Picker in GRIN]])</f>
        <v>Asclepias labriformis</v>
      </c>
      <c r="E83" s="1" t="str">
        <f>IF(Master[[#This Row],[Life Form -Lookup Picker]]="","",Master[[#This Row],[Life Form -Lookup Picker]])</f>
        <v/>
      </c>
      <c r="F83" s="1" t="str">
        <f>IF(Master[[#This Row],[Level of Improvement -Lookup Picker]]="","",Master[[#This Row],[Level of Improvement -Lookup Picker]])</f>
        <v>Wild material</v>
      </c>
      <c r="G83" s="1" t="str">
        <f>IF(Master[[#This Row],[Reproductive Uniformity -Lookup Picker]]="","",Master[[#This Row],[Reproductive Uniformity -Lookup Picker]])</f>
        <v/>
      </c>
      <c r="H83" s="11" t="str">
        <f>IF(Master[[#This Row],[Inventory Type - Lookup Picker]]="","",Master[[#This Row],[Inventory Type - Lookup Picker]])</f>
        <v>SD</v>
      </c>
      <c r="I83" s="149" t="str">
        <f t="shared" si="2"/>
        <v>mm/dd/yyyy</v>
      </c>
      <c r="J83" s="148">
        <f>Master[[#This Row],[Received Date -received by site]]</f>
        <v>44466</v>
      </c>
      <c r="K83" s="42" t="str">
        <f>IF(Master[[#This Row],[Note (Accession Narrative)]]="","",Master[[#This Row],[Note (Accession Narrative)]])</f>
        <v/>
      </c>
    </row>
    <row r="84" spans="2:11" s="1" customFormat="1" ht="15.75" x14ac:dyDescent="0.25">
      <c r="B84" s="1" t="str">
        <f>IF(Master[[#This Row],[Accession Prefix (NPGS)]]="","",Master[[#This Row],[Accession Prefix (NPGS)]])</f>
        <v>W6</v>
      </c>
      <c r="C84" s="64">
        <f>IF(Master[[#This Row],[Accession Number -Assigned]]="","",Master[[#This Row],[Accession Number -Assigned]])</f>
        <v>59670</v>
      </c>
      <c r="D84" s="114" t="str">
        <f>IF(Master[[#This Row],[Taxon -Lookup Picker in GRIN]]="","",Master[[#This Row],[Taxon -Lookup Picker in GRIN]])</f>
        <v>Achillea millefolium</v>
      </c>
      <c r="E84" s="1" t="str">
        <f>IF(Master[[#This Row],[Life Form -Lookup Picker]]="","",Master[[#This Row],[Life Form -Lookup Picker]])</f>
        <v/>
      </c>
      <c r="F84" s="1" t="str">
        <f>IF(Master[[#This Row],[Level of Improvement -Lookup Picker]]="","",Master[[#This Row],[Level of Improvement -Lookup Picker]])</f>
        <v>Wild material</v>
      </c>
      <c r="G84" s="1" t="str">
        <f>IF(Master[[#This Row],[Reproductive Uniformity -Lookup Picker]]="","",Master[[#This Row],[Reproductive Uniformity -Lookup Picker]])</f>
        <v/>
      </c>
      <c r="H84" s="11" t="str">
        <f>IF(Master[[#This Row],[Inventory Type - Lookup Picker]]="","",Master[[#This Row],[Inventory Type - Lookup Picker]])</f>
        <v>SD</v>
      </c>
      <c r="I84" s="149" t="str">
        <f t="shared" si="2"/>
        <v>mm/dd/yyyy</v>
      </c>
      <c r="J84" s="148">
        <f>Master[[#This Row],[Received Date -received by site]]</f>
        <v>44466</v>
      </c>
      <c r="K84" s="42" t="str">
        <f>IF(Master[[#This Row],[Note (Accession Narrative)]]="","",Master[[#This Row],[Note (Accession Narrative)]])</f>
        <v/>
      </c>
    </row>
    <row r="85" spans="2:11" s="1" customFormat="1" ht="15.75" x14ac:dyDescent="0.25">
      <c r="B85" s="1" t="str">
        <f>IF(Master[[#This Row],[Accession Prefix (NPGS)]]="","",Master[[#This Row],[Accession Prefix (NPGS)]])</f>
        <v>W6</v>
      </c>
      <c r="C85" s="64">
        <f>IF(Master[[#This Row],[Accession Number -Assigned]]="","",Master[[#This Row],[Accession Number -Assigned]])</f>
        <v>59671</v>
      </c>
      <c r="D85" s="114" t="str">
        <f>IF(Master[[#This Row],[Taxon -Lookup Picker in GRIN]]="","",Master[[#This Row],[Taxon -Lookup Picker in GRIN]])</f>
        <v>Achillea millefolium</v>
      </c>
      <c r="E85" s="1" t="str">
        <f>IF(Master[[#This Row],[Life Form -Lookup Picker]]="","",Master[[#This Row],[Life Form -Lookup Picker]])</f>
        <v/>
      </c>
      <c r="F85" s="1" t="str">
        <f>IF(Master[[#This Row],[Level of Improvement -Lookup Picker]]="","",Master[[#This Row],[Level of Improvement -Lookup Picker]])</f>
        <v>Wild material</v>
      </c>
      <c r="G85" s="1" t="str">
        <f>IF(Master[[#This Row],[Reproductive Uniformity -Lookup Picker]]="","",Master[[#This Row],[Reproductive Uniformity -Lookup Picker]])</f>
        <v/>
      </c>
      <c r="H85" s="11" t="str">
        <f>IF(Master[[#This Row],[Inventory Type - Lookup Picker]]="","",Master[[#This Row],[Inventory Type - Lookup Picker]])</f>
        <v>SD</v>
      </c>
      <c r="I85" s="149" t="str">
        <f t="shared" si="2"/>
        <v>mm/dd/yyyy</v>
      </c>
      <c r="J85" s="148">
        <f>Master[[#This Row],[Received Date -received by site]]</f>
        <v>44466</v>
      </c>
      <c r="K85" s="42" t="str">
        <f>IF(Master[[#This Row],[Note (Accession Narrative)]]="","",Master[[#This Row],[Note (Accession Narrative)]])</f>
        <v/>
      </c>
    </row>
    <row r="86" spans="2:11" s="1" customFormat="1" ht="15.75" x14ac:dyDescent="0.25">
      <c r="B86" s="1" t="str">
        <f>IF(Master[[#This Row],[Accession Prefix (NPGS)]]="","",Master[[#This Row],[Accession Prefix (NPGS)]])</f>
        <v>W6</v>
      </c>
      <c r="C86" s="64">
        <f>IF(Master[[#This Row],[Accession Number -Assigned]]="","",Master[[#This Row],[Accession Number -Assigned]])</f>
        <v>59672</v>
      </c>
      <c r="D86" s="114" t="str">
        <f>IF(Master[[#This Row],[Taxon -Lookup Picker in GRIN]]="","",Master[[#This Row],[Taxon -Lookup Picker in GRIN]])</f>
        <v>Aristida purpurea</v>
      </c>
      <c r="E86" s="1" t="str">
        <f>IF(Master[[#This Row],[Life Form -Lookup Picker]]="","",Master[[#This Row],[Life Form -Lookup Picker]])</f>
        <v/>
      </c>
      <c r="F86" s="1" t="str">
        <f>IF(Master[[#This Row],[Level of Improvement -Lookup Picker]]="","",Master[[#This Row],[Level of Improvement -Lookup Picker]])</f>
        <v>Wild material</v>
      </c>
      <c r="G86" s="1" t="str">
        <f>IF(Master[[#This Row],[Reproductive Uniformity -Lookup Picker]]="","",Master[[#This Row],[Reproductive Uniformity -Lookup Picker]])</f>
        <v/>
      </c>
      <c r="H86" s="11" t="str">
        <f>IF(Master[[#This Row],[Inventory Type - Lookup Picker]]="","",Master[[#This Row],[Inventory Type - Lookup Picker]])</f>
        <v>SD</v>
      </c>
      <c r="I86" s="149" t="str">
        <f t="shared" ref="I86:I117" si="3">"mm/dd/yyyy"</f>
        <v>mm/dd/yyyy</v>
      </c>
      <c r="J86" s="148">
        <f>Master[[#This Row],[Received Date -received by site]]</f>
        <v>44466</v>
      </c>
      <c r="K86" s="42" t="str">
        <f>IF(Master[[#This Row],[Note (Accession Narrative)]]="","",Master[[#This Row],[Note (Accession Narrative)]])</f>
        <v/>
      </c>
    </row>
    <row r="87" spans="2:11" s="1" customFormat="1" ht="15.75" x14ac:dyDescent="0.25">
      <c r="B87" s="1" t="str">
        <f>IF(Master[[#This Row],[Accession Prefix (NPGS)]]="","",Master[[#This Row],[Accession Prefix (NPGS)]])</f>
        <v>W6</v>
      </c>
      <c r="C87" s="64">
        <f>IF(Master[[#This Row],[Accession Number -Assigned]]="","",Master[[#This Row],[Accession Number -Assigned]])</f>
        <v>59673</v>
      </c>
      <c r="D87" s="114" t="str">
        <f>IF(Master[[#This Row],[Taxon -Lookup Picker in GRIN]]="","",Master[[#This Row],[Taxon -Lookup Picker in GRIN]])</f>
        <v>Sphaeralcea coccinea subsp. coccinea</v>
      </c>
      <c r="E87" s="1" t="str">
        <f>IF(Master[[#This Row],[Life Form -Lookup Picker]]="","",Master[[#This Row],[Life Form -Lookup Picker]])</f>
        <v/>
      </c>
      <c r="F87" s="1" t="str">
        <f>IF(Master[[#This Row],[Level of Improvement -Lookup Picker]]="","",Master[[#This Row],[Level of Improvement -Lookup Picker]])</f>
        <v>Wild material</v>
      </c>
      <c r="G87" s="1" t="str">
        <f>IF(Master[[#This Row],[Reproductive Uniformity -Lookup Picker]]="","",Master[[#This Row],[Reproductive Uniformity -Lookup Picker]])</f>
        <v/>
      </c>
      <c r="H87" s="11" t="str">
        <f>IF(Master[[#This Row],[Inventory Type - Lookup Picker]]="","",Master[[#This Row],[Inventory Type - Lookup Picker]])</f>
        <v>SD</v>
      </c>
      <c r="I87" s="149" t="str">
        <f t="shared" si="3"/>
        <v>mm/dd/yyyy</v>
      </c>
      <c r="J87" s="148">
        <f>Master[[#This Row],[Received Date -received by site]]</f>
        <v>44466</v>
      </c>
      <c r="K87" s="42" t="str">
        <f>IF(Master[[#This Row],[Note (Accession Narrative)]]="","",Master[[#This Row],[Note (Accession Narrative)]])</f>
        <v/>
      </c>
    </row>
    <row r="88" spans="2:11" s="1" customFormat="1" ht="15.75" x14ac:dyDescent="0.25">
      <c r="B88" s="1" t="str">
        <f>IF(Master[[#This Row],[Accession Prefix (NPGS)]]="","",Master[[#This Row],[Accession Prefix (NPGS)]])</f>
        <v>W6</v>
      </c>
      <c r="C88" s="64">
        <f>IF(Master[[#This Row],[Accession Number -Assigned]]="","",Master[[#This Row],[Accession Number -Assigned]])</f>
        <v>59674</v>
      </c>
      <c r="D88" s="114" t="str">
        <f>IF(Master[[#This Row],[Taxon -Lookup Picker in GRIN]]="","",Master[[#This Row],[Taxon -Lookup Picker in GRIN]])</f>
        <v>Cleome lutea</v>
      </c>
      <c r="E88" s="1" t="str">
        <f>IF(Master[[#This Row],[Life Form -Lookup Picker]]="","",Master[[#This Row],[Life Form -Lookup Picker]])</f>
        <v/>
      </c>
      <c r="F88" s="1" t="str">
        <f>IF(Master[[#This Row],[Level of Improvement -Lookup Picker]]="","",Master[[#This Row],[Level of Improvement -Lookup Picker]])</f>
        <v>Wild material</v>
      </c>
      <c r="G88" s="1" t="str">
        <f>IF(Master[[#This Row],[Reproductive Uniformity -Lookup Picker]]="","",Master[[#This Row],[Reproductive Uniformity -Lookup Picker]])</f>
        <v/>
      </c>
      <c r="H88" s="11" t="str">
        <f>IF(Master[[#This Row],[Inventory Type - Lookup Picker]]="","",Master[[#This Row],[Inventory Type - Lookup Picker]])</f>
        <v>SD</v>
      </c>
      <c r="I88" s="149" t="str">
        <f t="shared" si="3"/>
        <v>mm/dd/yyyy</v>
      </c>
      <c r="J88" s="148">
        <f>Master[[#This Row],[Received Date -received by site]]</f>
        <v>44466</v>
      </c>
      <c r="K88" s="42" t="str">
        <f>IF(Master[[#This Row],[Note (Accession Narrative)]]="","",Master[[#This Row],[Note (Accession Narrative)]])</f>
        <v/>
      </c>
    </row>
    <row r="89" spans="2:11" s="1" customFormat="1" ht="15.75" x14ac:dyDescent="0.25">
      <c r="B89" s="1" t="str">
        <f>IF(Master[[#This Row],[Accession Prefix (NPGS)]]="","",Master[[#This Row],[Accession Prefix (NPGS)]])</f>
        <v>W6</v>
      </c>
      <c r="C89" s="64">
        <f>IF(Master[[#This Row],[Accession Number -Assigned]]="","",Master[[#This Row],[Accession Number -Assigned]])</f>
        <v>59675</v>
      </c>
      <c r="D89" s="114" t="str">
        <f>IF(Master[[#This Row],[Taxon -Lookup Picker in GRIN]]="","",Master[[#This Row],[Taxon -Lookup Picker in GRIN]])</f>
        <v>Cleome serrulata</v>
      </c>
      <c r="E89" s="1" t="str">
        <f>IF(Master[[#This Row],[Life Form -Lookup Picker]]="","",Master[[#This Row],[Life Form -Lookup Picker]])</f>
        <v/>
      </c>
      <c r="F89" s="1" t="str">
        <f>IF(Master[[#This Row],[Level of Improvement -Lookup Picker]]="","",Master[[#This Row],[Level of Improvement -Lookup Picker]])</f>
        <v>Wild material</v>
      </c>
      <c r="G89" s="1" t="str">
        <f>IF(Master[[#This Row],[Reproductive Uniformity -Lookup Picker]]="","",Master[[#This Row],[Reproductive Uniformity -Lookup Picker]])</f>
        <v/>
      </c>
      <c r="H89" s="11" t="str">
        <f>IF(Master[[#This Row],[Inventory Type - Lookup Picker]]="","",Master[[#This Row],[Inventory Type - Lookup Picker]])</f>
        <v>SD</v>
      </c>
      <c r="I89" s="149" t="str">
        <f t="shared" si="3"/>
        <v>mm/dd/yyyy</v>
      </c>
      <c r="J89" s="148">
        <f>Master[[#This Row],[Received Date -received by site]]</f>
        <v>44466</v>
      </c>
      <c r="K89" s="42" t="str">
        <f>IF(Master[[#This Row],[Note (Accession Narrative)]]="","",Master[[#This Row],[Note (Accession Narrative)]])</f>
        <v/>
      </c>
    </row>
    <row r="90" spans="2:11" s="1" customFormat="1" ht="15.75" x14ac:dyDescent="0.25">
      <c r="B90" s="1" t="str">
        <f>IF(Master[[#This Row],[Accession Prefix (NPGS)]]="","",Master[[#This Row],[Accession Prefix (NPGS)]])</f>
        <v>W6</v>
      </c>
      <c r="C90" s="64">
        <f>IF(Master[[#This Row],[Accession Number -Assigned]]="","",Master[[#This Row],[Accession Number -Assigned]])</f>
        <v>59676</v>
      </c>
      <c r="D90" s="114" t="str">
        <f>IF(Master[[#This Row],[Taxon -Lookup Picker in GRIN]]="","",Master[[#This Row],[Taxon -Lookup Picker in GRIN]])</f>
        <v>Helianthus annuus</v>
      </c>
      <c r="E90" s="1" t="str">
        <f>IF(Master[[#This Row],[Life Form -Lookup Picker]]="","",Master[[#This Row],[Life Form -Lookup Picker]])</f>
        <v/>
      </c>
      <c r="F90" s="1" t="str">
        <f>IF(Master[[#This Row],[Level of Improvement -Lookup Picker]]="","",Master[[#This Row],[Level of Improvement -Lookup Picker]])</f>
        <v>Wild material</v>
      </c>
      <c r="G90" s="1" t="str">
        <f>IF(Master[[#This Row],[Reproductive Uniformity -Lookup Picker]]="","",Master[[#This Row],[Reproductive Uniformity -Lookup Picker]])</f>
        <v/>
      </c>
      <c r="H90" s="11" t="str">
        <f>IF(Master[[#This Row],[Inventory Type - Lookup Picker]]="","",Master[[#This Row],[Inventory Type - Lookup Picker]])</f>
        <v>SD</v>
      </c>
      <c r="I90" s="149" t="str">
        <f t="shared" si="3"/>
        <v>mm/dd/yyyy</v>
      </c>
      <c r="J90" s="148">
        <f>Master[[#This Row],[Received Date -received by site]]</f>
        <v>44466</v>
      </c>
      <c r="K90" s="42" t="str">
        <f>IF(Master[[#This Row],[Note (Accession Narrative)]]="","",Master[[#This Row],[Note (Accession Narrative)]])</f>
        <v/>
      </c>
    </row>
    <row r="91" spans="2:11" s="1" customFormat="1" ht="15.75" x14ac:dyDescent="0.25">
      <c r="B91" s="1" t="str">
        <f>IF(Master[[#This Row],[Accession Prefix (NPGS)]]="","",Master[[#This Row],[Accession Prefix (NPGS)]])</f>
        <v>W6</v>
      </c>
      <c r="C91" s="64">
        <f>IF(Master[[#This Row],[Accession Number -Assigned]]="","",Master[[#This Row],[Accession Number -Assigned]])</f>
        <v>59677</v>
      </c>
      <c r="D91" s="114" t="str">
        <f>IF(Master[[#This Row],[Taxon -Lookup Picker in GRIN]]="","",Master[[#This Row],[Taxon -Lookup Picker in GRIN]])</f>
        <v>Helianthus annuus</v>
      </c>
      <c r="E91" s="1" t="str">
        <f>IF(Master[[#This Row],[Life Form -Lookup Picker]]="","",Master[[#This Row],[Life Form -Lookup Picker]])</f>
        <v/>
      </c>
      <c r="F91" s="1" t="str">
        <f>IF(Master[[#This Row],[Level of Improvement -Lookup Picker]]="","",Master[[#This Row],[Level of Improvement -Lookup Picker]])</f>
        <v>Wild material</v>
      </c>
      <c r="G91" s="1" t="str">
        <f>IF(Master[[#This Row],[Reproductive Uniformity -Lookup Picker]]="","",Master[[#This Row],[Reproductive Uniformity -Lookup Picker]])</f>
        <v/>
      </c>
      <c r="H91" s="11" t="str">
        <f>IF(Master[[#This Row],[Inventory Type - Lookup Picker]]="","",Master[[#This Row],[Inventory Type - Lookup Picker]])</f>
        <v>SD</v>
      </c>
      <c r="I91" s="149" t="str">
        <f t="shared" si="3"/>
        <v>mm/dd/yyyy</v>
      </c>
      <c r="J91" s="148">
        <f>Master[[#This Row],[Received Date -received by site]]</f>
        <v>44466</v>
      </c>
      <c r="K91" s="42" t="str">
        <f>IF(Master[[#This Row],[Note (Accession Narrative)]]="","",Master[[#This Row],[Note (Accession Narrative)]])</f>
        <v/>
      </c>
    </row>
    <row r="92" spans="2:11" s="1" customFormat="1" ht="15.75" x14ac:dyDescent="0.25">
      <c r="B92" s="1" t="str">
        <f>IF(Master[[#This Row],[Accession Prefix (NPGS)]]="","",Master[[#This Row],[Accession Prefix (NPGS)]])</f>
        <v>W6</v>
      </c>
      <c r="C92" s="64">
        <f>IF(Master[[#This Row],[Accession Number -Assigned]]="","",Master[[#This Row],[Accession Number -Assigned]])</f>
        <v>59678</v>
      </c>
      <c r="D92" s="114" t="str">
        <f>IF(Master[[#This Row],[Taxon -Lookup Picker in GRIN]]="","",Master[[#This Row],[Taxon -Lookup Picker in GRIN]])</f>
        <v>Atriplex canescens</v>
      </c>
      <c r="E92" s="1" t="str">
        <f>IF(Master[[#This Row],[Life Form -Lookup Picker]]="","",Master[[#This Row],[Life Form -Lookup Picker]])</f>
        <v/>
      </c>
      <c r="F92" s="1" t="str">
        <f>IF(Master[[#This Row],[Level of Improvement -Lookup Picker]]="","",Master[[#This Row],[Level of Improvement -Lookup Picker]])</f>
        <v>Wild material</v>
      </c>
      <c r="G92" s="1" t="str">
        <f>IF(Master[[#This Row],[Reproductive Uniformity -Lookup Picker]]="","",Master[[#This Row],[Reproductive Uniformity -Lookup Picker]])</f>
        <v/>
      </c>
      <c r="H92" s="11" t="str">
        <f>IF(Master[[#This Row],[Inventory Type - Lookup Picker]]="","",Master[[#This Row],[Inventory Type - Lookup Picker]])</f>
        <v>SD</v>
      </c>
      <c r="I92" s="149" t="str">
        <f t="shared" si="3"/>
        <v>mm/dd/yyyy</v>
      </c>
      <c r="J92" s="148">
        <f>Master[[#This Row],[Received Date -received by site]]</f>
        <v>44466</v>
      </c>
      <c r="K92" s="42" t="str">
        <f>IF(Master[[#This Row],[Note (Accession Narrative)]]="","",Master[[#This Row],[Note (Accession Narrative)]])</f>
        <v/>
      </c>
    </row>
    <row r="93" spans="2:11" s="1" customFormat="1" ht="15.75" x14ac:dyDescent="0.25">
      <c r="B93" s="1" t="str">
        <f>IF(Master[[#This Row],[Accession Prefix (NPGS)]]="","",Master[[#This Row],[Accession Prefix (NPGS)]])</f>
        <v>W6</v>
      </c>
      <c r="C93" s="64">
        <f>IF(Master[[#This Row],[Accession Number -Assigned]]="","",Master[[#This Row],[Accession Number -Assigned]])</f>
        <v>59679</v>
      </c>
      <c r="D93" s="114" t="str">
        <f>IF(Master[[#This Row],[Taxon -Lookup Picker in GRIN]]="","",Master[[#This Row],[Taxon -Lookup Picker in GRIN]])</f>
        <v>Machaeranthera canescens</v>
      </c>
      <c r="E93" s="1" t="str">
        <f>IF(Master[[#This Row],[Life Form -Lookup Picker]]="","",Master[[#This Row],[Life Form -Lookup Picker]])</f>
        <v/>
      </c>
      <c r="F93" s="1" t="str">
        <f>IF(Master[[#This Row],[Level of Improvement -Lookup Picker]]="","",Master[[#This Row],[Level of Improvement -Lookup Picker]])</f>
        <v>Wild material</v>
      </c>
      <c r="G93" s="1" t="str">
        <f>IF(Master[[#This Row],[Reproductive Uniformity -Lookup Picker]]="","",Master[[#This Row],[Reproductive Uniformity -Lookup Picker]])</f>
        <v/>
      </c>
      <c r="H93" s="11" t="str">
        <f>IF(Master[[#This Row],[Inventory Type - Lookup Picker]]="","",Master[[#This Row],[Inventory Type - Lookup Picker]])</f>
        <v>SD</v>
      </c>
      <c r="I93" s="149" t="str">
        <f t="shared" si="3"/>
        <v>mm/dd/yyyy</v>
      </c>
      <c r="J93" s="148">
        <f>Master[[#This Row],[Received Date -received by site]]</f>
        <v>44466</v>
      </c>
      <c r="K93" s="42" t="str">
        <f>IF(Master[[#This Row],[Note (Accession Narrative)]]="","",Master[[#This Row],[Note (Accession Narrative)]])</f>
        <v/>
      </c>
    </row>
    <row r="94" spans="2:11" s="1" customFormat="1" ht="15.75" x14ac:dyDescent="0.25">
      <c r="B94" s="1" t="str">
        <f>IF(Master[[#This Row],[Accession Prefix (NPGS)]]="","",Master[[#This Row],[Accession Prefix (NPGS)]])</f>
        <v>W6</v>
      </c>
      <c r="C94" s="64">
        <f>IF(Master[[#This Row],[Accession Number -Assigned]]="","",Master[[#This Row],[Accession Number -Assigned]])</f>
        <v>59680</v>
      </c>
      <c r="D94" s="114" t="str">
        <f>IF(Master[[#This Row],[Taxon -Lookup Picker in GRIN]]="","",Master[[#This Row],[Taxon -Lookup Picker in GRIN]])</f>
        <v>Machaeranthera canescens</v>
      </c>
      <c r="E94" s="1" t="str">
        <f>IF(Master[[#This Row],[Life Form -Lookup Picker]]="","",Master[[#This Row],[Life Form -Lookup Picker]])</f>
        <v/>
      </c>
      <c r="F94" s="1" t="str">
        <f>IF(Master[[#This Row],[Level of Improvement -Lookup Picker]]="","",Master[[#This Row],[Level of Improvement -Lookup Picker]])</f>
        <v>Wild material</v>
      </c>
      <c r="G94" s="1" t="str">
        <f>IF(Master[[#This Row],[Reproductive Uniformity -Lookup Picker]]="","",Master[[#This Row],[Reproductive Uniformity -Lookup Picker]])</f>
        <v/>
      </c>
      <c r="H94" s="11" t="str">
        <f>IF(Master[[#This Row],[Inventory Type - Lookup Picker]]="","",Master[[#This Row],[Inventory Type - Lookup Picker]])</f>
        <v>SD</v>
      </c>
      <c r="I94" s="149" t="str">
        <f t="shared" si="3"/>
        <v>mm/dd/yyyy</v>
      </c>
      <c r="J94" s="148">
        <f>Master[[#This Row],[Received Date -received by site]]</f>
        <v>44466</v>
      </c>
      <c r="K94" s="42" t="str">
        <f>IF(Master[[#This Row],[Note (Accession Narrative)]]="","",Master[[#This Row],[Note (Accession Narrative)]])</f>
        <v/>
      </c>
    </row>
    <row r="95" spans="2:11" s="1" customFormat="1" ht="15.75" x14ac:dyDescent="0.25">
      <c r="B95" s="1" t="str">
        <f>IF(Master[[#This Row],[Accession Prefix (NPGS)]]="","",Master[[#This Row],[Accession Prefix (NPGS)]])</f>
        <v>W6</v>
      </c>
      <c r="C95" s="64">
        <f>IF(Master[[#This Row],[Accession Number -Assigned]]="","",Master[[#This Row],[Accession Number -Assigned]])</f>
        <v>59681</v>
      </c>
      <c r="D95" s="114" t="str">
        <f>IF(Master[[#This Row],[Taxon -Lookup Picker in GRIN]]="","",Master[[#This Row],[Taxon -Lookup Picker in GRIN]])</f>
        <v>Cleome serrulata</v>
      </c>
      <c r="E95" s="1" t="str">
        <f>IF(Master[[#This Row],[Life Form -Lookup Picker]]="","",Master[[#This Row],[Life Form -Lookup Picker]])</f>
        <v/>
      </c>
      <c r="F95" s="1" t="str">
        <f>IF(Master[[#This Row],[Level of Improvement -Lookup Picker]]="","",Master[[#This Row],[Level of Improvement -Lookup Picker]])</f>
        <v>Wild material</v>
      </c>
      <c r="G95" s="1" t="str">
        <f>IF(Master[[#This Row],[Reproductive Uniformity -Lookup Picker]]="","",Master[[#This Row],[Reproductive Uniformity -Lookup Picker]])</f>
        <v/>
      </c>
      <c r="H95" s="11" t="str">
        <f>IF(Master[[#This Row],[Inventory Type - Lookup Picker]]="","",Master[[#This Row],[Inventory Type - Lookup Picker]])</f>
        <v>SD</v>
      </c>
      <c r="I95" s="149" t="str">
        <f t="shared" si="3"/>
        <v>mm/dd/yyyy</v>
      </c>
      <c r="J95" s="148">
        <f>Master[[#This Row],[Received Date -received by site]]</f>
        <v>44466</v>
      </c>
      <c r="K95" s="42" t="str">
        <f>IF(Master[[#This Row],[Note (Accession Narrative)]]="","",Master[[#This Row],[Note (Accession Narrative)]])</f>
        <v/>
      </c>
    </row>
    <row r="96" spans="2:11" s="1" customFormat="1" ht="15.75" x14ac:dyDescent="0.25">
      <c r="B96" s="1" t="str">
        <f>IF(Master[[#This Row],[Accession Prefix (NPGS)]]="","",Master[[#This Row],[Accession Prefix (NPGS)]])</f>
        <v>W6</v>
      </c>
      <c r="C96" s="64">
        <f>IF(Master[[#This Row],[Accession Number -Assigned]]="","",Master[[#This Row],[Accession Number -Assigned]])</f>
        <v>59682</v>
      </c>
      <c r="D96" s="114" t="str">
        <f>IF(Master[[#This Row],[Taxon -Lookup Picker in GRIN]]="","",Master[[#This Row],[Taxon -Lookup Picker in GRIN]])</f>
        <v>Grindelia squarrosa</v>
      </c>
      <c r="E96" s="1" t="str">
        <f>IF(Master[[#This Row],[Life Form -Lookup Picker]]="","",Master[[#This Row],[Life Form -Lookup Picker]])</f>
        <v/>
      </c>
      <c r="F96" s="1" t="str">
        <f>IF(Master[[#This Row],[Level of Improvement -Lookup Picker]]="","",Master[[#This Row],[Level of Improvement -Lookup Picker]])</f>
        <v>Wild material</v>
      </c>
      <c r="G96" s="1" t="str">
        <f>IF(Master[[#This Row],[Reproductive Uniformity -Lookup Picker]]="","",Master[[#This Row],[Reproductive Uniformity -Lookup Picker]])</f>
        <v/>
      </c>
      <c r="H96" s="11" t="str">
        <f>IF(Master[[#This Row],[Inventory Type - Lookup Picker]]="","",Master[[#This Row],[Inventory Type - Lookup Picker]])</f>
        <v>SD</v>
      </c>
      <c r="I96" s="149" t="str">
        <f t="shared" si="3"/>
        <v>mm/dd/yyyy</v>
      </c>
      <c r="J96" s="148">
        <f>Master[[#This Row],[Received Date -received by site]]</f>
        <v>44466</v>
      </c>
      <c r="K96" s="42" t="str">
        <f>IF(Master[[#This Row],[Note (Accession Narrative)]]="","",Master[[#This Row],[Note (Accession Narrative)]])</f>
        <v/>
      </c>
    </row>
    <row r="97" spans="1:11" s="1" customFormat="1" ht="15.75" x14ac:dyDescent="0.25">
      <c r="B97" s="1" t="str">
        <f>IF(Master[[#This Row],[Accession Prefix (NPGS)]]="","",Master[[#This Row],[Accession Prefix (NPGS)]])</f>
        <v>W6</v>
      </c>
      <c r="C97" s="64">
        <f>IF(Master[[#This Row],[Accession Number -Assigned]]="","",Master[[#This Row],[Accession Number -Assigned]])</f>
        <v>59683</v>
      </c>
      <c r="D97" s="114" t="str">
        <f>IF(Master[[#This Row],[Taxon -Lookup Picker in GRIN]]="","",Master[[#This Row],[Taxon -Lookup Picker in GRIN]])</f>
        <v>Balsamorhiza incana</v>
      </c>
      <c r="E97" s="1" t="str">
        <f>IF(Master[[#This Row],[Life Form -Lookup Picker]]="","",Master[[#This Row],[Life Form -Lookup Picker]])</f>
        <v/>
      </c>
      <c r="F97" s="1" t="str">
        <f>IF(Master[[#This Row],[Level of Improvement -Lookup Picker]]="","",Master[[#This Row],[Level of Improvement -Lookup Picker]])</f>
        <v>Wild material</v>
      </c>
      <c r="G97" s="1" t="str">
        <f>IF(Master[[#This Row],[Reproductive Uniformity -Lookup Picker]]="","",Master[[#This Row],[Reproductive Uniformity -Lookup Picker]])</f>
        <v/>
      </c>
      <c r="H97" s="11" t="str">
        <f>IF(Master[[#This Row],[Inventory Type - Lookup Picker]]="","",Master[[#This Row],[Inventory Type - Lookup Picker]])</f>
        <v>SD</v>
      </c>
      <c r="I97" s="149" t="str">
        <f t="shared" si="3"/>
        <v>mm/dd/yyyy</v>
      </c>
      <c r="J97" s="148">
        <f>Master[[#This Row],[Received Date -received by site]]</f>
        <v>44466</v>
      </c>
      <c r="K97" s="42" t="str">
        <f>IF(Master[[#This Row],[Note (Accession Narrative)]]="","",Master[[#This Row],[Note (Accession Narrative)]])</f>
        <v>Yellow flowers with deeply lobed leaves.</v>
      </c>
    </row>
    <row r="98" spans="1:11" s="1" customFormat="1" ht="15.75" x14ac:dyDescent="0.25">
      <c r="B98" s="1" t="str">
        <f>IF(Master[[#This Row],[Accession Prefix (NPGS)]]="","",Master[[#This Row],[Accession Prefix (NPGS)]])</f>
        <v>W6</v>
      </c>
      <c r="C98" s="64">
        <f>IF(Master[[#This Row],[Accession Number -Assigned]]="","",Master[[#This Row],[Accession Number -Assigned]])</f>
        <v>59684</v>
      </c>
      <c r="D98" s="114" t="str">
        <f>IF(Master[[#This Row],[Taxon -Lookup Picker in GRIN]]="","",Master[[#This Row],[Taxon -Lookup Picker in GRIN]])</f>
        <v>Nothocalais troximoides</v>
      </c>
      <c r="E98" s="1" t="str">
        <f>IF(Master[[#This Row],[Life Form -Lookup Picker]]="","",Master[[#This Row],[Life Form -Lookup Picker]])</f>
        <v/>
      </c>
      <c r="F98" s="1" t="str">
        <f>IF(Master[[#This Row],[Level of Improvement -Lookup Picker]]="","",Master[[#This Row],[Level of Improvement -Lookup Picker]])</f>
        <v>Wild material</v>
      </c>
      <c r="G98" s="1" t="str">
        <f>IF(Master[[#This Row],[Reproductive Uniformity -Lookup Picker]]="","",Master[[#This Row],[Reproductive Uniformity -Lookup Picker]])</f>
        <v/>
      </c>
      <c r="H98" s="11" t="str">
        <f>IF(Master[[#This Row],[Inventory Type - Lookup Picker]]="","",Master[[#This Row],[Inventory Type - Lookup Picker]])</f>
        <v>SD</v>
      </c>
      <c r="I98" s="149" t="str">
        <f t="shared" si="3"/>
        <v>mm/dd/yyyy</v>
      </c>
      <c r="J98" s="148">
        <f>Master[[#This Row],[Received Date -received by site]]</f>
        <v>44466</v>
      </c>
      <c r="K98" s="42" t="str">
        <f>IF(Master[[#This Row],[Note (Accession Narrative)]]="","",Master[[#This Row],[Note (Accession Narrative)]])</f>
        <v>Yellow ray flower, disc flowers absent. Bracts green with purple stripe. Achene not beaked, pappus less than 40 members.</v>
      </c>
    </row>
    <row r="99" spans="1:11" s="1" customFormat="1" ht="15.75" x14ac:dyDescent="0.25">
      <c r="B99" s="1" t="str">
        <f>IF(Master[[#This Row],[Accession Prefix (NPGS)]]="","",Master[[#This Row],[Accession Prefix (NPGS)]])</f>
        <v>W6</v>
      </c>
      <c r="C99" s="64">
        <f>IF(Master[[#This Row],[Accession Number -Assigned]]="","",Master[[#This Row],[Accession Number -Assigned]])</f>
        <v>59685</v>
      </c>
      <c r="D99" s="114" t="str">
        <f>IF(Master[[#This Row],[Taxon -Lookup Picker in GRIN]]="","",Master[[#This Row],[Taxon -Lookup Picker in GRIN]])</f>
        <v>Erigeron caespitosus</v>
      </c>
      <c r="E99" s="1" t="str">
        <f>IF(Master[[#This Row],[Life Form -Lookup Picker]]="","",Master[[#This Row],[Life Form -Lookup Picker]])</f>
        <v/>
      </c>
      <c r="F99" s="1" t="str">
        <f>IF(Master[[#This Row],[Level of Improvement -Lookup Picker]]="","",Master[[#This Row],[Level of Improvement -Lookup Picker]])</f>
        <v>Wild material</v>
      </c>
      <c r="G99" s="1" t="str">
        <f>IF(Master[[#This Row],[Reproductive Uniformity -Lookup Picker]]="","",Master[[#This Row],[Reproductive Uniformity -Lookup Picker]])</f>
        <v/>
      </c>
      <c r="H99" s="11" t="str">
        <f>IF(Master[[#This Row],[Inventory Type - Lookup Picker]]="","",Master[[#This Row],[Inventory Type - Lookup Picker]])</f>
        <v>SD</v>
      </c>
      <c r="I99" s="149" t="str">
        <f t="shared" si="3"/>
        <v>mm/dd/yyyy</v>
      </c>
      <c r="J99" s="148">
        <f>Master[[#This Row],[Received Date -received by site]]</f>
        <v>44466</v>
      </c>
      <c r="K99" s="42" t="str">
        <f>IF(Master[[#This Row],[Note (Accession Narrative)]]="","",Master[[#This Row],[Note (Accession Narrative)]])</f>
        <v>Yellow disk flowers, white ray flowers. Villous leaves and stem, leaves linear, with many basal leaves and alternate leaves on stem. Growing as single flowers or tufts, with most flowers one per stem, but occasionally multiple per stem.</v>
      </c>
    </row>
    <row r="100" spans="1:11" s="1" customFormat="1" ht="15.75" x14ac:dyDescent="0.25">
      <c r="B100" s="1" t="str">
        <f>IF(Master[[#This Row],[Accession Prefix (NPGS)]]="","",Master[[#This Row],[Accession Prefix (NPGS)]])</f>
        <v>W6</v>
      </c>
      <c r="C100" s="64">
        <f>IF(Master[[#This Row],[Accession Number -Assigned]]="","",Master[[#This Row],[Accession Number -Assigned]])</f>
        <v>59686</v>
      </c>
      <c r="D100" s="114" t="str">
        <f>IF(Master[[#This Row],[Taxon -Lookup Picker in GRIN]]="","",Master[[#This Row],[Taxon -Lookup Picker in GRIN]])</f>
        <v>Erigeron caespitosus</v>
      </c>
      <c r="E100" s="1" t="str">
        <f>IF(Master[[#This Row],[Life Form -Lookup Picker]]="","",Master[[#This Row],[Life Form -Lookup Picker]])</f>
        <v/>
      </c>
      <c r="F100" s="1" t="str">
        <f>IF(Master[[#This Row],[Level of Improvement -Lookup Picker]]="","",Master[[#This Row],[Level of Improvement -Lookup Picker]])</f>
        <v>Wild material</v>
      </c>
      <c r="G100" s="1" t="str">
        <f>IF(Master[[#This Row],[Reproductive Uniformity -Lookup Picker]]="","",Master[[#This Row],[Reproductive Uniformity -Lookup Picker]])</f>
        <v/>
      </c>
      <c r="H100" s="11" t="str">
        <f>IF(Master[[#This Row],[Inventory Type - Lookup Picker]]="","",Master[[#This Row],[Inventory Type - Lookup Picker]])</f>
        <v>SD</v>
      </c>
      <c r="I100" s="149" t="str">
        <f t="shared" si="3"/>
        <v>mm/dd/yyyy</v>
      </c>
      <c r="J100" s="148">
        <f>Master[[#This Row],[Received Date -received by site]]</f>
        <v>44466</v>
      </c>
      <c r="K100" s="42" t="str">
        <f>IF(Master[[#This Row],[Note (Accession Narrative)]]="","",Master[[#This Row],[Note (Accession Narrative)]])</f>
        <v>Ray flowers white, approx. 100, disc flowers yellow. Leaves mostly basal, villous leaves and stem.</v>
      </c>
    </row>
    <row r="101" spans="1:11" ht="15.75" x14ac:dyDescent="0.25">
      <c r="A101" s="1"/>
      <c r="B101" s="1" t="str">
        <f>IF(Master[[#This Row],[Accession Prefix (NPGS)]]="","",Master[[#This Row],[Accession Prefix (NPGS)]])</f>
        <v>W6</v>
      </c>
      <c r="C101" s="64">
        <f>IF(Master[[#This Row],[Accession Number -Assigned]]="","",Master[[#This Row],[Accession Number -Assigned]])</f>
        <v>59687</v>
      </c>
      <c r="D101" s="114" t="str">
        <f>IF(Master[[#This Row],[Taxon -Lookup Picker in GRIN]]="","",Master[[#This Row],[Taxon -Lookup Picker in GRIN]])</f>
        <v>Erigeron caespitosus</v>
      </c>
      <c r="E101" s="1" t="str">
        <f>IF(Master[[#This Row],[Life Form -Lookup Picker]]="","",Master[[#This Row],[Life Form -Lookup Picker]])</f>
        <v/>
      </c>
      <c r="F101" s="1" t="str">
        <f>IF(Master[[#This Row],[Level of Improvement -Lookup Picker]]="","",Master[[#This Row],[Level of Improvement -Lookup Picker]])</f>
        <v>Wild material</v>
      </c>
      <c r="G101" s="1" t="str">
        <f>IF(Master[[#This Row],[Reproductive Uniformity -Lookup Picker]]="","",Master[[#This Row],[Reproductive Uniformity -Lookup Picker]])</f>
        <v/>
      </c>
      <c r="H101" s="11" t="str">
        <f>IF(Master[[#This Row],[Inventory Type - Lookup Picker]]="","",Master[[#This Row],[Inventory Type - Lookup Picker]])</f>
        <v>SD</v>
      </c>
      <c r="I101" s="149" t="str">
        <f t="shared" si="3"/>
        <v>mm/dd/yyyy</v>
      </c>
      <c r="J101" s="148">
        <f>Master[[#This Row],[Received Date -received by site]]</f>
        <v>44466</v>
      </c>
      <c r="K101" s="42" t="str">
        <f>IF(Master[[#This Row],[Note (Accession Narrative)]]="","",Master[[#This Row],[Note (Accession Narrative)]])</f>
        <v>Yellow disk and white ray flowers, and occasional flowers appeared to have purple tinged ray flowers, and maroon disk flowers. Stems and leaves villous.</v>
      </c>
    </row>
    <row r="102" spans="1:11" ht="15.75" x14ac:dyDescent="0.25">
      <c r="A102" s="1"/>
      <c r="B102" s="1" t="str">
        <f>IF(Master[[#This Row],[Accession Prefix (NPGS)]]="","",Master[[#This Row],[Accession Prefix (NPGS)]])</f>
        <v>W6</v>
      </c>
      <c r="C102" s="64">
        <f>IF(Master[[#This Row],[Accession Number -Assigned]]="","",Master[[#This Row],[Accession Number -Assigned]])</f>
        <v>59688</v>
      </c>
      <c r="D102" s="114" t="str">
        <f>IF(Master[[#This Row],[Taxon -Lookup Picker in GRIN]]="","",Master[[#This Row],[Taxon -Lookup Picker in GRIN]])</f>
        <v>Erigeron caespitosus</v>
      </c>
      <c r="E102" s="1" t="str">
        <f>IF(Master[[#This Row],[Life Form -Lookup Picker]]="","",Master[[#This Row],[Life Form -Lookup Picker]])</f>
        <v/>
      </c>
      <c r="F102" s="1" t="str">
        <f>IF(Master[[#This Row],[Level of Improvement -Lookup Picker]]="","",Master[[#This Row],[Level of Improvement -Lookup Picker]])</f>
        <v>Wild material</v>
      </c>
      <c r="G102" s="1" t="str">
        <f>IF(Master[[#This Row],[Reproductive Uniformity -Lookup Picker]]="","",Master[[#This Row],[Reproductive Uniformity -Lookup Picker]])</f>
        <v/>
      </c>
      <c r="H102" s="11" t="str">
        <f>IF(Master[[#This Row],[Inventory Type - Lookup Picker]]="","",Master[[#This Row],[Inventory Type - Lookup Picker]])</f>
        <v>SD</v>
      </c>
      <c r="I102" s="149" t="str">
        <f t="shared" si="3"/>
        <v>mm/dd/yyyy</v>
      </c>
      <c r="J102" s="148">
        <f>Master[[#This Row],[Received Date -received by site]]</f>
        <v>44466</v>
      </c>
      <c r="K102" s="42" t="str">
        <f>IF(Master[[#This Row],[Note (Accession Narrative)]]="","",Master[[#This Row],[Note (Accession Narrative)]])</f>
        <v>Yellow disk flowers, white ray flowers. Villous leaves and stem, leaves linear, with many basal leaves and alternate leaves on stem. Growing as single flowers or tufts, with most flowers one per stem, but occasionally multiple per stem.</v>
      </c>
    </row>
    <row r="103" spans="1:11" ht="15.75" x14ac:dyDescent="0.25">
      <c r="A103" s="1"/>
      <c r="B103" s="1" t="str">
        <f>IF(Master[[#This Row],[Accession Prefix (NPGS)]]="","",Master[[#This Row],[Accession Prefix (NPGS)]])</f>
        <v>W6</v>
      </c>
      <c r="C103" s="64">
        <f>IF(Master[[#This Row],[Accession Number -Assigned]]="","",Master[[#This Row],[Accession Number -Assigned]])</f>
        <v>59689</v>
      </c>
      <c r="D103" s="114" t="str">
        <f>IF(Master[[#This Row],[Taxon -Lookup Picker in GRIN]]="","",Master[[#This Row],[Taxon -Lookup Picker in GRIN]])</f>
        <v>Koeleria macrantha</v>
      </c>
      <c r="E103" s="1" t="str">
        <f>IF(Master[[#This Row],[Life Form -Lookup Picker]]="","",Master[[#This Row],[Life Form -Lookup Picker]])</f>
        <v/>
      </c>
      <c r="F103" s="1" t="str">
        <f>IF(Master[[#This Row],[Level of Improvement -Lookup Picker]]="","",Master[[#This Row],[Level of Improvement -Lookup Picker]])</f>
        <v>Wild material</v>
      </c>
      <c r="G103" s="1" t="str">
        <f>IF(Master[[#This Row],[Reproductive Uniformity -Lookup Picker]]="","",Master[[#This Row],[Reproductive Uniformity -Lookup Picker]])</f>
        <v/>
      </c>
      <c r="H103" s="11" t="str">
        <f>IF(Master[[#This Row],[Inventory Type - Lookup Picker]]="","",Master[[#This Row],[Inventory Type - Lookup Picker]])</f>
        <v>SD</v>
      </c>
      <c r="I103" s="149" t="str">
        <f t="shared" si="3"/>
        <v>mm/dd/yyyy</v>
      </c>
      <c r="J103" s="148">
        <f>Master[[#This Row],[Received Date -received by site]]</f>
        <v>44466</v>
      </c>
      <c r="K103" s="42" t="str">
        <f>IF(Master[[#This Row],[Note (Accession Narrative)]]="","",Master[[#This Row],[Note (Accession Narrative)]])</f>
        <v>Growing in tufts of culms and leaves. Culm terminates in a panicle approx. 2-6â€ long, light green, and maturing to a golden color. Leaf blades involute, approx. 6â€ long.</v>
      </c>
    </row>
    <row r="104" spans="1:11" ht="15.75" x14ac:dyDescent="0.25">
      <c r="A104" s="1"/>
      <c r="B104" s="1" t="str">
        <f>IF(Master[[#This Row],[Accession Prefix (NPGS)]]="","",Master[[#This Row],[Accession Prefix (NPGS)]])</f>
        <v>W6</v>
      </c>
      <c r="C104" s="64">
        <f>IF(Master[[#This Row],[Accession Number -Assigned]]="","",Master[[#This Row],[Accession Number -Assigned]])</f>
        <v>59690</v>
      </c>
      <c r="D104" s="114" t="str">
        <f>IF(Master[[#This Row],[Taxon -Lookup Picker in GRIN]]="","",Master[[#This Row],[Taxon -Lookup Picker in GRIN]])</f>
        <v>Koeleria macrantha</v>
      </c>
      <c r="E104" s="1" t="str">
        <f>IF(Master[[#This Row],[Life Form -Lookup Picker]]="","",Master[[#This Row],[Life Form -Lookup Picker]])</f>
        <v/>
      </c>
      <c r="F104" s="1" t="str">
        <f>IF(Master[[#This Row],[Level of Improvement -Lookup Picker]]="","",Master[[#This Row],[Level of Improvement -Lookup Picker]])</f>
        <v>Wild material</v>
      </c>
      <c r="G104" s="1" t="str">
        <f>IF(Master[[#This Row],[Reproductive Uniformity -Lookup Picker]]="","",Master[[#This Row],[Reproductive Uniformity -Lookup Picker]])</f>
        <v/>
      </c>
      <c r="H104" s="11" t="str">
        <f>IF(Master[[#This Row],[Inventory Type - Lookup Picker]]="","",Master[[#This Row],[Inventory Type - Lookup Picker]])</f>
        <v>SD</v>
      </c>
      <c r="I104" s="149" t="str">
        <f t="shared" si="3"/>
        <v>mm/dd/yyyy</v>
      </c>
      <c r="J104" s="148">
        <f>Master[[#This Row],[Received Date -received by site]]</f>
        <v>44466</v>
      </c>
      <c r="K104" s="42" t="str">
        <f>IF(Master[[#This Row],[Note (Accession Narrative)]]="","",Master[[#This Row],[Note (Accession Narrative)]])</f>
        <v>Growing in tufts of culms and leaves. Culm terminates in a panicle approx. 2-6â€ long, light green, and maturing to a golden color. Leaf blades involute, approx. 6â€ long. û</v>
      </c>
    </row>
    <row r="105" spans="1:11" ht="15.75" x14ac:dyDescent="0.25">
      <c r="A105" s="1"/>
      <c r="B105" s="1" t="str">
        <f>IF(Master[[#This Row],[Accession Prefix (NPGS)]]="","",Master[[#This Row],[Accession Prefix (NPGS)]])</f>
        <v>W6</v>
      </c>
      <c r="C105" s="64">
        <f>IF(Master[[#This Row],[Accession Number -Assigned]]="","",Master[[#This Row],[Accession Number -Assigned]])</f>
        <v>59691</v>
      </c>
      <c r="D105" s="114" t="str">
        <f>IF(Master[[#This Row],[Taxon -Lookup Picker in GRIN]]="","",Master[[#This Row],[Taxon -Lookup Picker in GRIN]])</f>
        <v>Koeleria macrantha</v>
      </c>
      <c r="E105" s="1" t="str">
        <f>IF(Master[[#This Row],[Life Form -Lookup Picker]]="","",Master[[#This Row],[Life Form -Lookup Picker]])</f>
        <v/>
      </c>
      <c r="F105" s="1" t="str">
        <f>IF(Master[[#This Row],[Level of Improvement -Lookup Picker]]="","",Master[[#This Row],[Level of Improvement -Lookup Picker]])</f>
        <v>Wild material</v>
      </c>
      <c r="G105" s="1" t="str">
        <f>IF(Master[[#This Row],[Reproductive Uniformity -Lookup Picker]]="","",Master[[#This Row],[Reproductive Uniformity -Lookup Picker]])</f>
        <v/>
      </c>
      <c r="H105" s="11" t="str">
        <f>IF(Master[[#This Row],[Inventory Type - Lookup Picker]]="","",Master[[#This Row],[Inventory Type - Lookup Picker]])</f>
        <v>SD</v>
      </c>
      <c r="I105" s="149" t="str">
        <f t="shared" si="3"/>
        <v>mm/dd/yyyy</v>
      </c>
      <c r="J105" s="148">
        <f>Master[[#This Row],[Received Date -received by site]]</f>
        <v>44466</v>
      </c>
      <c r="K105" s="42" t="str">
        <f>IF(Master[[#This Row],[Note (Accession Narrative)]]="","",Master[[#This Row],[Note (Accession Narrative)]])</f>
        <v>Growing in tufts of culms and leaves. Culm terminates in a panicle approx. 2-6â€ long, light green, and maturing to a golden color. Leaf blades involute, approx. 6â€ long.</v>
      </c>
    </row>
    <row r="106" spans="1:11" ht="15.75" x14ac:dyDescent="0.25">
      <c r="A106" s="1"/>
      <c r="B106" s="1" t="str">
        <f>IF(Master[[#This Row],[Accession Prefix (NPGS)]]="","",Master[[#This Row],[Accession Prefix (NPGS)]])</f>
        <v>W6</v>
      </c>
      <c r="C106" s="64">
        <f>IF(Master[[#This Row],[Accession Number -Assigned]]="","",Master[[#This Row],[Accession Number -Assigned]])</f>
        <v>59692</v>
      </c>
      <c r="D106" s="114" t="str">
        <f>IF(Master[[#This Row],[Taxon -Lookup Picker in GRIN]]="","",Master[[#This Row],[Taxon -Lookup Picker in GRIN]])</f>
        <v>Koeleria macrantha</v>
      </c>
      <c r="E106" s="1" t="str">
        <f>IF(Master[[#This Row],[Life Form -Lookup Picker]]="","",Master[[#This Row],[Life Form -Lookup Picker]])</f>
        <v/>
      </c>
      <c r="F106" s="1" t="str">
        <f>IF(Master[[#This Row],[Level of Improvement -Lookup Picker]]="","",Master[[#This Row],[Level of Improvement -Lookup Picker]])</f>
        <v>Wild material</v>
      </c>
      <c r="G106" s="1" t="str">
        <f>IF(Master[[#This Row],[Reproductive Uniformity -Lookup Picker]]="","",Master[[#This Row],[Reproductive Uniformity -Lookup Picker]])</f>
        <v/>
      </c>
      <c r="H106" s="11" t="str">
        <f>IF(Master[[#This Row],[Inventory Type - Lookup Picker]]="","",Master[[#This Row],[Inventory Type - Lookup Picker]])</f>
        <v>SD</v>
      </c>
      <c r="I106" s="149" t="str">
        <f t="shared" si="3"/>
        <v>mm/dd/yyyy</v>
      </c>
      <c r="J106" s="148">
        <f>Master[[#This Row],[Received Date -received by site]]</f>
        <v>44466</v>
      </c>
      <c r="K106" s="42" t="str">
        <f>IF(Master[[#This Row],[Note (Accession Narrative)]]="","",Master[[#This Row],[Note (Accession Narrative)]])</f>
        <v/>
      </c>
    </row>
    <row r="107" spans="1:11" ht="15.75" x14ac:dyDescent="0.25">
      <c r="A107" s="1"/>
      <c r="B107" s="1" t="str">
        <f>IF(Master[[#This Row],[Accession Prefix (NPGS)]]="","",Master[[#This Row],[Accession Prefix (NPGS)]])</f>
        <v>W6</v>
      </c>
      <c r="C107" s="64">
        <f>IF(Master[[#This Row],[Accession Number -Assigned]]="","",Master[[#This Row],[Accession Number -Assigned]])</f>
        <v>59693</v>
      </c>
      <c r="D107" s="114" t="str">
        <f>IF(Master[[#This Row],[Taxon -Lookup Picker in GRIN]]="","",Master[[#This Row],[Taxon -Lookup Picker in GRIN]])</f>
        <v>Koeleria macrantha</v>
      </c>
      <c r="E107" s="1" t="str">
        <f>IF(Master[[#This Row],[Life Form -Lookup Picker]]="","",Master[[#This Row],[Life Form -Lookup Picker]])</f>
        <v/>
      </c>
      <c r="F107" s="1" t="str">
        <f>IF(Master[[#This Row],[Level of Improvement -Lookup Picker]]="","",Master[[#This Row],[Level of Improvement -Lookup Picker]])</f>
        <v>Wild material</v>
      </c>
      <c r="G107" s="1" t="str">
        <f>IF(Master[[#This Row],[Reproductive Uniformity -Lookup Picker]]="","",Master[[#This Row],[Reproductive Uniformity -Lookup Picker]])</f>
        <v/>
      </c>
      <c r="H107" s="11" t="str">
        <f>IF(Master[[#This Row],[Inventory Type - Lookup Picker]]="","",Master[[#This Row],[Inventory Type - Lookup Picker]])</f>
        <v>SD</v>
      </c>
      <c r="I107" s="149" t="str">
        <f t="shared" si="3"/>
        <v>mm/dd/yyyy</v>
      </c>
      <c r="J107" s="148">
        <f>Master[[#This Row],[Received Date -received by site]]</f>
        <v>44466</v>
      </c>
      <c r="K107" s="42" t="str">
        <f>IF(Master[[#This Row],[Note (Accession Narrative)]]="","",Master[[#This Row],[Note (Accession Narrative)]])</f>
        <v>Growing in tufts of culms and leaves. Culm terminates in a panicle approx. 2-6â€ long, light green, and maturing to a golden color. Leaf blades involute, approx. 6â€ long.</v>
      </c>
    </row>
    <row r="108" spans="1:11" ht="15.75" x14ac:dyDescent="0.25">
      <c r="A108" s="1"/>
      <c r="B108" s="1" t="str">
        <f>IF(Master[[#This Row],[Accession Prefix (NPGS)]]="","",Master[[#This Row],[Accession Prefix (NPGS)]])</f>
        <v>W6</v>
      </c>
      <c r="C108" s="64">
        <f>IF(Master[[#This Row],[Accession Number -Assigned]]="","",Master[[#This Row],[Accession Number -Assigned]])</f>
        <v>59694</v>
      </c>
      <c r="D108" s="114" t="str">
        <f>IF(Master[[#This Row],[Taxon -Lookup Picker in GRIN]]="","",Master[[#This Row],[Taxon -Lookup Picker in GRIN]])</f>
        <v>Koeleria macrantha</v>
      </c>
      <c r="E108" s="1" t="str">
        <f>IF(Master[[#This Row],[Life Form -Lookup Picker]]="","",Master[[#This Row],[Life Form -Lookup Picker]])</f>
        <v/>
      </c>
      <c r="F108" s="1" t="str">
        <f>IF(Master[[#This Row],[Level of Improvement -Lookup Picker]]="","",Master[[#This Row],[Level of Improvement -Lookup Picker]])</f>
        <v>Wild material</v>
      </c>
      <c r="G108" s="1" t="str">
        <f>IF(Master[[#This Row],[Reproductive Uniformity -Lookup Picker]]="","",Master[[#This Row],[Reproductive Uniformity -Lookup Picker]])</f>
        <v/>
      </c>
      <c r="H108" s="11" t="str">
        <f>IF(Master[[#This Row],[Inventory Type - Lookup Picker]]="","",Master[[#This Row],[Inventory Type - Lookup Picker]])</f>
        <v>SD</v>
      </c>
      <c r="I108" s="149" t="str">
        <f t="shared" si="3"/>
        <v>mm/dd/yyyy</v>
      </c>
      <c r="J108" s="148">
        <f>Master[[#This Row],[Received Date -received by site]]</f>
        <v>44466</v>
      </c>
      <c r="K108" s="42" t="str">
        <f>IF(Master[[#This Row],[Note (Accession Narrative)]]="","",Master[[#This Row],[Note (Accession Narrative)]])</f>
        <v>Growing in tufts of culms and leaves. Culm terminates in a panicle approx. 2-6â€ long, light green, and maturing to a golden color. Leaf blades involute, approx. 6â€ long.</v>
      </c>
    </row>
    <row r="109" spans="1:11" ht="15.75" x14ac:dyDescent="0.25">
      <c r="A109" s="1"/>
      <c r="B109" s="1" t="str">
        <f>IF(Master[[#This Row],[Accession Prefix (NPGS)]]="","",Master[[#This Row],[Accession Prefix (NPGS)]])</f>
        <v>W6</v>
      </c>
      <c r="C109" s="64">
        <f>IF(Master[[#This Row],[Accession Number -Assigned]]="","",Master[[#This Row],[Accession Number -Assigned]])</f>
        <v>59695</v>
      </c>
      <c r="D109" s="114" t="str">
        <f>IF(Master[[#This Row],[Taxon -Lookup Picker in GRIN]]="","",Master[[#This Row],[Taxon -Lookup Picker in GRIN]])</f>
        <v>Koeleria macrantha</v>
      </c>
      <c r="E109" s="1" t="str">
        <f>IF(Master[[#This Row],[Life Form -Lookup Picker]]="","",Master[[#This Row],[Life Form -Lookup Picker]])</f>
        <v/>
      </c>
      <c r="F109" s="1" t="str">
        <f>IF(Master[[#This Row],[Level of Improvement -Lookup Picker]]="","",Master[[#This Row],[Level of Improvement -Lookup Picker]])</f>
        <v>Wild material</v>
      </c>
      <c r="G109" s="1" t="str">
        <f>IF(Master[[#This Row],[Reproductive Uniformity -Lookup Picker]]="","",Master[[#This Row],[Reproductive Uniformity -Lookup Picker]])</f>
        <v/>
      </c>
      <c r="H109" s="11" t="str">
        <f>IF(Master[[#This Row],[Inventory Type - Lookup Picker]]="","",Master[[#This Row],[Inventory Type - Lookup Picker]])</f>
        <v>SD</v>
      </c>
      <c r="I109" s="149" t="str">
        <f t="shared" si="3"/>
        <v>mm/dd/yyyy</v>
      </c>
      <c r="J109" s="148">
        <f>Master[[#This Row],[Received Date -received by site]]</f>
        <v>44466</v>
      </c>
      <c r="K109" s="42" t="str">
        <f>IF(Master[[#This Row],[Note (Accession Narrative)]]="","",Master[[#This Row],[Note (Accession Narrative)]])</f>
        <v>Growing in tufts of culms and leaves. Culm terminates in a panicle approx. 2-6Ã¢âú¬Â long, light green, and maturing to a golden color. Leaf blades involute, approx. 6Ã¢âú¬Â long.</v>
      </c>
    </row>
    <row r="110" spans="1:11" ht="15.75" x14ac:dyDescent="0.25">
      <c r="A110" s="1"/>
      <c r="B110" s="1" t="str">
        <f>IF(Master[[#This Row],[Accession Prefix (NPGS)]]="","",Master[[#This Row],[Accession Prefix (NPGS)]])</f>
        <v>W6</v>
      </c>
      <c r="C110" s="64">
        <f>IF(Master[[#This Row],[Accession Number -Assigned]]="","",Master[[#This Row],[Accession Number -Assigned]])</f>
        <v>59696</v>
      </c>
      <c r="D110" s="114" t="str">
        <f>IF(Master[[#This Row],[Taxon -Lookup Picker in GRIN]]="","",Master[[#This Row],[Taxon -Lookup Picker in GRIN]])</f>
        <v>Koeleria macrantha</v>
      </c>
      <c r="E110" s="1" t="str">
        <f>IF(Master[[#This Row],[Life Form -Lookup Picker]]="","",Master[[#This Row],[Life Form -Lookup Picker]])</f>
        <v/>
      </c>
      <c r="F110" s="1" t="str">
        <f>IF(Master[[#This Row],[Level of Improvement -Lookup Picker]]="","",Master[[#This Row],[Level of Improvement -Lookup Picker]])</f>
        <v>Wild material</v>
      </c>
      <c r="G110" s="1" t="str">
        <f>IF(Master[[#This Row],[Reproductive Uniformity -Lookup Picker]]="","",Master[[#This Row],[Reproductive Uniformity -Lookup Picker]])</f>
        <v/>
      </c>
      <c r="H110" s="11" t="str">
        <f>IF(Master[[#This Row],[Inventory Type - Lookup Picker]]="","",Master[[#This Row],[Inventory Type - Lookup Picker]])</f>
        <v>SD</v>
      </c>
      <c r="I110" s="149" t="str">
        <f t="shared" si="3"/>
        <v>mm/dd/yyyy</v>
      </c>
      <c r="J110" s="148">
        <f>Master[[#This Row],[Received Date -received by site]]</f>
        <v>44466</v>
      </c>
      <c r="K110" s="42" t="str">
        <f>IF(Master[[#This Row],[Note (Accession Narrative)]]="","",Master[[#This Row],[Note (Accession Narrative)]])</f>
        <v>Growing in tufts of culms and leaves. Culm terminates in a panicle approx. 2-6â€ long, light green, and maturing to a golden color. Leaf blades involute, approx. 6â€ long.</v>
      </c>
    </row>
    <row r="111" spans="1:11" ht="15.75" x14ac:dyDescent="0.25">
      <c r="A111" s="1"/>
      <c r="B111" s="1" t="str">
        <f>IF(Master[[#This Row],[Accession Prefix (NPGS)]]="","",Master[[#This Row],[Accession Prefix (NPGS)]])</f>
        <v>W6</v>
      </c>
      <c r="C111" s="64">
        <f>IF(Master[[#This Row],[Accession Number -Assigned]]="","",Master[[#This Row],[Accession Number -Assigned]])</f>
        <v>59697</v>
      </c>
      <c r="D111" s="114" t="str">
        <f>IF(Master[[#This Row],[Taxon -Lookup Picker in GRIN]]="","",Master[[#This Row],[Taxon -Lookup Picker in GRIN]])</f>
        <v>Heterotheca villosa</v>
      </c>
      <c r="E111" s="1" t="str">
        <f>IF(Master[[#This Row],[Life Form -Lookup Picker]]="","",Master[[#This Row],[Life Form -Lookup Picker]])</f>
        <v/>
      </c>
      <c r="F111" s="1" t="str">
        <f>IF(Master[[#This Row],[Level of Improvement -Lookup Picker]]="","",Master[[#This Row],[Level of Improvement -Lookup Picker]])</f>
        <v>Wild material</v>
      </c>
      <c r="G111" s="1" t="str">
        <f>IF(Master[[#This Row],[Reproductive Uniformity -Lookup Picker]]="","",Master[[#This Row],[Reproductive Uniformity -Lookup Picker]])</f>
        <v/>
      </c>
      <c r="H111" s="11" t="str">
        <f>IF(Master[[#This Row],[Inventory Type - Lookup Picker]]="","",Master[[#This Row],[Inventory Type - Lookup Picker]])</f>
        <v>SD</v>
      </c>
      <c r="I111" s="149" t="str">
        <f t="shared" si="3"/>
        <v>mm/dd/yyyy</v>
      </c>
      <c r="J111" s="148">
        <f>Master[[#This Row],[Received Date -received by site]]</f>
        <v>44466</v>
      </c>
      <c r="K111" s="42" t="str">
        <f>IF(Master[[#This Row],[Note (Accession Narrative)]]="","",Master[[#This Row],[Note (Accession Narrative)]])</f>
        <v>Taprooted perennial with ascending, hirsute stems, 4-12 inches tall. Ray flowers yellow, female, 10-20; disk flowers yellow, perfect, 20-50.</v>
      </c>
    </row>
    <row r="112" spans="1:11" ht="15.75" x14ac:dyDescent="0.25">
      <c r="A112" s="1"/>
      <c r="B112" s="1" t="str">
        <f>IF(Master[[#This Row],[Accession Prefix (NPGS)]]="","",Master[[#This Row],[Accession Prefix (NPGS)]])</f>
        <v>W6</v>
      </c>
      <c r="C112" s="64">
        <f>IF(Master[[#This Row],[Accession Number -Assigned]]="","",Master[[#This Row],[Accession Number -Assigned]])</f>
        <v>59698</v>
      </c>
      <c r="D112" s="114" t="str">
        <f>IF(Master[[#This Row],[Taxon -Lookup Picker in GRIN]]="","",Master[[#This Row],[Taxon -Lookup Picker in GRIN]])</f>
        <v>Sphaeralcea coccinea</v>
      </c>
      <c r="E112" s="1" t="str">
        <f>IF(Master[[#This Row],[Life Form -Lookup Picker]]="","",Master[[#This Row],[Life Form -Lookup Picker]])</f>
        <v/>
      </c>
      <c r="F112" s="1" t="str">
        <f>IF(Master[[#This Row],[Level of Improvement -Lookup Picker]]="","",Master[[#This Row],[Level of Improvement -Lookup Picker]])</f>
        <v>Wild material</v>
      </c>
      <c r="G112" s="1" t="str">
        <f>IF(Master[[#This Row],[Reproductive Uniformity -Lookup Picker]]="","",Master[[#This Row],[Reproductive Uniformity -Lookup Picker]])</f>
        <v/>
      </c>
      <c r="H112" s="11" t="str">
        <f>IF(Master[[#This Row],[Inventory Type - Lookup Picker]]="","",Master[[#This Row],[Inventory Type - Lookup Picker]])</f>
        <v>SD</v>
      </c>
      <c r="I112" s="149" t="str">
        <f t="shared" si="3"/>
        <v>mm/dd/yyyy</v>
      </c>
      <c r="J112" s="148">
        <f>Master[[#This Row],[Received Date -received by site]]</f>
        <v>44466</v>
      </c>
      <c r="K112" s="42" t="str">
        <f>IF(Master[[#This Row],[Note (Accession Narrative)]]="","",Master[[#This Row],[Note (Accession Narrative)]])</f>
        <v>Perennial rhizomatous forb with stellate hair on palmately lobed leaves. Orange flowers in short, dense racemes.</v>
      </c>
    </row>
    <row r="113" spans="1:11" ht="15.75" x14ac:dyDescent="0.25">
      <c r="A113" s="1"/>
      <c r="B113" s="1" t="str">
        <f>IF(Master[[#This Row],[Accession Prefix (NPGS)]]="","",Master[[#This Row],[Accession Prefix (NPGS)]])</f>
        <v>W6</v>
      </c>
      <c r="C113" s="64">
        <f>IF(Master[[#This Row],[Accession Number -Assigned]]="","",Master[[#This Row],[Accession Number -Assigned]])</f>
        <v>59699</v>
      </c>
      <c r="D113" s="114" t="str">
        <f>IF(Master[[#This Row],[Taxon -Lookup Picker in GRIN]]="","",Master[[#This Row],[Taxon -Lookup Picker in GRIN]])</f>
        <v>Koeleria macrantha</v>
      </c>
      <c r="E113" s="1" t="str">
        <f>IF(Master[[#This Row],[Life Form -Lookup Picker]]="","",Master[[#This Row],[Life Form -Lookup Picker]])</f>
        <v/>
      </c>
      <c r="F113" s="1" t="str">
        <f>IF(Master[[#This Row],[Level of Improvement -Lookup Picker]]="","",Master[[#This Row],[Level of Improvement -Lookup Picker]])</f>
        <v>Wild material</v>
      </c>
      <c r="G113" s="1" t="str">
        <f>IF(Master[[#This Row],[Reproductive Uniformity -Lookup Picker]]="","",Master[[#This Row],[Reproductive Uniformity -Lookup Picker]])</f>
        <v/>
      </c>
      <c r="H113" s="11" t="str">
        <f>IF(Master[[#This Row],[Inventory Type - Lookup Picker]]="","",Master[[#This Row],[Inventory Type - Lookup Picker]])</f>
        <v>SD</v>
      </c>
      <c r="I113" s="149" t="str">
        <f t="shared" si="3"/>
        <v>mm/dd/yyyy</v>
      </c>
      <c r="J113" s="148">
        <f>Master[[#This Row],[Received Date -received by site]]</f>
        <v>44466</v>
      </c>
      <c r="K113" s="42" t="str">
        <f>IF(Master[[#This Row],[Note (Accession Narrative)]]="","",Master[[#This Row],[Note (Accession Narrative)]])</f>
        <v>Growing in tufts of culms and leaves. Culm terminates in a panicle approx. 2-6â€ long, light green, and maturing to a golden color. Leaf blades involute, approx. 6â€ long.û</v>
      </c>
    </row>
    <row r="114" spans="1:11" ht="15.75" x14ac:dyDescent="0.25">
      <c r="A114" s="1"/>
      <c r="B114" s="1" t="str">
        <f>IF(Master[[#This Row],[Accession Prefix (NPGS)]]="","",Master[[#This Row],[Accession Prefix (NPGS)]])</f>
        <v>W6</v>
      </c>
      <c r="C114" s="64">
        <f>IF(Master[[#This Row],[Accession Number -Assigned]]="","",Master[[#This Row],[Accession Number -Assigned]])</f>
        <v>59700</v>
      </c>
      <c r="D114" s="114" t="str">
        <f>IF(Master[[#This Row],[Taxon -Lookup Picker in GRIN]]="","",Master[[#This Row],[Taxon -Lookup Picker in GRIN]])</f>
        <v>Balsamorhiza sagittata</v>
      </c>
      <c r="E114" s="1" t="str">
        <f>IF(Master[[#This Row],[Life Form -Lookup Picker]]="","",Master[[#This Row],[Life Form -Lookup Picker]])</f>
        <v/>
      </c>
      <c r="F114" s="1" t="str">
        <f>IF(Master[[#This Row],[Level of Improvement -Lookup Picker]]="","",Master[[#This Row],[Level of Improvement -Lookup Picker]])</f>
        <v>Wild material</v>
      </c>
      <c r="G114" s="1" t="str">
        <f>IF(Master[[#This Row],[Reproductive Uniformity -Lookup Picker]]="","",Master[[#This Row],[Reproductive Uniformity -Lookup Picker]])</f>
        <v/>
      </c>
      <c r="H114" s="11" t="str">
        <f>IF(Master[[#This Row],[Inventory Type - Lookup Picker]]="","",Master[[#This Row],[Inventory Type - Lookup Picker]])</f>
        <v>SD</v>
      </c>
      <c r="I114" s="149" t="str">
        <f t="shared" si="3"/>
        <v>mm/dd/yyyy</v>
      </c>
      <c r="J114" s="148">
        <f>Master[[#This Row],[Received Date -received by site]]</f>
        <v>44466</v>
      </c>
      <c r="K114" s="42" t="str">
        <f>IF(Master[[#This Row],[Note (Accession Narrative)]]="","",Master[[#This Row],[Note (Accession Narrative)]])</f>
        <v>Plant forms a clump with few to many stems, each with a solitary showy yellow sunflower-like inflorescence. Rays and disks a golden yellow. Large, silvery, arrow-shaped leaves around the base of plant.</v>
      </c>
    </row>
    <row r="115" spans="1:11" ht="15.75" x14ac:dyDescent="0.25">
      <c r="A115" s="1"/>
      <c r="B115" s="1" t="str">
        <f>IF(Master[[#This Row],[Accession Prefix (NPGS)]]="","",Master[[#This Row],[Accession Prefix (NPGS)]])</f>
        <v>W6</v>
      </c>
      <c r="C115" s="64">
        <f>IF(Master[[#This Row],[Accession Number -Assigned]]="","",Master[[#This Row],[Accession Number -Assigned]])</f>
        <v>59701</v>
      </c>
      <c r="D115" s="114" t="str">
        <f>IF(Master[[#This Row],[Taxon -Lookup Picker in GRIN]]="","",Master[[#This Row],[Taxon -Lookup Picker in GRIN]])</f>
        <v>Ratibida columnifera</v>
      </c>
      <c r="E115" s="1" t="str">
        <f>IF(Master[[#This Row],[Life Form -Lookup Picker]]="","",Master[[#This Row],[Life Form -Lookup Picker]])</f>
        <v/>
      </c>
      <c r="F115" s="1" t="str">
        <f>IF(Master[[#This Row],[Level of Improvement -Lookup Picker]]="","",Master[[#This Row],[Level of Improvement -Lookup Picker]])</f>
        <v>Wild material</v>
      </c>
      <c r="G115" s="1" t="str">
        <f>IF(Master[[#This Row],[Reproductive Uniformity -Lookup Picker]]="","",Master[[#This Row],[Reproductive Uniformity -Lookup Picker]])</f>
        <v/>
      </c>
      <c r="H115" s="11" t="str">
        <f>IF(Master[[#This Row],[Inventory Type - Lookup Picker]]="","",Master[[#This Row],[Inventory Type - Lookup Picker]])</f>
        <v>SD</v>
      </c>
      <c r="I115" s="149" t="str">
        <f t="shared" si="3"/>
        <v>mm/dd/yyyy</v>
      </c>
      <c r="J115" s="148">
        <f>Master[[#This Row],[Received Date -received by site]]</f>
        <v>44466</v>
      </c>
      <c r="K115" s="42" t="str">
        <f>IF(Master[[#This Row],[Note (Accession Narrative)]]="","",Master[[#This Row],[Note (Accession Narrative)]])</f>
        <v>Clumping aster with drooping, wide, bright yellow (occasionally red and yellow) ray flowers around a cylindrical cone. Leaves deeply divided.</v>
      </c>
    </row>
    <row r="116" spans="1:11" ht="15.75" x14ac:dyDescent="0.25">
      <c r="A116" s="1"/>
      <c r="B116" s="1" t="str">
        <f>IF(Master[[#This Row],[Accession Prefix (NPGS)]]="","",Master[[#This Row],[Accession Prefix (NPGS)]])</f>
        <v>W6</v>
      </c>
      <c r="C116" s="64">
        <f>IF(Master[[#This Row],[Accession Number -Assigned]]="","",Master[[#This Row],[Accession Number -Assigned]])</f>
        <v>59702</v>
      </c>
      <c r="D116" s="114" t="str">
        <f>IF(Master[[#This Row],[Taxon -Lookup Picker in GRIN]]="","",Master[[#This Row],[Taxon -Lookup Picker in GRIN]])</f>
        <v>Ratibida columnifera</v>
      </c>
      <c r="E116" s="1" t="str">
        <f>IF(Master[[#This Row],[Life Form -Lookup Picker]]="","",Master[[#This Row],[Life Form -Lookup Picker]])</f>
        <v/>
      </c>
      <c r="F116" s="1" t="str">
        <f>IF(Master[[#This Row],[Level of Improvement -Lookup Picker]]="","",Master[[#This Row],[Level of Improvement -Lookup Picker]])</f>
        <v>Wild material</v>
      </c>
      <c r="G116" s="1" t="str">
        <f>IF(Master[[#This Row],[Reproductive Uniformity -Lookup Picker]]="","",Master[[#This Row],[Reproductive Uniformity -Lookup Picker]])</f>
        <v/>
      </c>
      <c r="H116" s="11" t="str">
        <f>IF(Master[[#This Row],[Inventory Type - Lookup Picker]]="","",Master[[#This Row],[Inventory Type - Lookup Picker]])</f>
        <v>SD</v>
      </c>
      <c r="I116" s="149" t="str">
        <f t="shared" si="3"/>
        <v>mm/dd/yyyy</v>
      </c>
      <c r="J116" s="148">
        <f>Master[[#This Row],[Received Date -received by site]]</f>
        <v>44466</v>
      </c>
      <c r="K116" s="42" t="str">
        <f>IF(Master[[#This Row],[Note (Accession Narrative)]]="","",Master[[#This Row],[Note (Accession Narrative)]])</f>
        <v>Clumping aster with drooping, wide, bright yellow (occasionally red and yellow) ray flowers around a cylindrical cone. Leaves deeply divided.</v>
      </c>
    </row>
    <row r="117" spans="1:11" ht="15.75" x14ac:dyDescent="0.25">
      <c r="A117" s="1"/>
      <c r="B117" s="1" t="str">
        <f>IF(Master[[#This Row],[Accession Prefix (NPGS)]]="","",Master[[#This Row],[Accession Prefix (NPGS)]])</f>
        <v>W6</v>
      </c>
      <c r="C117" s="64">
        <f>IF(Master[[#This Row],[Accession Number -Assigned]]="","",Master[[#This Row],[Accession Number -Assigned]])</f>
        <v>59703</v>
      </c>
      <c r="D117" s="114" t="str">
        <f>IF(Master[[#This Row],[Taxon -Lookup Picker in GRIN]]="","",Master[[#This Row],[Taxon -Lookup Picker in GRIN]])</f>
        <v>Ratibida columnifera</v>
      </c>
      <c r="E117" s="1" t="str">
        <f>IF(Master[[#This Row],[Life Form -Lookup Picker]]="","",Master[[#This Row],[Life Form -Lookup Picker]])</f>
        <v/>
      </c>
      <c r="F117" s="1" t="str">
        <f>IF(Master[[#This Row],[Level of Improvement -Lookup Picker]]="","",Master[[#This Row],[Level of Improvement -Lookup Picker]])</f>
        <v>Wild material</v>
      </c>
      <c r="G117" s="1" t="str">
        <f>IF(Master[[#This Row],[Reproductive Uniformity -Lookup Picker]]="","",Master[[#This Row],[Reproductive Uniformity -Lookup Picker]])</f>
        <v/>
      </c>
      <c r="H117" s="11" t="str">
        <f>IF(Master[[#This Row],[Inventory Type - Lookup Picker]]="","",Master[[#This Row],[Inventory Type - Lookup Picker]])</f>
        <v>SD</v>
      </c>
      <c r="I117" s="149" t="str">
        <f t="shared" si="3"/>
        <v>mm/dd/yyyy</v>
      </c>
      <c r="J117" s="148">
        <f>Master[[#This Row],[Received Date -received by site]]</f>
        <v>44466</v>
      </c>
      <c r="K117" s="42" t="str">
        <f>IF(Master[[#This Row],[Note (Accession Narrative)]]="","",Master[[#This Row],[Note (Accession Narrative)]])</f>
        <v>Clumping aster with drooping, wide, bright yellow (occasionally red and yellow) ray flowers around a cylindrical cone. Leaves deeply divided.</v>
      </c>
    </row>
    <row r="118" spans="1:11" ht="15.75" x14ac:dyDescent="0.25">
      <c r="A118" s="1"/>
      <c r="B118" s="1" t="str">
        <f>IF(Master[[#This Row],[Accession Prefix (NPGS)]]="","",Master[[#This Row],[Accession Prefix (NPGS)]])</f>
        <v>W6</v>
      </c>
      <c r="C118" s="64">
        <f>IF(Master[[#This Row],[Accession Number -Assigned]]="","",Master[[#This Row],[Accession Number -Assigned]])</f>
        <v>59704</v>
      </c>
      <c r="D118" s="114" t="str">
        <f>IF(Master[[#This Row],[Taxon -Lookup Picker in GRIN]]="","",Master[[#This Row],[Taxon -Lookup Picker in GRIN]])</f>
        <v>Heterotheca villosa</v>
      </c>
      <c r="E118" s="1" t="str">
        <f>IF(Master[[#This Row],[Life Form -Lookup Picker]]="","",Master[[#This Row],[Life Form -Lookup Picker]])</f>
        <v/>
      </c>
      <c r="F118" s="1" t="str">
        <f>IF(Master[[#This Row],[Level of Improvement -Lookup Picker]]="","",Master[[#This Row],[Level of Improvement -Lookup Picker]])</f>
        <v>Wild material</v>
      </c>
      <c r="G118" s="1" t="str">
        <f>IF(Master[[#This Row],[Reproductive Uniformity -Lookup Picker]]="","",Master[[#This Row],[Reproductive Uniformity -Lookup Picker]])</f>
        <v/>
      </c>
      <c r="H118" s="11" t="str">
        <f>IF(Master[[#This Row],[Inventory Type - Lookup Picker]]="","",Master[[#This Row],[Inventory Type - Lookup Picker]])</f>
        <v>SD</v>
      </c>
      <c r="I118" s="149" t="str">
        <f t="shared" ref="I118:I149" si="4">"mm/dd/yyyy"</f>
        <v>mm/dd/yyyy</v>
      </c>
      <c r="J118" s="148">
        <f>Master[[#This Row],[Received Date -received by site]]</f>
        <v>44466</v>
      </c>
      <c r="K118" s="42" t="str">
        <f>IF(Master[[#This Row],[Note (Accession Narrative)]]="","",Master[[#This Row],[Note (Accession Narrative)]])</f>
        <v>Taprooted perennial with ascending, hirsute stems, 4-12 inches tall. Ray flowers yellow, female, 10-20; disk flowers yellow, perfect, 20-50.</v>
      </c>
    </row>
    <row r="119" spans="1:11" ht="15.75" x14ac:dyDescent="0.25">
      <c r="A119" s="1"/>
      <c r="B119" s="1" t="str">
        <f>IF(Master[[#This Row],[Accession Prefix (NPGS)]]="","",Master[[#This Row],[Accession Prefix (NPGS)]])</f>
        <v>W6</v>
      </c>
      <c r="C119" s="64">
        <f>IF(Master[[#This Row],[Accession Number -Assigned]]="","",Master[[#This Row],[Accession Number -Assigned]])</f>
        <v>59705</v>
      </c>
      <c r="D119" s="114" t="str">
        <f>IF(Master[[#This Row],[Taxon -Lookup Picker in GRIN]]="","",Master[[#This Row],[Taxon -Lookup Picker in GRIN]])</f>
        <v>Heterotheca villosa</v>
      </c>
      <c r="E119" s="1" t="str">
        <f>IF(Master[[#This Row],[Life Form -Lookup Picker]]="","",Master[[#This Row],[Life Form -Lookup Picker]])</f>
        <v/>
      </c>
      <c r="F119" s="1" t="str">
        <f>IF(Master[[#This Row],[Level of Improvement -Lookup Picker]]="","",Master[[#This Row],[Level of Improvement -Lookup Picker]])</f>
        <v>Wild material</v>
      </c>
      <c r="G119" s="1" t="str">
        <f>IF(Master[[#This Row],[Reproductive Uniformity -Lookup Picker]]="","",Master[[#This Row],[Reproductive Uniformity -Lookup Picker]])</f>
        <v/>
      </c>
      <c r="H119" s="11" t="str">
        <f>IF(Master[[#This Row],[Inventory Type - Lookup Picker]]="","",Master[[#This Row],[Inventory Type - Lookup Picker]])</f>
        <v>SD</v>
      </c>
      <c r="I119" s="149" t="str">
        <f t="shared" si="4"/>
        <v>mm/dd/yyyy</v>
      </c>
      <c r="J119" s="148">
        <f>Master[[#This Row],[Received Date -received by site]]</f>
        <v>44466</v>
      </c>
      <c r="K119" s="42" t="str">
        <f>IF(Master[[#This Row],[Note (Accession Narrative)]]="","",Master[[#This Row],[Note (Accession Narrative)]])</f>
        <v>Taprooted perennial with ascending, hirsute stems, 4-12 inches tall. Ray flowers yellow, female, 10-20; disk flowers yellow, perfect, 20-50.û</v>
      </c>
    </row>
    <row r="120" spans="1:11" ht="15.75" x14ac:dyDescent="0.25">
      <c r="A120" s="1"/>
      <c r="B120" s="1" t="str">
        <f>IF(Master[[#This Row],[Accession Prefix (NPGS)]]="","",Master[[#This Row],[Accession Prefix (NPGS)]])</f>
        <v>W6</v>
      </c>
      <c r="C120" s="64">
        <f>IF(Master[[#This Row],[Accession Number -Assigned]]="","",Master[[#This Row],[Accession Number -Assigned]])</f>
        <v>59706</v>
      </c>
      <c r="D120" s="114" t="str">
        <f>IF(Master[[#This Row],[Taxon -Lookup Picker in GRIN]]="","",Master[[#This Row],[Taxon -Lookup Picker in GRIN]])</f>
        <v>Heterotheca villosa</v>
      </c>
      <c r="E120" s="1" t="str">
        <f>IF(Master[[#This Row],[Life Form -Lookup Picker]]="","",Master[[#This Row],[Life Form -Lookup Picker]])</f>
        <v/>
      </c>
      <c r="F120" s="1" t="str">
        <f>IF(Master[[#This Row],[Level of Improvement -Lookup Picker]]="","",Master[[#This Row],[Level of Improvement -Lookup Picker]])</f>
        <v>Wild material</v>
      </c>
      <c r="G120" s="1" t="str">
        <f>IF(Master[[#This Row],[Reproductive Uniformity -Lookup Picker]]="","",Master[[#This Row],[Reproductive Uniformity -Lookup Picker]])</f>
        <v/>
      </c>
      <c r="H120" s="11" t="str">
        <f>IF(Master[[#This Row],[Inventory Type - Lookup Picker]]="","",Master[[#This Row],[Inventory Type - Lookup Picker]])</f>
        <v>SD</v>
      </c>
      <c r="I120" s="149" t="str">
        <f t="shared" si="4"/>
        <v>mm/dd/yyyy</v>
      </c>
      <c r="J120" s="148">
        <f>Master[[#This Row],[Received Date -received by site]]</f>
        <v>44466</v>
      </c>
      <c r="K120" s="42" t="str">
        <f>IF(Master[[#This Row],[Note (Accession Narrative)]]="","",Master[[#This Row],[Note (Accession Narrative)]])</f>
        <v>Taprooted perennial with ascending, hirsute stems, 4-12 inches tall. Ray flowers yellow, female, 10-20; disk flowers yellow, perfect, 20-50.</v>
      </c>
    </row>
    <row r="121" spans="1:11" ht="15.75" x14ac:dyDescent="0.25">
      <c r="A121" s="1"/>
      <c r="B121" s="1" t="str">
        <f>IF(Master[[#This Row],[Accession Prefix (NPGS)]]="","",Master[[#This Row],[Accession Prefix (NPGS)]])</f>
        <v>W6</v>
      </c>
      <c r="C121" s="64">
        <f>IF(Master[[#This Row],[Accession Number -Assigned]]="","",Master[[#This Row],[Accession Number -Assigned]])</f>
        <v>59707</v>
      </c>
      <c r="D121" s="114" t="str">
        <f>IF(Master[[#This Row],[Taxon -Lookup Picker in GRIN]]="","",Master[[#This Row],[Taxon -Lookup Picker in GRIN]])</f>
        <v>Heterotheca villosa</v>
      </c>
      <c r="E121" s="1" t="str">
        <f>IF(Master[[#This Row],[Life Form -Lookup Picker]]="","",Master[[#This Row],[Life Form -Lookup Picker]])</f>
        <v/>
      </c>
      <c r="F121" s="1" t="str">
        <f>IF(Master[[#This Row],[Level of Improvement -Lookup Picker]]="","",Master[[#This Row],[Level of Improvement -Lookup Picker]])</f>
        <v>Wild material</v>
      </c>
      <c r="G121" s="1" t="str">
        <f>IF(Master[[#This Row],[Reproductive Uniformity -Lookup Picker]]="","",Master[[#This Row],[Reproductive Uniformity -Lookup Picker]])</f>
        <v/>
      </c>
      <c r="H121" s="11" t="str">
        <f>IF(Master[[#This Row],[Inventory Type - Lookup Picker]]="","",Master[[#This Row],[Inventory Type - Lookup Picker]])</f>
        <v>SD</v>
      </c>
      <c r="I121" s="149" t="str">
        <f t="shared" si="4"/>
        <v>mm/dd/yyyy</v>
      </c>
      <c r="J121" s="148">
        <f>Master[[#This Row],[Received Date -received by site]]</f>
        <v>44466</v>
      </c>
      <c r="K121" s="42" t="str">
        <f>IF(Master[[#This Row],[Note (Accession Narrative)]]="","",Master[[#This Row],[Note (Accession Narrative)]])</f>
        <v>Taprooted perennial with ascending, hirsute stems, 4-12 inches tall. Ray flowers yellow, female, 10-20; disk flowers yellow, perfect, 20-50.</v>
      </c>
    </row>
    <row r="122" spans="1:11" ht="15.75" x14ac:dyDescent="0.25">
      <c r="A122" s="1"/>
      <c r="B122" s="1" t="str">
        <f>IF(Master[[#This Row],[Accession Prefix (NPGS)]]="","",Master[[#This Row],[Accession Prefix (NPGS)]])</f>
        <v>W6</v>
      </c>
      <c r="C122" s="64">
        <f>IF(Master[[#This Row],[Accession Number -Assigned]]="","",Master[[#This Row],[Accession Number -Assigned]])</f>
        <v>59708</v>
      </c>
      <c r="D122" s="114" t="str">
        <f>IF(Master[[#This Row],[Taxon -Lookup Picker in GRIN]]="","",Master[[#This Row],[Taxon -Lookup Picker in GRIN]])</f>
        <v>Ratibida columnifera</v>
      </c>
      <c r="E122" s="1" t="str">
        <f>IF(Master[[#This Row],[Life Form -Lookup Picker]]="","",Master[[#This Row],[Life Form -Lookup Picker]])</f>
        <v/>
      </c>
      <c r="F122" s="1" t="str">
        <f>IF(Master[[#This Row],[Level of Improvement -Lookup Picker]]="","",Master[[#This Row],[Level of Improvement -Lookup Picker]])</f>
        <v>Wild material</v>
      </c>
      <c r="G122" s="1" t="str">
        <f>IF(Master[[#This Row],[Reproductive Uniformity -Lookup Picker]]="","",Master[[#This Row],[Reproductive Uniformity -Lookup Picker]])</f>
        <v/>
      </c>
      <c r="H122" s="11" t="str">
        <f>IF(Master[[#This Row],[Inventory Type - Lookup Picker]]="","",Master[[#This Row],[Inventory Type - Lookup Picker]])</f>
        <v>SD</v>
      </c>
      <c r="I122" s="149" t="str">
        <f t="shared" si="4"/>
        <v>mm/dd/yyyy</v>
      </c>
      <c r="J122" s="148">
        <f>Master[[#This Row],[Received Date -received by site]]</f>
        <v>44466</v>
      </c>
      <c r="K122" s="42" t="str">
        <f>IF(Master[[#This Row],[Note (Accession Narrative)]]="","",Master[[#This Row],[Note (Accession Narrative)]])</f>
        <v>Clumping aster with drooping, wide, bright yellow (occasionally red and yellow) ray flowers around a cylindrical cone. Leaves deeply divided.</v>
      </c>
    </row>
    <row r="123" spans="1:11" ht="15.75" x14ac:dyDescent="0.25">
      <c r="A123" s="1"/>
      <c r="B123" s="1" t="str">
        <f>IF(Master[[#This Row],[Accession Prefix (NPGS)]]="","",Master[[#This Row],[Accession Prefix (NPGS)]])</f>
        <v>W6</v>
      </c>
      <c r="C123" s="64">
        <f>IF(Master[[#This Row],[Accession Number -Assigned]]="","",Master[[#This Row],[Accession Number -Assigned]])</f>
        <v>59709</v>
      </c>
      <c r="D123" s="114" t="str">
        <f>IF(Master[[#This Row],[Taxon -Lookup Picker in GRIN]]="","",Master[[#This Row],[Taxon -Lookup Picker in GRIN]])</f>
        <v>Achillea millefolium</v>
      </c>
      <c r="E123" s="1" t="str">
        <f>IF(Master[[#This Row],[Life Form -Lookup Picker]]="","",Master[[#This Row],[Life Form -Lookup Picker]])</f>
        <v/>
      </c>
      <c r="F123" s="1" t="str">
        <f>IF(Master[[#This Row],[Level of Improvement -Lookup Picker]]="","",Master[[#This Row],[Level of Improvement -Lookup Picker]])</f>
        <v>Wild material</v>
      </c>
      <c r="G123" s="1" t="str">
        <f>IF(Master[[#This Row],[Reproductive Uniformity -Lookup Picker]]="","",Master[[#This Row],[Reproductive Uniformity -Lookup Picker]])</f>
        <v/>
      </c>
      <c r="H123" s="11" t="str">
        <f>IF(Master[[#This Row],[Inventory Type - Lookup Picker]]="","",Master[[#This Row],[Inventory Type - Lookup Picker]])</f>
        <v>SD</v>
      </c>
      <c r="I123" s="149" t="str">
        <f t="shared" si="4"/>
        <v>mm/dd/yyyy</v>
      </c>
      <c r="J123" s="148">
        <f>Master[[#This Row],[Received Date -received by site]]</f>
        <v>44466</v>
      </c>
      <c r="K123" s="42" t="str">
        <f>IF(Master[[#This Row],[Note (Accession Narrative)]]="","",Master[[#This Row],[Note (Accession Narrative)]])</f>
        <v>Flower head is a compound corymb that consists of many small, white ray and disk flowers, at the top of a single stem, or sometimes branched at top. Leaves grow along stem and have a delicate, lacey, fern-like appearance.</v>
      </c>
    </row>
    <row r="124" spans="1:11" ht="15.75" x14ac:dyDescent="0.25">
      <c r="A124" s="1"/>
      <c r="B124" s="1" t="str">
        <f>IF(Master[[#This Row],[Accession Prefix (NPGS)]]="","",Master[[#This Row],[Accession Prefix (NPGS)]])</f>
        <v>W6</v>
      </c>
      <c r="C124" s="64">
        <f>IF(Master[[#This Row],[Accession Number -Assigned]]="","",Master[[#This Row],[Accession Number -Assigned]])</f>
        <v>59710</v>
      </c>
      <c r="D124" s="114" t="str">
        <f>IF(Master[[#This Row],[Taxon -Lookup Picker in GRIN]]="","",Master[[#This Row],[Taxon -Lookup Picker in GRIN]])</f>
        <v>Heterotheca villosa</v>
      </c>
      <c r="E124" s="1" t="str">
        <f>IF(Master[[#This Row],[Life Form -Lookup Picker]]="","",Master[[#This Row],[Life Form -Lookup Picker]])</f>
        <v/>
      </c>
      <c r="F124" s="1" t="str">
        <f>IF(Master[[#This Row],[Level of Improvement -Lookup Picker]]="","",Master[[#This Row],[Level of Improvement -Lookup Picker]])</f>
        <v>Wild material</v>
      </c>
      <c r="G124" s="1" t="str">
        <f>IF(Master[[#This Row],[Reproductive Uniformity -Lookup Picker]]="","",Master[[#This Row],[Reproductive Uniformity -Lookup Picker]])</f>
        <v/>
      </c>
      <c r="H124" s="11" t="str">
        <f>IF(Master[[#This Row],[Inventory Type - Lookup Picker]]="","",Master[[#This Row],[Inventory Type - Lookup Picker]])</f>
        <v>SD</v>
      </c>
      <c r="I124" s="149" t="str">
        <f t="shared" si="4"/>
        <v>mm/dd/yyyy</v>
      </c>
      <c r="J124" s="148">
        <f>Master[[#This Row],[Received Date -received by site]]</f>
        <v>44466</v>
      </c>
      <c r="K124" s="42" t="str">
        <f>IF(Master[[#This Row],[Note (Accession Narrative)]]="","",Master[[#This Row],[Note (Accession Narrative)]])</f>
        <v>Taprooted perennial with ascending, hirsute stems, 4-12 inches tall. Ray flowers yellow, female, 10-20; disk flowers yellow, perfect, 20-50.</v>
      </c>
    </row>
    <row r="125" spans="1:11" ht="15.75" x14ac:dyDescent="0.25">
      <c r="A125" s="1"/>
      <c r="B125" s="1" t="str">
        <f>IF(Master[[#This Row],[Accession Prefix (NPGS)]]="","",Master[[#This Row],[Accession Prefix (NPGS)]])</f>
        <v>W6</v>
      </c>
      <c r="C125" s="64">
        <f>IF(Master[[#This Row],[Accession Number -Assigned]]="","",Master[[#This Row],[Accession Number -Assigned]])</f>
        <v>59711</v>
      </c>
      <c r="D125" s="114" t="str">
        <f>IF(Master[[#This Row],[Taxon -Lookup Picker in GRIN]]="","",Master[[#This Row],[Taxon -Lookup Picker in GRIN]])</f>
        <v>Achillea millefolium</v>
      </c>
      <c r="E125" s="1" t="str">
        <f>IF(Master[[#This Row],[Life Form -Lookup Picker]]="","",Master[[#This Row],[Life Form -Lookup Picker]])</f>
        <v/>
      </c>
      <c r="F125" s="1" t="str">
        <f>IF(Master[[#This Row],[Level of Improvement -Lookup Picker]]="","",Master[[#This Row],[Level of Improvement -Lookup Picker]])</f>
        <v>Wild material</v>
      </c>
      <c r="G125" s="1" t="str">
        <f>IF(Master[[#This Row],[Reproductive Uniformity -Lookup Picker]]="","",Master[[#This Row],[Reproductive Uniformity -Lookup Picker]])</f>
        <v/>
      </c>
      <c r="H125" s="11" t="str">
        <f>IF(Master[[#This Row],[Inventory Type - Lookup Picker]]="","",Master[[#This Row],[Inventory Type - Lookup Picker]])</f>
        <v>SD</v>
      </c>
      <c r="I125" s="149" t="str">
        <f t="shared" si="4"/>
        <v>mm/dd/yyyy</v>
      </c>
      <c r="J125" s="148">
        <f>Master[[#This Row],[Received Date -received by site]]</f>
        <v>44466</v>
      </c>
      <c r="K125" s="42" t="str">
        <f>IF(Master[[#This Row],[Note (Accession Narrative)]]="","",Master[[#This Row],[Note (Accession Narrative)]])</f>
        <v>Flower head is a compound corymb that consists of many small, white ray and disk flowers, at the top of a single stem, or sometimes branched at top. Leaves grow along stem and have a delicate, lacey, fern-like appearance.</v>
      </c>
    </row>
    <row r="126" spans="1:11" ht="15.75" x14ac:dyDescent="0.25">
      <c r="A126" s="1"/>
      <c r="B126" s="1" t="str">
        <f>IF(Master[[#This Row],[Accession Prefix (NPGS)]]="","",Master[[#This Row],[Accession Prefix (NPGS)]])</f>
        <v>W6</v>
      </c>
      <c r="C126" s="64">
        <f>IF(Master[[#This Row],[Accession Number -Assigned]]="","",Master[[#This Row],[Accession Number -Assigned]])</f>
        <v>59712</v>
      </c>
      <c r="D126" s="114" t="str">
        <f>IF(Master[[#This Row],[Taxon -Lookup Picker in GRIN]]="","",Master[[#This Row],[Taxon -Lookup Picker in GRIN]])</f>
        <v>Achillea millefolium</v>
      </c>
      <c r="E126" s="1" t="str">
        <f>IF(Master[[#This Row],[Life Form -Lookup Picker]]="","",Master[[#This Row],[Life Form -Lookup Picker]])</f>
        <v/>
      </c>
      <c r="F126" s="1" t="str">
        <f>IF(Master[[#This Row],[Level of Improvement -Lookup Picker]]="","",Master[[#This Row],[Level of Improvement -Lookup Picker]])</f>
        <v>Wild material</v>
      </c>
      <c r="G126" s="1" t="str">
        <f>IF(Master[[#This Row],[Reproductive Uniformity -Lookup Picker]]="","",Master[[#This Row],[Reproductive Uniformity -Lookup Picker]])</f>
        <v/>
      </c>
      <c r="H126" s="11" t="str">
        <f>IF(Master[[#This Row],[Inventory Type - Lookup Picker]]="","",Master[[#This Row],[Inventory Type - Lookup Picker]])</f>
        <v>SD</v>
      </c>
      <c r="I126" s="149" t="str">
        <f t="shared" si="4"/>
        <v>mm/dd/yyyy</v>
      </c>
      <c r="J126" s="148">
        <f>Master[[#This Row],[Received Date -received by site]]</f>
        <v>44466</v>
      </c>
      <c r="K126" s="42" t="str">
        <f>IF(Master[[#This Row],[Note (Accession Narrative)]]="","",Master[[#This Row],[Note (Accession Narrative)]])</f>
        <v>Flower head is a compound corymb that consists of many small, white ray and disk flowers, at the top of a single stem, or sometimes branched at top. Leaves grow along stem and have a delicate, lacey, fern-like appearance.</v>
      </c>
    </row>
    <row r="127" spans="1:11" ht="15.75" x14ac:dyDescent="0.25">
      <c r="A127" s="1"/>
      <c r="B127" s="1" t="str">
        <f>IF(Master[[#This Row],[Accession Prefix (NPGS)]]="","",Master[[#This Row],[Accession Prefix (NPGS)]])</f>
        <v>W6</v>
      </c>
      <c r="C127" s="64">
        <f>IF(Master[[#This Row],[Accession Number -Assigned]]="","",Master[[#This Row],[Accession Number -Assigned]])</f>
        <v>59713</v>
      </c>
      <c r="D127" s="114" t="str">
        <f>IF(Master[[#This Row],[Taxon -Lookup Picker in GRIN]]="","",Master[[#This Row],[Taxon -Lookup Picker in GRIN]])</f>
        <v>Linum lewisii</v>
      </c>
      <c r="E127" s="1" t="str">
        <f>IF(Master[[#This Row],[Life Form -Lookup Picker]]="","",Master[[#This Row],[Life Form -Lookup Picker]])</f>
        <v/>
      </c>
      <c r="F127" s="1" t="str">
        <f>IF(Master[[#This Row],[Level of Improvement -Lookup Picker]]="","",Master[[#This Row],[Level of Improvement -Lookup Picker]])</f>
        <v>Wild material</v>
      </c>
      <c r="G127" s="1" t="str">
        <f>IF(Master[[#This Row],[Reproductive Uniformity -Lookup Picker]]="","",Master[[#This Row],[Reproductive Uniformity -Lookup Picker]])</f>
        <v/>
      </c>
      <c r="H127" s="11" t="str">
        <f>IF(Master[[#This Row],[Inventory Type - Lookup Picker]]="","",Master[[#This Row],[Inventory Type - Lookup Picker]])</f>
        <v>SD</v>
      </c>
      <c r="I127" s="149" t="str">
        <f t="shared" si="4"/>
        <v>mm/dd/yyyy</v>
      </c>
      <c r="J127" s="148">
        <f>Master[[#This Row],[Received Date -received by site]]</f>
        <v>44466</v>
      </c>
      <c r="K127" s="42" t="str">
        <f>IF(Master[[#This Row],[Note (Accession Narrative)]]="","",Master[[#This Row],[Note (Accession Narrative)]])</f>
        <v>Plants typically 18 inches tall. Most in fruit with some still flowering. Petals are periwinkle in color; 5 per infloresence.</v>
      </c>
    </row>
    <row r="128" spans="1:11" ht="15.75" x14ac:dyDescent="0.25">
      <c r="A128" s="1"/>
      <c r="B128" s="1" t="str">
        <f>IF(Master[[#This Row],[Accession Prefix (NPGS)]]="","",Master[[#This Row],[Accession Prefix (NPGS)]])</f>
        <v>W6</v>
      </c>
      <c r="C128" s="64">
        <f>IF(Master[[#This Row],[Accession Number -Assigned]]="","",Master[[#This Row],[Accession Number -Assigned]])</f>
        <v>59714</v>
      </c>
      <c r="D128" s="114" t="str">
        <f>IF(Master[[#This Row],[Taxon -Lookup Picker in GRIN]]="","",Master[[#This Row],[Taxon -Lookup Picker in GRIN]])</f>
        <v>Lomatium dissectum</v>
      </c>
      <c r="E128" s="1" t="str">
        <f>IF(Master[[#This Row],[Life Form -Lookup Picker]]="","",Master[[#This Row],[Life Form -Lookup Picker]])</f>
        <v/>
      </c>
      <c r="F128" s="1" t="str">
        <f>IF(Master[[#This Row],[Level of Improvement -Lookup Picker]]="","",Master[[#This Row],[Level of Improvement -Lookup Picker]])</f>
        <v>Wild material</v>
      </c>
      <c r="G128" s="1" t="str">
        <f>IF(Master[[#This Row],[Reproductive Uniformity -Lookup Picker]]="","",Master[[#This Row],[Reproductive Uniformity -Lookup Picker]])</f>
        <v/>
      </c>
      <c r="H128" s="11" t="str">
        <f>IF(Master[[#This Row],[Inventory Type - Lookup Picker]]="","",Master[[#This Row],[Inventory Type - Lookup Picker]])</f>
        <v>SD</v>
      </c>
      <c r="I128" s="149" t="str">
        <f t="shared" si="4"/>
        <v>mm/dd/yyyy</v>
      </c>
      <c r="J128" s="148">
        <f>Master[[#This Row],[Received Date -received by site]]</f>
        <v>44466</v>
      </c>
      <c r="K128" s="42" t="str">
        <f>IF(Master[[#This Row],[Note (Accession Narrative)]]="","",Master[[#This Row],[Note (Accession Narrative)]])</f>
        <v>Average plant height is 40cm among those sampled for voucher collections. Stem is purpleish toward base. Infloresence is an umbel.</v>
      </c>
    </row>
    <row r="129" spans="1:11" ht="15.75" x14ac:dyDescent="0.25">
      <c r="A129" s="1"/>
      <c r="B129" s="1" t="str">
        <f>IF(Master[[#This Row],[Accession Prefix (NPGS)]]="","",Master[[#This Row],[Accession Prefix (NPGS)]])</f>
        <v>W6</v>
      </c>
      <c r="C129" s="64">
        <f>IF(Master[[#This Row],[Accession Number -Assigned]]="","",Master[[#This Row],[Accession Number -Assigned]])</f>
        <v>59715</v>
      </c>
      <c r="D129" s="114" t="str">
        <f>IF(Master[[#This Row],[Taxon -Lookup Picker in GRIN]]="","",Master[[#This Row],[Taxon -Lookup Picker in GRIN]])</f>
        <v>Linum lewisii</v>
      </c>
      <c r="E129" s="1" t="str">
        <f>IF(Master[[#This Row],[Life Form -Lookup Picker]]="","",Master[[#This Row],[Life Form -Lookup Picker]])</f>
        <v/>
      </c>
      <c r="F129" s="1" t="str">
        <f>IF(Master[[#This Row],[Level of Improvement -Lookup Picker]]="","",Master[[#This Row],[Level of Improvement -Lookup Picker]])</f>
        <v>Wild material</v>
      </c>
      <c r="G129" s="1" t="str">
        <f>IF(Master[[#This Row],[Reproductive Uniformity -Lookup Picker]]="","",Master[[#This Row],[Reproductive Uniformity -Lookup Picker]])</f>
        <v/>
      </c>
      <c r="H129" s="11" t="str">
        <f>IF(Master[[#This Row],[Inventory Type - Lookup Picker]]="","",Master[[#This Row],[Inventory Type - Lookup Picker]])</f>
        <v>SD</v>
      </c>
      <c r="I129" s="149" t="str">
        <f t="shared" si="4"/>
        <v>mm/dd/yyyy</v>
      </c>
      <c r="J129" s="148">
        <f>Master[[#This Row],[Received Date -received by site]]</f>
        <v>44466</v>
      </c>
      <c r="K129" s="42" t="str">
        <f>IF(Master[[#This Row],[Note (Accession Narrative)]]="","",Master[[#This Row],[Note (Accession Narrative)]])</f>
        <v>Most plants with fruit. Some still in flower. Those in flower have 5 periwinkle petals.</v>
      </c>
    </row>
    <row r="130" spans="1:11" ht="15.75" x14ac:dyDescent="0.25">
      <c r="A130" s="1"/>
      <c r="B130" s="1" t="str">
        <f>IF(Master[[#This Row],[Accession Prefix (NPGS)]]="","",Master[[#This Row],[Accession Prefix (NPGS)]])</f>
        <v>W6</v>
      </c>
      <c r="C130" s="64">
        <f>IF(Master[[#This Row],[Accession Number -Assigned]]="","",Master[[#This Row],[Accession Number -Assigned]])</f>
        <v>59716</v>
      </c>
      <c r="D130" s="114" t="str">
        <f>IF(Master[[#This Row],[Taxon -Lookup Picker in GRIN]]="","",Master[[#This Row],[Taxon -Lookup Picker in GRIN]])</f>
        <v>Penstemon procerus</v>
      </c>
      <c r="E130" s="1" t="str">
        <f>IF(Master[[#This Row],[Life Form -Lookup Picker]]="","",Master[[#This Row],[Life Form -Lookup Picker]])</f>
        <v/>
      </c>
      <c r="F130" s="1" t="str">
        <f>IF(Master[[#This Row],[Level of Improvement -Lookup Picker]]="","",Master[[#This Row],[Level of Improvement -Lookup Picker]])</f>
        <v>Wild material</v>
      </c>
      <c r="G130" s="1" t="str">
        <f>IF(Master[[#This Row],[Reproductive Uniformity -Lookup Picker]]="","",Master[[#This Row],[Reproductive Uniformity -Lookup Picker]])</f>
        <v/>
      </c>
      <c r="H130" s="11" t="str">
        <f>IF(Master[[#This Row],[Inventory Type - Lookup Picker]]="","",Master[[#This Row],[Inventory Type - Lookup Picker]])</f>
        <v>SD</v>
      </c>
      <c r="I130" s="149" t="str">
        <f t="shared" si="4"/>
        <v>mm/dd/yyyy</v>
      </c>
      <c r="J130" s="148">
        <f>Master[[#This Row],[Received Date -received by site]]</f>
        <v>44466</v>
      </c>
      <c r="K130" s="42" t="str">
        <f>IF(Master[[#This Row],[Note (Accession Narrative)]]="","",Master[[#This Row],[Note (Accession Narrative)]])</f>
        <v>Corolla tube is violet/blue, inner throat is white and stem can be reddish in color. Is growing in wet area within the sagebrush steppe. Tends to grow under the sagebrush.</v>
      </c>
    </row>
    <row r="131" spans="1:11" ht="15.75" x14ac:dyDescent="0.25">
      <c r="A131" s="1"/>
      <c r="B131" s="1" t="str">
        <f>IF(Master[[#This Row],[Accession Prefix (NPGS)]]="","",Master[[#This Row],[Accession Prefix (NPGS)]])</f>
        <v>W6</v>
      </c>
      <c r="C131" s="64">
        <f>IF(Master[[#This Row],[Accession Number -Assigned]]="","",Master[[#This Row],[Accession Number -Assigned]])</f>
        <v>59717</v>
      </c>
      <c r="D131" s="114" t="str">
        <f>IF(Master[[#This Row],[Taxon -Lookup Picker in GRIN]]="","",Master[[#This Row],[Taxon -Lookup Picker in GRIN]])</f>
        <v>Linum lewisii</v>
      </c>
      <c r="E131" s="1" t="str">
        <f>IF(Master[[#This Row],[Life Form -Lookup Picker]]="","",Master[[#This Row],[Life Form -Lookup Picker]])</f>
        <v/>
      </c>
      <c r="F131" s="1" t="str">
        <f>IF(Master[[#This Row],[Level of Improvement -Lookup Picker]]="","",Master[[#This Row],[Level of Improvement -Lookup Picker]])</f>
        <v>Wild material</v>
      </c>
      <c r="G131" s="1" t="str">
        <f>IF(Master[[#This Row],[Reproductive Uniformity -Lookup Picker]]="","",Master[[#This Row],[Reproductive Uniformity -Lookup Picker]])</f>
        <v/>
      </c>
      <c r="H131" s="11" t="str">
        <f>IF(Master[[#This Row],[Inventory Type - Lookup Picker]]="","",Master[[#This Row],[Inventory Type - Lookup Picker]])</f>
        <v>SD</v>
      </c>
      <c r="I131" s="149" t="str">
        <f t="shared" si="4"/>
        <v>mm/dd/yyyy</v>
      </c>
      <c r="J131" s="148">
        <f>Master[[#This Row],[Received Date -received by site]]</f>
        <v>44466</v>
      </c>
      <c r="K131" s="42" t="str">
        <f>IF(Master[[#This Row],[Note (Accession Narrative)]]="","",Master[[#This Row],[Note (Accession Narrative)]])</f>
        <v>Growing in a wetland complex. Of the voucher samples taken the average height was 36cm. Leaves are glaucous. Infloresence is perwinkle in color with 5 petals.û</v>
      </c>
    </row>
    <row r="132" spans="1:11" ht="15.75" x14ac:dyDescent="0.25">
      <c r="A132" s="1"/>
      <c r="B132" s="1" t="str">
        <f>IF(Master[[#This Row],[Accession Prefix (NPGS)]]="","",Master[[#This Row],[Accession Prefix (NPGS)]])</f>
        <v>W6</v>
      </c>
      <c r="C132" s="64">
        <f>IF(Master[[#This Row],[Accession Number -Assigned]]="","",Master[[#This Row],[Accession Number -Assigned]])</f>
        <v>59718</v>
      </c>
      <c r="D132" s="114" t="str">
        <f>IF(Master[[#This Row],[Taxon -Lookup Picker in GRIN]]="","",Master[[#This Row],[Taxon -Lookup Picker in GRIN]])</f>
        <v>Penstemon procerus</v>
      </c>
      <c r="E132" s="1" t="str">
        <f>IF(Master[[#This Row],[Life Form -Lookup Picker]]="","",Master[[#This Row],[Life Form -Lookup Picker]])</f>
        <v/>
      </c>
      <c r="F132" s="1" t="str">
        <f>IF(Master[[#This Row],[Level of Improvement -Lookup Picker]]="","",Master[[#This Row],[Level of Improvement -Lookup Picker]])</f>
        <v>Wild material</v>
      </c>
      <c r="G132" s="1" t="str">
        <f>IF(Master[[#This Row],[Reproductive Uniformity -Lookup Picker]]="","",Master[[#This Row],[Reproductive Uniformity -Lookup Picker]])</f>
        <v/>
      </c>
      <c r="H132" s="11" t="str">
        <f>IF(Master[[#This Row],[Inventory Type - Lookup Picker]]="","",Master[[#This Row],[Inventory Type - Lookup Picker]])</f>
        <v>SD</v>
      </c>
      <c r="I132" s="149" t="str">
        <f t="shared" si="4"/>
        <v>mm/dd/yyyy</v>
      </c>
      <c r="J132" s="148">
        <f>Master[[#This Row],[Received Date -received by site]]</f>
        <v>44466</v>
      </c>
      <c r="K132" s="42" t="str">
        <f>IF(Master[[#This Row],[Note (Accession Narrative)]]="","",Master[[#This Row],[Note (Accession Narrative)]])</f>
        <v>Growing in wet meadow adjacent to Wheat Creek. Height of plants ranged from 7in to 2ft. Corolla tube is violet/blue and inner throat is white. The stem is reddish in color.</v>
      </c>
    </row>
    <row r="133" spans="1:11" ht="15.75" x14ac:dyDescent="0.25">
      <c r="A133" s="1"/>
      <c r="B133" s="1" t="str">
        <f>IF(Master[[#This Row],[Accession Prefix (NPGS)]]="","",Master[[#This Row],[Accession Prefix (NPGS)]])</f>
        <v>W6</v>
      </c>
      <c r="C133" s="64">
        <f>IF(Master[[#This Row],[Accession Number -Assigned]]="","",Master[[#This Row],[Accession Number -Assigned]])</f>
        <v>59719</v>
      </c>
      <c r="D133" s="114" t="str">
        <f>IF(Master[[#This Row],[Taxon -Lookup Picker in GRIN]]="","",Master[[#This Row],[Taxon -Lookup Picker in GRIN]])</f>
        <v>Achillea millefolium</v>
      </c>
      <c r="E133" s="1" t="str">
        <f>IF(Master[[#This Row],[Life Form -Lookup Picker]]="","",Master[[#This Row],[Life Form -Lookup Picker]])</f>
        <v/>
      </c>
      <c r="F133" s="1" t="str">
        <f>IF(Master[[#This Row],[Level of Improvement -Lookup Picker]]="","",Master[[#This Row],[Level of Improvement -Lookup Picker]])</f>
        <v>Wild material</v>
      </c>
      <c r="G133" s="1" t="str">
        <f>IF(Master[[#This Row],[Reproductive Uniformity -Lookup Picker]]="","",Master[[#This Row],[Reproductive Uniformity -Lookup Picker]])</f>
        <v/>
      </c>
      <c r="H133" s="11" t="str">
        <f>IF(Master[[#This Row],[Inventory Type - Lookup Picker]]="","",Master[[#This Row],[Inventory Type - Lookup Picker]])</f>
        <v>SD</v>
      </c>
      <c r="I133" s="149" t="str">
        <f t="shared" si="4"/>
        <v>mm/dd/yyyy</v>
      </c>
      <c r="J133" s="148">
        <f>Master[[#This Row],[Received Date -received by site]]</f>
        <v>44466</v>
      </c>
      <c r="K133" s="42" t="str">
        <f>IF(Master[[#This Row],[Note (Accession Narrative)]]="","",Master[[#This Row],[Note (Accession Narrative)]])</f>
        <v>Average height of voucher specimens collected was 26cm. Infloresence in an umbel with individual flowers having 5 wheat/cream colored petals. Stem is hirsute. Leaves mostly basal with some on upper part of stem. It is ubiquitous.</v>
      </c>
    </row>
    <row r="134" spans="1:11" ht="15.75" x14ac:dyDescent="0.25">
      <c r="A134" s="1"/>
      <c r="B134" s="1" t="str">
        <f>IF(Master[[#This Row],[Accession Prefix (NPGS)]]="","",Master[[#This Row],[Accession Prefix (NPGS)]])</f>
        <v>W6</v>
      </c>
      <c r="C134" s="64">
        <f>IF(Master[[#This Row],[Accession Number -Assigned]]="","",Master[[#This Row],[Accession Number -Assigned]])</f>
        <v>59720</v>
      </c>
      <c r="D134" s="114" t="str">
        <f>IF(Master[[#This Row],[Taxon -Lookup Picker in GRIN]]="","",Master[[#This Row],[Taxon -Lookup Picker in GRIN]])</f>
        <v>Penstemon procerus</v>
      </c>
      <c r="E134" s="1" t="str">
        <f>IF(Master[[#This Row],[Life Form -Lookup Picker]]="","",Master[[#This Row],[Life Form -Lookup Picker]])</f>
        <v/>
      </c>
      <c r="F134" s="1" t="str">
        <f>IF(Master[[#This Row],[Level of Improvement -Lookup Picker]]="","",Master[[#This Row],[Level of Improvement -Lookup Picker]])</f>
        <v>Wild material</v>
      </c>
      <c r="G134" s="1" t="str">
        <f>IF(Master[[#This Row],[Reproductive Uniformity -Lookup Picker]]="","",Master[[#This Row],[Reproductive Uniformity -Lookup Picker]])</f>
        <v/>
      </c>
      <c r="H134" s="11" t="str">
        <f>IF(Master[[#This Row],[Inventory Type - Lookup Picker]]="","",Master[[#This Row],[Inventory Type - Lookup Picker]])</f>
        <v>SD</v>
      </c>
      <c r="I134" s="149" t="str">
        <f t="shared" si="4"/>
        <v>mm/dd/yyyy</v>
      </c>
      <c r="J134" s="148">
        <f>Master[[#This Row],[Received Date -received by site]]</f>
        <v>44466</v>
      </c>
      <c r="K134" s="42" t="str">
        <f>IF(Master[[#This Row],[Note (Accession Narrative)]]="","",Master[[#This Row],[Note (Accession Narrative)]])</f>
        <v>Found growing among aspen forests. Average height of collected specimens was 29.5cm. Infloresence is blue/purple with the innter throat being white.</v>
      </c>
    </row>
    <row r="135" spans="1:11" ht="15.75" x14ac:dyDescent="0.25">
      <c r="A135" s="1"/>
      <c r="B135" s="1" t="str">
        <f>IF(Master[[#This Row],[Accession Prefix (NPGS)]]="","",Master[[#This Row],[Accession Prefix (NPGS)]])</f>
        <v>W6</v>
      </c>
      <c r="C135" s="64">
        <f>IF(Master[[#This Row],[Accession Number -Assigned]]="","",Master[[#This Row],[Accession Number -Assigned]])</f>
        <v>59721</v>
      </c>
      <c r="D135" s="114" t="str">
        <f>IF(Master[[#This Row],[Taxon -Lookup Picker in GRIN]]="","",Master[[#This Row],[Taxon -Lookup Picker in GRIN]])</f>
        <v>Achillea millefolium</v>
      </c>
      <c r="E135" s="1" t="str">
        <f>IF(Master[[#This Row],[Life Form -Lookup Picker]]="","",Master[[#This Row],[Life Form -Lookup Picker]])</f>
        <v/>
      </c>
      <c r="F135" s="1" t="str">
        <f>IF(Master[[#This Row],[Level of Improvement -Lookup Picker]]="","",Master[[#This Row],[Level of Improvement -Lookup Picker]])</f>
        <v>Wild material</v>
      </c>
      <c r="G135" s="1" t="str">
        <f>IF(Master[[#This Row],[Reproductive Uniformity -Lookup Picker]]="","",Master[[#This Row],[Reproductive Uniformity -Lookup Picker]])</f>
        <v/>
      </c>
      <c r="H135" s="11" t="str">
        <f>IF(Master[[#This Row],[Inventory Type - Lookup Picker]]="","",Master[[#This Row],[Inventory Type - Lookup Picker]])</f>
        <v>SD</v>
      </c>
      <c r="I135" s="149" t="str">
        <f t="shared" si="4"/>
        <v>mm/dd/yyyy</v>
      </c>
      <c r="J135" s="148">
        <f>Master[[#This Row],[Received Date -received by site]]</f>
        <v>44466</v>
      </c>
      <c r="K135" s="42" t="str">
        <f>IF(Master[[#This Row],[Note (Accession Narrative)]]="","",Master[[#This Row],[Note (Accession Narrative)]])</f>
        <v>Average height of voucher specimens collected as 32cm. Stem hirsute. Inforesence is an umbel with each indivdual flower having 5 white/cream petals. Found growing near a wet meadow.</v>
      </c>
    </row>
    <row r="136" spans="1:11" ht="15.75" x14ac:dyDescent="0.25">
      <c r="A136" s="1"/>
      <c r="B136" s="1" t="str">
        <f>IF(Master[[#This Row],[Accession Prefix (NPGS)]]="","",Master[[#This Row],[Accession Prefix (NPGS)]])</f>
        <v>W6</v>
      </c>
      <c r="C136" s="64">
        <f>IF(Master[[#This Row],[Accession Number -Assigned]]="","",Master[[#This Row],[Accession Number -Assigned]])</f>
        <v>59722</v>
      </c>
      <c r="D136" s="114" t="str">
        <f>IF(Master[[#This Row],[Taxon -Lookup Picker in GRIN]]="","",Master[[#This Row],[Taxon -Lookup Picker in GRIN]])</f>
        <v>Achillea millefolium</v>
      </c>
      <c r="E136" s="1" t="str">
        <f>IF(Master[[#This Row],[Life Form -Lookup Picker]]="","",Master[[#This Row],[Life Form -Lookup Picker]])</f>
        <v/>
      </c>
      <c r="F136" s="1" t="str">
        <f>IF(Master[[#This Row],[Level of Improvement -Lookup Picker]]="","",Master[[#This Row],[Level of Improvement -Lookup Picker]])</f>
        <v>Wild material</v>
      </c>
      <c r="G136" s="1" t="str">
        <f>IF(Master[[#This Row],[Reproductive Uniformity -Lookup Picker]]="","",Master[[#This Row],[Reproductive Uniformity -Lookup Picker]])</f>
        <v/>
      </c>
      <c r="H136" s="11" t="str">
        <f>IF(Master[[#This Row],[Inventory Type - Lookup Picker]]="","",Master[[#This Row],[Inventory Type - Lookup Picker]])</f>
        <v>SD</v>
      </c>
      <c r="I136" s="149" t="str">
        <f t="shared" si="4"/>
        <v>mm/dd/yyyy</v>
      </c>
      <c r="J136" s="148">
        <f>Master[[#This Row],[Received Date -received by site]]</f>
        <v>44466</v>
      </c>
      <c r="K136" s="42" t="str">
        <f>IF(Master[[#This Row],[Note (Accession Narrative)]]="","",Master[[#This Row],[Note (Accession Narrative)]])</f>
        <v>In fruit. When plant is in flower, it is made up of an umbelled cluster of 5 petaled white to cream flowers. Leaves are mostly basal, though few smaller ones grow along the upper stem.</v>
      </c>
    </row>
    <row r="137" spans="1:11" ht="15.75" x14ac:dyDescent="0.25">
      <c r="A137" s="1"/>
      <c r="B137" s="1" t="str">
        <f>IF(Master[[#This Row],[Accession Prefix (NPGS)]]="","",Master[[#This Row],[Accession Prefix (NPGS)]])</f>
        <v>W6</v>
      </c>
      <c r="C137" s="64">
        <f>IF(Master[[#This Row],[Accession Number -Assigned]]="","",Master[[#This Row],[Accession Number -Assigned]])</f>
        <v>59723</v>
      </c>
      <c r="D137" s="114" t="str">
        <f>IF(Master[[#This Row],[Taxon -Lookup Picker in GRIN]]="","",Master[[#This Row],[Taxon -Lookup Picker in GRIN]])</f>
        <v>Phacelia hastata</v>
      </c>
      <c r="E137" s="1" t="str">
        <f>IF(Master[[#This Row],[Life Form -Lookup Picker]]="","",Master[[#This Row],[Life Form -Lookup Picker]])</f>
        <v/>
      </c>
      <c r="F137" s="1" t="str">
        <f>IF(Master[[#This Row],[Level of Improvement -Lookup Picker]]="","",Master[[#This Row],[Level of Improvement -Lookup Picker]])</f>
        <v>Wild material</v>
      </c>
      <c r="G137" s="1" t="str">
        <f>IF(Master[[#This Row],[Reproductive Uniformity -Lookup Picker]]="","",Master[[#This Row],[Reproductive Uniformity -Lookup Picker]])</f>
        <v/>
      </c>
      <c r="H137" s="11" t="str">
        <f>IF(Master[[#This Row],[Inventory Type - Lookup Picker]]="","",Master[[#This Row],[Inventory Type - Lookup Picker]])</f>
        <v>SD</v>
      </c>
      <c r="I137" s="149" t="str">
        <f t="shared" si="4"/>
        <v>mm/dd/yyyy</v>
      </c>
      <c r="J137" s="148">
        <f>Master[[#This Row],[Received Date -received by site]]</f>
        <v>44466</v>
      </c>
      <c r="K137" s="42" t="str">
        <f>IF(Master[[#This Row],[Note (Accession Narrative)]]="","",Master[[#This Row],[Note (Accession Narrative)]])</f>
        <v>In fruit on E slopes. Leaves are deeply veined with hairs, giving a silver appearance. When in flower they are typically light purple, bell shaped and grow in a kind of spiral. Stamens are easy to see.</v>
      </c>
    </row>
    <row r="138" spans="1:11" ht="15.75" x14ac:dyDescent="0.25">
      <c r="A138" s="1"/>
      <c r="B138" s="1" t="str">
        <f>IF(Master[[#This Row],[Accession Prefix (NPGS)]]="","",Master[[#This Row],[Accession Prefix (NPGS)]])</f>
        <v>W6</v>
      </c>
      <c r="C138" s="64">
        <f>IF(Master[[#This Row],[Accession Number -Assigned]]="","",Master[[#This Row],[Accession Number -Assigned]])</f>
        <v>59724</v>
      </c>
      <c r="D138" s="114" t="str">
        <f>IF(Master[[#This Row],[Taxon -Lookup Picker in GRIN]]="","",Master[[#This Row],[Taxon -Lookup Picker in GRIN]])</f>
        <v>Penstemon procerus</v>
      </c>
      <c r="E138" s="1" t="str">
        <f>IF(Master[[#This Row],[Life Form -Lookup Picker]]="","",Master[[#This Row],[Life Form -Lookup Picker]])</f>
        <v/>
      </c>
      <c r="F138" s="1" t="str">
        <f>IF(Master[[#This Row],[Level of Improvement -Lookup Picker]]="","",Master[[#This Row],[Level of Improvement -Lookup Picker]])</f>
        <v>Wild material</v>
      </c>
      <c r="G138" s="1" t="str">
        <f>IF(Master[[#This Row],[Reproductive Uniformity -Lookup Picker]]="","",Master[[#This Row],[Reproductive Uniformity -Lookup Picker]])</f>
        <v/>
      </c>
      <c r="H138" s="11" t="str">
        <f>IF(Master[[#This Row],[Inventory Type - Lookup Picker]]="","",Master[[#This Row],[Inventory Type - Lookup Picker]])</f>
        <v>SD</v>
      </c>
      <c r="I138" s="149" t="str">
        <f t="shared" si="4"/>
        <v>mm/dd/yyyy</v>
      </c>
      <c r="J138" s="148">
        <f>Master[[#This Row],[Received Date -received by site]]</f>
        <v>44466</v>
      </c>
      <c r="K138" s="42" t="str">
        <f>IF(Master[[#This Row],[Note (Accession Narrative)]]="","",Master[[#This Row],[Note (Accession Narrative)]])</f>
        <v>In fruit. Growing most abundantly on E, NE slopes. When in flower the color is blue/purple with white inner throat. Flowers grow in clusters along upper part of the stem.</v>
      </c>
    </row>
    <row r="139" spans="1:11" ht="15.75" x14ac:dyDescent="0.25">
      <c r="A139" s="1"/>
      <c r="B139" s="1" t="str">
        <f>IF(Master[[#This Row],[Accession Prefix (NPGS)]]="","",Master[[#This Row],[Accession Prefix (NPGS)]])</f>
        <v>W6</v>
      </c>
      <c r="C139" s="64">
        <f>IF(Master[[#This Row],[Accession Number -Assigned]]="","",Master[[#This Row],[Accession Number -Assigned]])</f>
        <v>59725</v>
      </c>
      <c r="D139" s="114" t="str">
        <f>IF(Master[[#This Row],[Taxon -Lookup Picker in GRIN]]="","",Master[[#This Row],[Taxon -Lookup Picker in GRIN]])</f>
        <v>Achillea millefolium</v>
      </c>
      <c r="E139" s="1" t="str">
        <f>IF(Master[[#This Row],[Life Form -Lookup Picker]]="","",Master[[#This Row],[Life Form -Lookup Picker]])</f>
        <v/>
      </c>
      <c r="F139" s="1" t="str">
        <f>IF(Master[[#This Row],[Level of Improvement -Lookup Picker]]="","",Master[[#This Row],[Level of Improvement -Lookup Picker]])</f>
        <v>Wild material</v>
      </c>
      <c r="G139" s="1" t="str">
        <f>IF(Master[[#This Row],[Reproductive Uniformity -Lookup Picker]]="","",Master[[#This Row],[Reproductive Uniformity -Lookup Picker]])</f>
        <v/>
      </c>
      <c r="H139" s="11" t="str">
        <f>IF(Master[[#This Row],[Inventory Type - Lookup Picker]]="","",Master[[#This Row],[Inventory Type - Lookup Picker]])</f>
        <v>SD</v>
      </c>
      <c r="I139" s="149" t="str">
        <f t="shared" si="4"/>
        <v>mm/dd/yyyy</v>
      </c>
      <c r="J139" s="148">
        <f>Master[[#This Row],[Received Date -received by site]]</f>
        <v>44466</v>
      </c>
      <c r="K139" s="42" t="str">
        <f>IF(Master[[#This Row],[Note (Accession Narrative)]]="","",Master[[#This Row],[Note (Accession Narrative)]])</f>
        <v>In fruit. Leaves mostly basal, though some smaller ones are on upper parts of stem. Flowers are in an umbel cluster with 5 petals each, white/cream in color.</v>
      </c>
    </row>
    <row r="140" spans="1:11" ht="15.75" x14ac:dyDescent="0.25">
      <c r="A140" s="1"/>
      <c r="B140" s="1" t="str">
        <f>IF(Master[[#This Row],[Accession Prefix (NPGS)]]="","",Master[[#This Row],[Accession Prefix (NPGS)]])</f>
        <v>W6</v>
      </c>
      <c r="C140" s="64">
        <f>IF(Master[[#This Row],[Accession Number -Assigned]]="","",Master[[#This Row],[Accession Number -Assigned]])</f>
        <v>59726</v>
      </c>
      <c r="D140" s="114" t="str">
        <f>IF(Master[[#This Row],[Taxon -Lookup Picker in GRIN]]="","",Master[[#This Row],[Taxon -Lookup Picker in GRIN]])</f>
        <v>Achillea millefolium</v>
      </c>
      <c r="E140" s="1" t="str">
        <f>IF(Master[[#This Row],[Life Form -Lookup Picker]]="","",Master[[#This Row],[Life Form -Lookup Picker]])</f>
        <v/>
      </c>
      <c r="F140" s="1" t="str">
        <f>IF(Master[[#This Row],[Level of Improvement -Lookup Picker]]="","",Master[[#This Row],[Level of Improvement -Lookup Picker]])</f>
        <v>Wild material</v>
      </c>
      <c r="G140" s="1" t="str">
        <f>IF(Master[[#This Row],[Reproductive Uniformity -Lookup Picker]]="","",Master[[#This Row],[Reproductive Uniformity -Lookup Picker]])</f>
        <v/>
      </c>
      <c r="H140" s="11" t="str">
        <f>IF(Master[[#This Row],[Inventory Type - Lookup Picker]]="","",Master[[#This Row],[Inventory Type - Lookup Picker]])</f>
        <v>SD</v>
      </c>
      <c r="I140" s="149" t="str">
        <f t="shared" si="4"/>
        <v>mm/dd/yyyy</v>
      </c>
      <c r="J140" s="148">
        <f>Master[[#This Row],[Received Date -received by site]]</f>
        <v>44466</v>
      </c>
      <c r="K140" s="42" t="str">
        <f>IF(Master[[#This Row],[Note (Accession Narrative)]]="","",Master[[#This Row],[Note (Accession Narrative)]])</f>
        <v>In fruit. Leaves mostly basal, though some smaller ones are on upper parts of stem. Flowers are in an umbel cluster with 5 petals each, white/cream in color.</v>
      </c>
    </row>
    <row r="141" spans="1:11" ht="15.75" x14ac:dyDescent="0.25">
      <c r="A141" s="1"/>
      <c r="B141" s="1" t="str">
        <f>IF(Master[[#This Row],[Accession Prefix (NPGS)]]="","",Master[[#This Row],[Accession Prefix (NPGS)]])</f>
        <v>W6</v>
      </c>
      <c r="C141" s="64">
        <f>IF(Master[[#This Row],[Accession Number -Assigned]]="","",Master[[#This Row],[Accession Number -Assigned]])</f>
        <v>59727</v>
      </c>
      <c r="D141" s="114" t="str">
        <f>IF(Master[[#This Row],[Taxon -Lookup Picker in GRIN]]="","",Master[[#This Row],[Taxon -Lookup Picker in GRIN]])</f>
        <v>Symphyotrichum ascendens</v>
      </c>
      <c r="E141" s="1" t="str">
        <f>IF(Master[[#This Row],[Life Form -Lookup Picker]]="","",Master[[#This Row],[Life Form -Lookup Picker]])</f>
        <v/>
      </c>
      <c r="F141" s="1" t="str">
        <f>IF(Master[[#This Row],[Level of Improvement -Lookup Picker]]="","",Master[[#This Row],[Level of Improvement -Lookup Picker]])</f>
        <v>Wild material</v>
      </c>
      <c r="G141" s="1" t="str">
        <f>IF(Master[[#This Row],[Reproductive Uniformity -Lookup Picker]]="","",Master[[#This Row],[Reproductive Uniformity -Lookup Picker]])</f>
        <v/>
      </c>
      <c r="H141" s="11" t="str">
        <f>IF(Master[[#This Row],[Inventory Type - Lookup Picker]]="","",Master[[#This Row],[Inventory Type - Lookup Picker]])</f>
        <v>SD</v>
      </c>
      <c r="I141" s="149" t="str">
        <f t="shared" si="4"/>
        <v>mm/dd/yyyy</v>
      </c>
      <c r="J141" s="148">
        <f>Master[[#This Row],[Received Date -received by site]]</f>
        <v>44466</v>
      </c>
      <c r="K141" s="42" t="str">
        <f>IF(Master[[#This Row],[Note (Accession Narrative)]]="","",Master[[#This Row],[Note (Accession Narrative)]])</f>
        <v>Mostly in fruit, some still flowering. Hairs present on stem and leaf margins. Spinulous tip on leaves and involucre bracts. Involucre bracts obtuse. Ray flowers light lavender.</v>
      </c>
    </row>
    <row r="142" spans="1:11" ht="15.75" x14ac:dyDescent="0.25">
      <c r="A142" s="1"/>
      <c r="B142" s="1" t="str">
        <f>IF(Master[[#This Row],[Accession Prefix (NPGS)]]="","",Master[[#This Row],[Accession Prefix (NPGS)]])</f>
        <v>W6</v>
      </c>
      <c r="C142" s="64">
        <f>IF(Master[[#This Row],[Accession Number -Assigned]]="","",Master[[#This Row],[Accession Number -Assigned]])</f>
        <v>59728</v>
      </c>
      <c r="D142" s="114" t="str">
        <f>IF(Master[[#This Row],[Taxon -Lookup Picker in GRIN]]="","",Master[[#This Row],[Taxon -Lookup Picker in GRIN]])</f>
        <v>Symphyotrichum ascendens</v>
      </c>
      <c r="E142" s="1" t="str">
        <f>IF(Master[[#This Row],[Life Form -Lookup Picker]]="","",Master[[#This Row],[Life Form -Lookup Picker]])</f>
        <v/>
      </c>
      <c r="F142" s="1" t="str">
        <f>IF(Master[[#This Row],[Level of Improvement -Lookup Picker]]="","",Master[[#This Row],[Level of Improvement -Lookup Picker]])</f>
        <v>Wild material</v>
      </c>
      <c r="G142" s="1" t="str">
        <f>IF(Master[[#This Row],[Reproductive Uniformity -Lookup Picker]]="","",Master[[#This Row],[Reproductive Uniformity -Lookup Picker]])</f>
        <v/>
      </c>
      <c r="H142" s="11" t="str">
        <f>IF(Master[[#This Row],[Inventory Type - Lookup Picker]]="","",Master[[#This Row],[Inventory Type - Lookup Picker]])</f>
        <v>SD</v>
      </c>
      <c r="I142" s="149" t="str">
        <f t="shared" si="4"/>
        <v>mm/dd/yyyy</v>
      </c>
      <c r="J142" s="148">
        <f>Master[[#This Row],[Received Date -received by site]]</f>
        <v>44466</v>
      </c>
      <c r="K142" s="42" t="str">
        <f>IF(Master[[#This Row],[Note (Accession Narrative)]]="","",Master[[#This Row],[Note (Accession Narrative)]])</f>
        <v>Mostly in fruit, some still flowering. Hairs present on stem and leaf margins. Spinulous tip on leaves and involucre bracts. Involucre bracts obtuse. Ray flowers light lavender.</v>
      </c>
    </row>
    <row r="143" spans="1:11" ht="15.75" x14ac:dyDescent="0.25">
      <c r="A143" s="1"/>
      <c r="B143" s="1" t="str">
        <f>IF(Master[[#This Row],[Accession Prefix (NPGS)]]="","",Master[[#This Row],[Accession Prefix (NPGS)]])</f>
        <v>W6</v>
      </c>
      <c r="C143" s="64">
        <f>IF(Master[[#This Row],[Accession Number -Assigned]]="","",Master[[#This Row],[Accession Number -Assigned]])</f>
        <v>59729</v>
      </c>
      <c r="D143" s="114" t="str">
        <f>IF(Master[[#This Row],[Taxon -Lookup Picker in GRIN]]="","",Master[[#This Row],[Taxon -Lookup Picker in GRIN]])</f>
        <v>Achillea millefolium</v>
      </c>
      <c r="E143" s="1" t="str">
        <f>IF(Master[[#This Row],[Life Form -Lookup Picker]]="","",Master[[#This Row],[Life Form -Lookup Picker]])</f>
        <v/>
      </c>
      <c r="F143" s="1" t="str">
        <f>IF(Master[[#This Row],[Level of Improvement -Lookup Picker]]="","",Master[[#This Row],[Level of Improvement -Lookup Picker]])</f>
        <v>Wild material</v>
      </c>
      <c r="G143" s="1" t="str">
        <f>IF(Master[[#This Row],[Reproductive Uniformity -Lookup Picker]]="","",Master[[#This Row],[Reproductive Uniformity -Lookup Picker]])</f>
        <v/>
      </c>
      <c r="H143" s="11" t="str">
        <f>IF(Master[[#This Row],[Inventory Type - Lookup Picker]]="","",Master[[#This Row],[Inventory Type - Lookup Picker]])</f>
        <v>SD</v>
      </c>
      <c r="I143" s="149" t="str">
        <f t="shared" si="4"/>
        <v>mm/dd/yyyy</v>
      </c>
      <c r="J143" s="148">
        <f>Master[[#This Row],[Received Date -received by site]]</f>
        <v>44466</v>
      </c>
      <c r="K143" s="42" t="str">
        <f>IF(Master[[#This Row],[Note (Accession Narrative)]]="","",Master[[#This Row],[Note (Accession Narrative)]])</f>
        <v>In fruit. Leaves mostly basal, though some smaller ones are on upper parts of stem. Flowers are in an umbel cluster with 5 petals each, white/cream in color.</v>
      </c>
    </row>
    <row r="144" spans="1:11" ht="15.75" x14ac:dyDescent="0.25">
      <c r="A144" s="1"/>
      <c r="B144" s="1" t="str">
        <f>IF(Master[[#This Row],[Accession Prefix (NPGS)]]="","",Master[[#This Row],[Accession Prefix (NPGS)]])</f>
        <v>W6</v>
      </c>
      <c r="C144" s="64">
        <f>IF(Master[[#This Row],[Accession Number -Assigned]]="","",Master[[#This Row],[Accession Number -Assigned]])</f>
        <v>59730</v>
      </c>
      <c r="D144" s="114" t="str">
        <f>IF(Master[[#This Row],[Taxon -Lookup Picker in GRIN]]="","",Master[[#This Row],[Taxon -Lookup Picker in GRIN]])</f>
        <v>Symphyotrichum ascendens</v>
      </c>
      <c r="E144" s="1" t="str">
        <f>IF(Master[[#This Row],[Life Form -Lookup Picker]]="","",Master[[#This Row],[Life Form -Lookup Picker]])</f>
        <v/>
      </c>
      <c r="F144" s="1" t="str">
        <f>IF(Master[[#This Row],[Level of Improvement -Lookup Picker]]="","",Master[[#This Row],[Level of Improvement -Lookup Picker]])</f>
        <v>Wild material</v>
      </c>
      <c r="G144" s="1" t="str">
        <f>IF(Master[[#This Row],[Reproductive Uniformity -Lookup Picker]]="","",Master[[#This Row],[Reproductive Uniformity -Lookup Picker]])</f>
        <v/>
      </c>
      <c r="H144" s="11" t="str">
        <f>IF(Master[[#This Row],[Inventory Type - Lookup Picker]]="","",Master[[#This Row],[Inventory Type - Lookup Picker]])</f>
        <v>SD</v>
      </c>
      <c r="I144" s="149" t="str">
        <f t="shared" si="4"/>
        <v>mm/dd/yyyy</v>
      </c>
      <c r="J144" s="148">
        <f>Master[[#This Row],[Received Date -received by site]]</f>
        <v>44466</v>
      </c>
      <c r="K144" s="42" t="str">
        <f>IF(Master[[#This Row],[Note (Accession Narrative)]]="","",Master[[#This Row],[Note (Accession Narrative)]])</f>
        <v>In fruit and flower. Ray flowers are light purple. Phyllaries obtuse. Leaves longer than they are wide. Leaf and phyllary spinulose tipped.</v>
      </c>
    </row>
    <row r="145" spans="1:11" ht="15.75" x14ac:dyDescent="0.25">
      <c r="A145" s="1"/>
      <c r="B145" s="1" t="str">
        <f>IF(Master[[#This Row],[Accession Prefix (NPGS)]]="","",Master[[#This Row],[Accession Prefix (NPGS)]])</f>
        <v>W6</v>
      </c>
      <c r="C145" s="64">
        <f>IF(Master[[#This Row],[Accession Number -Assigned]]="","",Master[[#This Row],[Accession Number -Assigned]])</f>
        <v>59731</v>
      </c>
      <c r="D145" s="114" t="str">
        <f>IF(Master[[#This Row],[Taxon -Lookup Picker in GRIN]]="","",Master[[#This Row],[Taxon -Lookup Picker in GRIN]])</f>
        <v>Achillea millefolium</v>
      </c>
      <c r="E145" s="1" t="str">
        <f>IF(Master[[#This Row],[Life Form -Lookup Picker]]="","",Master[[#This Row],[Life Form -Lookup Picker]])</f>
        <v/>
      </c>
      <c r="F145" s="1" t="str">
        <f>IF(Master[[#This Row],[Level of Improvement -Lookup Picker]]="","",Master[[#This Row],[Level of Improvement -Lookup Picker]])</f>
        <v>Wild material</v>
      </c>
      <c r="G145" s="1" t="str">
        <f>IF(Master[[#This Row],[Reproductive Uniformity -Lookup Picker]]="","",Master[[#This Row],[Reproductive Uniformity -Lookup Picker]])</f>
        <v/>
      </c>
      <c r="H145" s="11" t="str">
        <f>IF(Master[[#This Row],[Inventory Type - Lookup Picker]]="","",Master[[#This Row],[Inventory Type - Lookup Picker]])</f>
        <v>SD</v>
      </c>
      <c r="I145" s="149" t="str">
        <f t="shared" si="4"/>
        <v>mm/dd/yyyy</v>
      </c>
      <c r="J145" s="148">
        <f>Master[[#This Row],[Received Date -received by site]]</f>
        <v>44466</v>
      </c>
      <c r="K145" s="42" t="str">
        <f>IF(Master[[#This Row],[Note (Accession Narrative)]]="","",Master[[#This Row],[Note (Accession Narrative)]])</f>
        <v>In fruit at time of collection. When in flower, leaves are mostly basal with some on upper stem. Leaf is lacey. Infloresence is a cluster of 5 petaled white to cream colored flowers in an umbel.</v>
      </c>
    </row>
    <row r="146" spans="1:11" ht="15.75" x14ac:dyDescent="0.25">
      <c r="A146" s="1"/>
      <c r="B146" s="1" t="str">
        <f>IF(Master[[#This Row],[Accession Prefix (NPGS)]]="","",Master[[#This Row],[Accession Prefix (NPGS)]])</f>
        <v>W6</v>
      </c>
      <c r="C146" s="64">
        <f>IF(Master[[#This Row],[Accession Number -Assigned]]="","",Master[[#This Row],[Accession Number -Assigned]])</f>
        <v>59732</v>
      </c>
      <c r="D146" s="114" t="str">
        <f>IF(Master[[#This Row],[Taxon -Lookup Picker in GRIN]]="","",Master[[#This Row],[Taxon -Lookup Picker in GRIN]])</f>
        <v>Achillea millefolium</v>
      </c>
      <c r="E146" s="1" t="str">
        <f>IF(Master[[#This Row],[Life Form -Lookup Picker]]="","",Master[[#This Row],[Life Form -Lookup Picker]])</f>
        <v/>
      </c>
      <c r="F146" s="1" t="str">
        <f>IF(Master[[#This Row],[Level of Improvement -Lookup Picker]]="","",Master[[#This Row],[Level of Improvement -Lookup Picker]])</f>
        <v>Wild material</v>
      </c>
      <c r="G146" s="1" t="str">
        <f>IF(Master[[#This Row],[Reproductive Uniformity -Lookup Picker]]="","",Master[[#This Row],[Reproductive Uniformity -Lookup Picker]])</f>
        <v/>
      </c>
      <c r="H146" s="11" t="str">
        <f>IF(Master[[#This Row],[Inventory Type - Lookup Picker]]="","",Master[[#This Row],[Inventory Type - Lookup Picker]])</f>
        <v>SD</v>
      </c>
      <c r="I146" s="149" t="str">
        <f t="shared" si="4"/>
        <v>mm/dd/yyyy</v>
      </c>
      <c r="J146" s="148">
        <f>Master[[#This Row],[Received Date -received by site]]</f>
        <v>44466</v>
      </c>
      <c r="K146" s="42" t="str">
        <f>IF(Master[[#This Row],[Note (Accession Narrative)]]="","",Master[[#This Row],[Note (Accession Narrative)]])</f>
        <v>Mostly in fruit though a few in flower. Leaves typically basal, smaller ones can be further up the stem. Infloresence is an umbel cluster of white/cream colored flowers each with 5 petals.</v>
      </c>
    </row>
    <row r="147" spans="1:11" ht="15.75" x14ac:dyDescent="0.25">
      <c r="A147" s="1"/>
      <c r="B147" s="1" t="str">
        <f>IF(Master[[#This Row],[Accession Prefix (NPGS)]]="","",Master[[#This Row],[Accession Prefix (NPGS)]])</f>
        <v>W6</v>
      </c>
      <c r="C147" s="64">
        <f>IF(Master[[#This Row],[Accession Number -Assigned]]="","",Master[[#This Row],[Accession Number -Assigned]])</f>
        <v>59733</v>
      </c>
      <c r="D147" s="114" t="str">
        <f>IF(Master[[#This Row],[Taxon -Lookup Picker in GRIN]]="","",Master[[#This Row],[Taxon -Lookup Picker in GRIN]])</f>
        <v>Penstemon procerus</v>
      </c>
      <c r="E147" s="1" t="str">
        <f>IF(Master[[#This Row],[Life Form -Lookup Picker]]="","",Master[[#This Row],[Life Form -Lookup Picker]])</f>
        <v/>
      </c>
      <c r="F147" s="1" t="str">
        <f>IF(Master[[#This Row],[Level of Improvement -Lookup Picker]]="","",Master[[#This Row],[Level of Improvement -Lookup Picker]])</f>
        <v>Wild material</v>
      </c>
      <c r="G147" s="1" t="str">
        <f>IF(Master[[#This Row],[Reproductive Uniformity -Lookup Picker]]="","",Master[[#This Row],[Reproductive Uniformity -Lookup Picker]])</f>
        <v/>
      </c>
      <c r="H147" s="11" t="str">
        <f>IF(Master[[#This Row],[Inventory Type - Lookup Picker]]="","",Master[[#This Row],[Inventory Type - Lookup Picker]])</f>
        <v>SD</v>
      </c>
      <c r="I147" s="149" t="str">
        <f t="shared" si="4"/>
        <v>mm/dd/yyyy</v>
      </c>
      <c r="J147" s="148">
        <f>Master[[#This Row],[Received Date -received by site]]</f>
        <v>44466</v>
      </c>
      <c r="K147" s="42" t="str">
        <f>IF(Master[[#This Row],[Note (Accession Narrative)]]="","",Master[[#This Row],[Note (Accession Narrative)]])</f>
        <v>In fruit. Growing on E slopes. When in flower the color is blue/purple with white inner throat. Flowers grow in clusters along upper part of the stem.</v>
      </c>
    </row>
    <row r="148" spans="1:11" ht="15.75" x14ac:dyDescent="0.25">
      <c r="A148" s="1"/>
      <c r="B148" s="1" t="str">
        <f>IF(Master[[#This Row],[Accession Prefix (NPGS)]]="","",Master[[#This Row],[Accession Prefix (NPGS)]])</f>
        <v>W6</v>
      </c>
      <c r="C148" s="64">
        <f>IF(Master[[#This Row],[Accession Number -Assigned]]="","",Master[[#This Row],[Accession Number -Assigned]])</f>
        <v>59734</v>
      </c>
      <c r="D148" s="114" t="str">
        <f>IF(Master[[#This Row],[Taxon -Lookup Picker in GRIN]]="","",Master[[#This Row],[Taxon -Lookup Picker in GRIN]])</f>
        <v>Eriogonum umbellatum</v>
      </c>
      <c r="E148" s="1" t="str">
        <f>IF(Master[[#This Row],[Life Form -Lookup Picker]]="","",Master[[#This Row],[Life Form -Lookup Picker]])</f>
        <v/>
      </c>
      <c r="F148" s="1" t="str">
        <f>IF(Master[[#This Row],[Level of Improvement -Lookup Picker]]="","",Master[[#This Row],[Level of Improvement -Lookup Picker]])</f>
        <v>Wild material</v>
      </c>
      <c r="G148" s="1" t="str">
        <f>IF(Master[[#This Row],[Reproductive Uniformity -Lookup Picker]]="","",Master[[#This Row],[Reproductive Uniformity -Lookup Picker]])</f>
        <v/>
      </c>
      <c r="H148" s="11" t="str">
        <f>IF(Master[[#This Row],[Inventory Type - Lookup Picker]]="","",Master[[#This Row],[Inventory Type - Lookup Picker]])</f>
        <v>SD</v>
      </c>
      <c r="I148" s="149" t="str">
        <f t="shared" si="4"/>
        <v>mm/dd/yyyy</v>
      </c>
      <c r="J148" s="148">
        <f>Master[[#This Row],[Received Date -received by site]]</f>
        <v>44466</v>
      </c>
      <c r="K148" s="42" t="str">
        <f>IF(Master[[#This Row],[Note (Accession Narrative)]]="","",Master[[#This Row],[Note (Accession Narrative)]])</f>
        <v>Umbel inflorescence with cream and pink flowers. Leaves green and sometimes reddish. Mat forming.</v>
      </c>
    </row>
    <row r="149" spans="1:11" ht="15.75" x14ac:dyDescent="0.25">
      <c r="A149" s="1"/>
      <c r="B149" s="1" t="str">
        <f>IF(Master[[#This Row],[Accession Prefix (NPGS)]]="","",Master[[#This Row],[Accession Prefix (NPGS)]])</f>
        <v>W6</v>
      </c>
      <c r="C149" s="64">
        <f>IF(Master[[#This Row],[Accession Number -Assigned]]="","",Master[[#This Row],[Accession Number -Assigned]])</f>
        <v>59735</v>
      </c>
      <c r="D149" s="114" t="str">
        <f>IF(Master[[#This Row],[Taxon -Lookup Picker in GRIN]]="","",Master[[#This Row],[Taxon -Lookup Picker in GRIN]])</f>
        <v>Achnatherum hymenoides</v>
      </c>
      <c r="E149" s="1" t="str">
        <f>IF(Master[[#This Row],[Life Form -Lookup Picker]]="","",Master[[#This Row],[Life Form -Lookup Picker]])</f>
        <v/>
      </c>
      <c r="F149" s="1" t="str">
        <f>IF(Master[[#This Row],[Level of Improvement -Lookup Picker]]="","",Master[[#This Row],[Level of Improvement -Lookup Picker]])</f>
        <v>Wild material</v>
      </c>
      <c r="G149" s="1" t="str">
        <f>IF(Master[[#This Row],[Reproductive Uniformity -Lookup Picker]]="","",Master[[#This Row],[Reproductive Uniformity -Lookup Picker]])</f>
        <v/>
      </c>
      <c r="H149" s="11" t="str">
        <f>IF(Master[[#This Row],[Inventory Type - Lookup Picker]]="","",Master[[#This Row],[Inventory Type - Lookup Picker]])</f>
        <v>SD</v>
      </c>
      <c r="I149" s="149" t="str">
        <f t="shared" si="4"/>
        <v>mm/dd/yyyy</v>
      </c>
      <c r="J149" s="148">
        <f>Master[[#This Row],[Received Date -received by site]]</f>
        <v>44466</v>
      </c>
      <c r="K149" s="42" t="str">
        <f>IF(Master[[#This Row],[Note (Accession Narrative)]]="","",Master[[#This Row],[Note (Accession Narrative)]])</f>
        <v>Bunchgrass, almost forming a circle with leaves appearing to grow from center. Panicle seed head. Leaf blades rolled. Sheath open, auricles absent, ligule membranous.</v>
      </c>
    </row>
    <row r="150" spans="1:11" ht="15.75" x14ac:dyDescent="0.25">
      <c r="A150" s="1"/>
      <c r="B150" s="1" t="str">
        <f>IF(Master[[#This Row],[Accession Prefix (NPGS)]]="","",Master[[#This Row],[Accession Prefix (NPGS)]])</f>
        <v>W6</v>
      </c>
      <c r="C150" s="64">
        <f>IF(Master[[#This Row],[Accession Number -Assigned]]="","",Master[[#This Row],[Accession Number -Assigned]])</f>
        <v>59736</v>
      </c>
      <c r="D150" s="114" t="str">
        <f>IF(Master[[#This Row],[Taxon -Lookup Picker in GRIN]]="","",Master[[#This Row],[Taxon -Lookup Picker in GRIN]])</f>
        <v>Achillea millefolium</v>
      </c>
      <c r="E150" s="1" t="str">
        <f>IF(Master[[#This Row],[Life Form -Lookup Picker]]="","",Master[[#This Row],[Life Form -Lookup Picker]])</f>
        <v/>
      </c>
      <c r="F150" s="1" t="str">
        <f>IF(Master[[#This Row],[Level of Improvement -Lookup Picker]]="","",Master[[#This Row],[Level of Improvement -Lookup Picker]])</f>
        <v>Wild material</v>
      </c>
      <c r="G150" s="1" t="str">
        <f>IF(Master[[#This Row],[Reproductive Uniformity -Lookup Picker]]="","",Master[[#This Row],[Reproductive Uniformity -Lookup Picker]])</f>
        <v/>
      </c>
      <c r="H150" s="11" t="str">
        <f>IF(Master[[#This Row],[Inventory Type - Lookup Picker]]="","",Master[[#This Row],[Inventory Type - Lookup Picker]])</f>
        <v>SD</v>
      </c>
      <c r="I150" s="149" t="str">
        <f t="shared" ref="I150:I181" si="5">"mm/dd/yyyy"</f>
        <v>mm/dd/yyyy</v>
      </c>
      <c r="J150" s="148">
        <f>Master[[#This Row],[Received Date -received by site]]</f>
        <v>44466</v>
      </c>
      <c r="K150" s="42" t="str">
        <f>IF(Master[[#This Row],[Note (Accession Narrative)]]="","",Master[[#This Row],[Note (Accession Narrative)]])</f>
        <v>In fruit. When in flower leaves basal, some smaller leaves toward top of stem. Flowers are a clustered umbel. Individual flowers are 5 petaled, white/cream in color.</v>
      </c>
    </row>
    <row r="151" spans="1:11" ht="15.75" x14ac:dyDescent="0.25">
      <c r="A151" s="1"/>
      <c r="B151" s="1" t="str">
        <f>IF(Master[[#This Row],[Accession Prefix (NPGS)]]="","",Master[[#This Row],[Accession Prefix (NPGS)]])</f>
        <v>W6</v>
      </c>
      <c r="C151" s="64">
        <f>IF(Master[[#This Row],[Accession Number -Assigned]]="","",Master[[#This Row],[Accession Number -Assigned]])</f>
        <v>59737</v>
      </c>
      <c r="D151" s="114" t="str">
        <f>IF(Master[[#This Row],[Taxon -Lookup Picker in GRIN]]="","",Master[[#This Row],[Taxon -Lookup Picker in GRIN]])</f>
        <v>Eriogonum umbellatum</v>
      </c>
      <c r="E151" s="1" t="str">
        <f>IF(Master[[#This Row],[Life Form -Lookup Picker]]="","",Master[[#This Row],[Life Form -Lookup Picker]])</f>
        <v/>
      </c>
      <c r="F151" s="1" t="str">
        <f>IF(Master[[#This Row],[Level of Improvement -Lookup Picker]]="","",Master[[#This Row],[Level of Improvement -Lookup Picker]])</f>
        <v>Wild material</v>
      </c>
      <c r="G151" s="1" t="str">
        <f>IF(Master[[#This Row],[Reproductive Uniformity -Lookup Picker]]="","",Master[[#This Row],[Reproductive Uniformity -Lookup Picker]])</f>
        <v/>
      </c>
      <c r="H151" s="11" t="str">
        <f>IF(Master[[#This Row],[Inventory Type - Lookup Picker]]="","",Master[[#This Row],[Inventory Type - Lookup Picker]])</f>
        <v>SD</v>
      </c>
      <c r="I151" s="149" t="str">
        <f t="shared" si="5"/>
        <v>mm/dd/yyyy</v>
      </c>
      <c r="J151" s="148">
        <f>Master[[#This Row],[Received Date -received by site]]</f>
        <v>44466</v>
      </c>
      <c r="K151" s="42" t="str">
        <f>IF(Master[[#This Row],[Note (Accession Narrative)]]="","",Master[[#This Row],[Note (Accession Narrative)]])</f>
        <v>Umbel inflorescence with cream and pink flowers. Leaves green and sometimes reddish. Mat forming.</v>
      </c>
    </row>
    <row r="152" spans="1:11" ht="15.75" x14ac:dyDescent="0.25">
      <c r="A152" s="1"/>
      <c r="B152" s="1" t="str">
        <f>IF(Master[[#This Row],[Accession Prefix (NPGS)]]="","",Master[[#This Row],[Accession Prefix (NPGS)]])</f>
        <v/>
      </c>
      <c r="C152" s="64" t="str">
        <f>IF(Master[[#This Row],[Accession Number -Assigned]]="","",Master[[#This Row],[Accession Number -Assigned]])</f>
        <v/>
      </c>
      <c r="D152" s="114" t="str">
        <f>IF(Master[[#This Row],[Taxon -Lookup Picker in GRIN]]="","",Master[[#This Row],[Taxon -Lookup Picker in GRIN]])</f>
        <v/>
      </c>
      <c r="E152" s="1" t="str">
        <f>IF(Master[[#This Row],[Life Form -Lookup Picker]]="","",Master[[#This Row],[Life Form -Lookup Picker]])</f>
        <v/>
      </c>
      <c r="F152" s="1" t="str">
        <f>IF(Master[[#This Row],[Level of Improvement -Lookup Picker]]="","",Master[[#This Row],[Level of Improvement -Lookup Picker]])</f>
        <v/>
      </c>
      <c r="G152" s="1" t="str">
        <f>IF(Master[[#This Row],[Reproductive Uniformity -Lookup Picker]]="","",Master[[#This Row],[Reproductive Uniformity -Lookup Picker]])</f>
        <v/>
      </c>
      <c r="H152" s="11" t="str">
        <f>IF(Master[[#This Row],[Inventory Type - Lookup Picker]]="","",Master[[#This Row],[Inventory Type - Lookup Picker]])</f>
        <v/>
      </c>
      <c r="I152" s="149" t="str">
        <f t="shared" si="5"/>
        <v>mm/dd/yyyy</v>
      </c>
      <c r="J152" s="148">
        <f>Master[[#This Row],[Received Date -received by site]]</f>
        <v>0</v>
      </c>
      <c r="K152" s="42" t="str">
        <f>IF(Master[[#This Row],[Note (Accession Narrative)]]="","",Master[[#This Row],[Note (Accession Narrative)]])</f>
        <v/>
      </c>
    </row>
    <row r="153" spans="1:11" ht="15.75" x14ac:dyDescent="0.25">
      <c r="A153" s="1"/>
      <c r="B153" s="1" t="str">
        <f>IF(Master[[#This Row],[Accession Prefix (NPGS)]]="","",Master[[#This Row],[Accession Prefix (NPGS)]])</f>
        <v/>
      </c>
      <c r="C153" s="64" t="str">
        <f>IF(Master[[#This Row],[Accession Number -Assigned]]="","",Master[[#This Row],[Accession Number -Assigned]])</f>
        <v/>
      </c>
      <c r="D153" s="114" t="str">
        <f>IF(Master[[#This Row],[Taxon -Lookup Picker in GRIN]]="","",Master[[#This Row],[Taxon -Lookup Picker in GRIN]])</f>
        <v/>
      </c>
      <c r="E153" s="1" t="str">
        <f>IF(Master[[#This Row],[Life Form -Lookup Picker]]="","",Master[[#This Row],[Life Form -Lookup Picker]])</f>
        <v/>
      </c>
      <c r="F153" s="1" t="str">
        <f>IF(Master[[#This Row],[Level of Improvement -Lookup Picker]]="","",Master[[#This Row],[Level of Improvement -Lookup Picker]])</f>
        <v/>
      </c>
      <c r="G153" s="1" t="str">
        <f>IF(Master[[#This Row],[Reproductive Uniformity -Lookup Picker]]="","",Master[[#This Row],[Reproductive Uniformity -Lookup Picker]])</f>
        <v/>
      </c>
      <c r="H153" s="11" t="str">
        <f>IF(Master[[#This Row],[Inventory Type - Lookup Picker]]="","",Master[[#This Row],[Inventory Type - Lookup Picker]])</f>
        <v/>
      </c>
      <c r="I153" s="149" t="str">
        <f t="shared" si="5"/>
        <v>mm/dd/yyyy</v>
      </c>
      <c r="J153" s="148">
        <f>Master[[#This Row],[Received Date -received by site]]</f>
        <v>0</v>
      </c>
      <c r="K153" s="42" t="str">
        <f>IF(Master[[#This Row],[Note (Accession Narrative)]]="","",Master[[#This Row],[Note (Accession Narrative)]])</f>
        <v/>
      </c>
    </row>
    <row r="154" spans="1:11" ht="15.75" x14ac:dyDescent="0.25">
      <c r="A154" s="1"/>
      <c r="B154" s="1" t="str">
        <f>IF(Master[[#This Row],[Accession Prefix (NPGS)]]="","",Master[[#This Row],[Accession Prefix (NPGS)]])</f>
        <v/>
      </c>
      <c r="C154" s="64" t="str">
        <f>IF(Master[[#This Row],[Accession Number -Assigned]]="","",Master[[#This Row],[Accession Number -Assigned]])</f>
        <v/>
      </c>
      <c r="D154" s="114" t="str">
        <f>IF(Master[[#This Row],[Taxon -Lookup Picker in GRIN]]="","",Master[[#This Row],[Taxon -Lookup Picker in GRIN]])</f>
        <v/>
      </c>
      <c r="E154" s="1" t="str">
        <f>IF(Master[[#This Row],[Life Form -Lookup Picker]]="","",Master[[#This Row],[Life Form -Lookup Picker]])</f>
        <v/>
      </c>
      <c r="F154" s="1" t="str">
        <f>IF(Master[[#This Row],[Level of Improvement -Lookup Picker]]="","",Master[[#This Row],[Level of Improvement -Lookup Picker]])</f>
        <v/>
      </c>
      <c r="G154" s="1" t="str">
        <f>IF(Master[[#This Row],[Reproductive Uniformity -Lookup Picker]]="","",Master[[#This Row],[Reproductive Uniformity -Lookup Picker]])</f>
        <v/>
      </c>
      <c r="H154" s="11" t="str">
        <f>IF(Master[[#This Row],[Inventory Type - Lookup Picker]]="","",Master[[#This Row],[Inventory Type - Lookup Picker]])</f>
        <v/>
      </c>
      <c r="I154" s="149" t="str">
        <f t="shared" si="5"/>
        <v>mm/dd/yyyy</v>
      </c>
      <c r="J154" s="148">
        <f>Master[[#This Row],[Received Date -received by site]]</f>
        <v>0</v>
      </c>
      <c r="K154" s="42" t="str">
        <f>IF(Master[[#This Row],[Note (Accession Narrative)]]="","",Master[[#This Row],[Note (Accession Narrative)]])</f>
        <v/>
      </c>
    </row>
    <row r="155" spans="1:11" ht="15.75" x14ac:dyDescent="0.25">
      <c r="A155" s="1"/>
      <c r="B155" s="1" t="str">
        <f>IF(Master[[#This Row],[Accession Prefix (NPGS)]]="","",Master[[#This Row],[Accession Prefix (NPGS)]])</f>
        <v/>
      </c>
      <c r="C155" s="64" t="str">
        <f>IF(Master[[#This Row],[Accession Number -Assigned]]="","",Master[[#This Row],[Accession Number -Assigned]])</f>
        <v/>
      </c>
      <c r="D155" s="114" t="str">
        <f>IF(Master[[#This Row],[Taxon -Lookup Picker in GRIN]]="","",Master[[#This Row],[Taxon -Lookup Picker in GRIN]])</f>
        <v/>
      </c>
      <c r="E155" s="1" t="str">
        <f>IF(Master[[#This Row],[Life Form -Lookup Picker]]="","",Master[[#This Row],[Life Form -Lookup Picker]])</f>
        <v/>
      </c>
      <c r="F155" s="1" t="str">
        <f>IF(Master[[#This Row],[Level of Improvement -Lookup Picker]]="","",Master[[#This Row],[Level of Improvement -Lookup Picker]])</f>
        <v/>
      </c>
      <c r="G155" s="1" t="str">
        <f>IF(Master[[#This Row],[Reproductive Uniformity -Lookup Picker]]="","",Master[[#This Row],[Reproductive Uniformity -Lookup Picker]])</f>
        <v/>
      </c>
      <c r="H155" s="11" t="str">
        <f>IF(Master[[#This Row],[Inventory Type - Lookup Picker]]="","",Master[[#This Row],[Inventory Type - Lookup Picker]])</f>
        <v/>
      </c>
      <c r="I155" s="149" t="str">
        <f t="shared" si="5"/>
        <v>mm/dd/yyyy</v>
      </c>
      <c r="J155" s="148">
        <f>Master[[#This Row],[Received Date -received by site]]</f>
        <v>0</v>
      </c>
      <c r="K155" s="42" t="str">
        <f>IF(Master[[#This Row],[Note (Accession Narrative)]]="","",Master[[#This Row],[Note (Accession Narrative)]])</f>
        <v/>
      </c>
    </row>
    <row r="156" spans="1:11" ht="15.75" x14ac:dyDescent="0.25">
      <c r="A156" s="1"/>
      <c r="B156" s="1" t="str">
        <f>IF(Master[[#This Row],[Accession Prefix (NPGS)]]="","",Master[[#This Row],[Accession Prefix (NPGS)]])</f>
        <v/>
      </c>
      <c r="C156" s="64" t="str">
        <f>IF(Master[[#This Row],[Accession Number -Assigned]]="","",Master[[#This Row],[Accession Number -Assigned]])</f>
        <v/>
      </c>
      <c r="D156" s="114" t="str">
        <f>IF(Master[[#This Row],[Taxon -Lookup Picker in GRIN]]="","",Master[[#This Row],[Taxon -Lookup Picker in GRIN]])</f>
        <v/>
      </c>
      <c r="E156" s="1" t="str">
        <f>IF(Master[[#This Row],[Life Form -Lookup Picker]]="","",Master[[#This Row],[Life Form -Lookup Picker]])</f>
        <v/>
      </c>
      <c r="F156" s="1" t="str">
        <f>IF(Master[[#This Row],[Level of Improvement -Lookup Picker]]="","",Master[[#This Row],[Level of Improvement -Lookup Picker]])</f>
        <v/>
      </c>
      <c r="G156" s="1" t="str">
        <f>IF(Master[[#This Row],[Reproductive Uniformity -Lookup Picker]]="","",Master[[#This Row],[Reproductive Uniformity -Lookup Picker]])</f>
        <v/>
      </c>
      <c r="H156" s="11" t="str">
        <f>IF(Master[[#This Row],[Inventory Type - Lookup Picker]]="","",Master[[#This Row],[Inventory Type - Lookup Picker]])</f>
        <v/>
      </c>
      <c r="I156" s="149" t="str">
        <f t="shared" si="5"/>
        <v>mm/dd/yyyy</v>
      </c>
      <c r="J156" s="148">
        <f>Master[[#This Row],[Received Date -received by site]]</f>
        <v>0</v>
      </c>
      <c r="K156" s="42" t="str">
        <f>IF(Master[[#This Row],[Note (Accession Narrative)]]="","",Master[[#This Row],[Note (Accession Narrative)]])</f>
        <v/>
      </c>
    </row>
    <row r="157" spans="1:11" ht="15.75" x14ac:dyDescent="0.25">
      <c r="A157" s="1"/>
      <c r="B157" s="1" t="str">
        <f>IF(Master[[#This Row],[Accession Prefix (NPGS)]]="","",Master[[#This Row],[Accession Prefix (NPGS)]])</f>
        <v/>
      </c>
      <c r="C157" s="64" t="str">
        <f>IF(Master[[#This Row],[Accession Number -Assigned]]="","",Master[[#This Row],[Accession Number -Assigned]])</f>
        <v/>
      </c>
      <c r="D157" s="114" t="str">
        <f>IF(Master[[#This Row],[Taxon -Lookup Picker in GRIN]]="","",Master[[#This Row],[Taxon -Lookup Picker in GRIN]])</f>
        <v/>
      </c>
      <c r="E157" s="1" t="str">
        <f>IF(Master[[#This Row],[Life Form -Lookup Picker]]="","",Master[[#This Row],[Life Form -Lookup Picker]])</f>
        <v/>
      </c>
      <c r="F157" s="1" t="str">
        <f>IF(Master[[#This Row],[Level of Improvement -Lookup Picker]]="","",Master[[#This Row],[Level of Improvement -Lookup Picker]])</f>
        <v/>
      </c>
      <c r="G157" s="1" t="str">
        <f>IF(Master[[#This Row],[Reproductive Uniformity -Lookup Picker]]="","",Master[[#This Row],[Reproductive Uniformity -Lookup Picker]])</f>
        <v/>
      </c>
      <c r="H157" s="11" t="str">
        <f>IF(Master[[#This Row],[Inventory Type - Lookup Picker]]="","",Master[[#This Row],[Inventory Type - Lookup Picker]])</f>
        <v/>
      </c>
      <c r="I157" s="149" t="str">
        <f t="shared" si="5"/>
        <v>mm/dd/yyyy</v>
      </c>
      <c r="J157" s="148">
        <f>Master[[#This Row],[Received Date -received by site]]</f>
        <v>0</v>
      </c>
      <c r="K157" s="42" t="str">
        <f>IF(Master[[#This Row],[Note (Accession Narrative)]]="","",Master[[#This Row],[Note (Accession Narrative)]])</f>
        <v/>
      </c>
    </row>
    <row r="158" spans="1:11" ht="15.75" x14ac:dyDescent="0.25">
      <c r="A158" s="1"/>
      <c r="B158" s="1" t="str">
        <f>IF(Master[[#This Row],[Accession Prefix (NPGS)]]="","",Master[[#This Row],[Accession Prefix (NPGS)]])</f>
        <v/>
      </c>
      <c r="C158" s="64" t="str">
        <f>IF(Master[[#This Row],[Accession Number -Assigned]]="","",Master[[#This Row],[Accession Number -Assigned]])</f>
        <v/>
      </c>
      <c r="D158" s="114" t="str">
        <f>IF(Master[[#This Row],[Taxon -Lookup Picker in GRIN]]="","",Master[[#This Row],[Taxon -Lookup Picker in GRIN]])</f>
        <v/>
      </c>
      <c r="E158" s="1" t="str">
        <f>IF(Master[[#This Row],[Life Form -Lookup Picker]]="","",Master[[#This Row],[Life Form -Lookup Picker]])</f>
        <v/>
      </c>
      <c r="F158" s="1" t="str">
        <f>IF(Master[[#This Row],[Level of Improvement -Lookup Picker]]="","",Master[[#This Row],[Level of Improvement -Lookup Picker]])</f>
        <v/>
      </c>
      <c r="G158" s="1" t="str">
        <f>IF(Master[[#This Row],[Reproductive Uniformity -Lookup Picker]]="","",Master[[#This Row],[Reproductive Uniformity -Lookup Picker]])</f>
        <v/>
      </c>
      <c r="H158" s="11" t="str">
        <f>IF(Master[[#This Row],[Inventory Type - Lookup Picker]]="","",Master[[#This Row],[Inventory Type - Lookup Picker]])</f>
        <v/>
      </c>
      <c r="I158" s="149" t="str">
        <f t="shared" si="5"/>
        <v>mm/dd/yyyy</v>
      </c>
      <c r="J158" s="148">
        <f>Master[[#This Row],[Received Date -received by site]]</f>
        <v>0</v>
      </c>
      <c r="K158" s="42" t="str">
        <f>IF(Master[[#This Row],[Note (Accession Narrative)]]="","",Master[[#This Row],[Note (Accession Narrative)]])</f>
        <v/>
      </c>
    </row>
    <row r="159" spans="1:11" ht="15.75" x14ac:dyDescent="0.25">
      <c r="A159" s="1"/>
      <c r="B159" s="1" t="str">
        <f>IF(Master[[#This Row],[Accession Prefix (NPGS)]]="","",Master[[#This Row],[Accession Prefix (NPGS)]])</f>
        <v/>
      </c>
      <c r="C159" s="64" t="str">
        <f>IF(Master[[#This Row],[Accession Number -Assigned]]="","",Master[[#This Row],[Accession Number -Assigned]])</f>
        <v/>
      </c>
      <c r="D159" s="114" t="str">
        <f>IF(Master[[#This Row],[Taxon -Lookup Picker in GRIN]]="","",Master[[#This Row],[Taxon -Lookup Picker in GRIN]])</f>
        <v/>
      </c>
      <c r="E159" s="1" t="str">
        <f>IF(Master[[#This Row],[Life Form -Lookup Picker]]="","",Master[[#This Row],[Life Form -Lookup Picker]])</f>
        <v/>
      </c>
      <c r="F159" s="1" t="str">
        <f>IF(Master[[#This Row],[Level of Improvement -Lookup Picker]]="","",Master[[#This Row],[Level of Improvement -Lookup Picker]])</f>
        <v/>
      </c>
      <c r="G159" s="1" t="str">
        <f>IF(Master[[#This Row],[Reproductive Uniformity -Lookup Picker]]="","",Master[[#This Row],[Reproductive Uniformity -Lookup Picker]])</f>
        <v/>
      </c>
      <c r="H159" s="11" t="str">
        <f>IF(Master[[#This Row],[Inventory Type - Lookup Picker]]="","",Master[[#This Row],[Inventory Type - Lookup Picker]])</f>
        <v/>
      </c>
      <c r="I159" s="149" t="str">
        <f t="shared" si="5"/>
        <v>mm/dd/yyyy</v>
      </c>
      <c r="J159" s="148">
        <f>Master[[#This Row],[Received Date -received by site]]</f>
        <v>0</v>
      </c>
      <c r="K159" s="42" t="str">
        <f>IF(Master[[#This Row],[Note (Accession Narrative)]]="","",Master[[#This Row],[Note (Accession Narrative)]])</f>
        <v/>
      </c>
    </row>
    <row r="160" spans="1:11" ht="15.75" x14ac:dyDescent="0.25">
      <c r="A160" s="1"/>
      <c r="B160" s="1" t="str">
        <f>IF(Master[[#This Row],[Accession Prefix (NPGS)]]="","",Master[[#This Row],[Accession Prefix (NPGS)]])</f>
        <v/>
      </c>
      <c r="C160" s="64" t="str">
        <f>IF(Master[[#This Row],[Accession Number -Assigned]]="","",Master[[#This Row],[Accession Number -Assigned]])</f>
        <v/>
      </c>
      <c r="D160" s="114" t="str">
        <f>IF(Master[[#This Row],[Taxon -Lookup Picker in GRIN]]="","",Master[[#This Row],[Taxon -Lookup Picker in GRIN]])</f>
        <v/>
      </c>
      <c r="E160" s="1" t="str">
        <f>IF(Master[[#This Row],[Life Form -Lookup Picker]]="","",Master[[#This Row],[Life Form -Lookup Picker]])</f>
        <v/>
      </c>
      <c r="F160" s="1" t="str">
        <f>IF(Master[[#This Row],[Level of Improvement -Lookup Picker]]="","",Master[[#This Row],[Level of Improvement -Lookup Picker]])</f>
        <v/>
      </c>
      <c r="G160" s="1" t="str">
        <f>IF(Master[[#This Row],[Reproductive Uniformity -Lookup Picker]]="","",Master[[#This Row],[Reproductive Uniformity -Lookup Picker]])</f>
        <v/>
      </c>
      <c r="H160" s="11" t="str">
        <f>IF(Master[[#This Row],[Inventory Type - Lookup Picker]]="","",Master[[#This Row],[Inventory Type - Lookup Picker]])</f>
        <v/>
      </c>
      <c r="I160" s="149" t="str">
        <f t="shared" si="5"/>
        <v>mm/dd/yyyy</v>
      </c>
      <c r="J160" s="148">
        <f>Master[[#This Row],[Received Date -received by site]]</f>
        <v>0</v>
      </c>
      <c r="K160" s="42" t="str">
        <f>IF(Master[[#This Row],[Note (Accession Narrative)]]="","",Master[[#This Row],[Note (Accession Narrative)]])</f>
        <v/>
      </c>
    </row>
    <row r="161" spans="1:11" ht="15.75" x14ac:dyDescent="0.25">
      <c r="A161" s="1"/>
      <c r="B161" s="1" t="str">
        <f>IF(Master[[#This Row],[Accession Prefix (NPGS)]]="","",Master[[#This Row],[Accession Prefix (NPGS)]])</f>
        <v/>
      </c>
      <c r="C161" s="64" t="str">
        <f>IF(Master[[#This Row],[Accession Number -Assigned]]="","",Master[[#This Row],[Accession Number -Assigned]])</f>
        <v/>
      </c>
      <c r="D161" s="114" t="str">
        <f>IF(Master[[#This Row],[Taxon -Lookup Picker in GRIN]]="","",Master[[#This Row],[Taxon -Lookup Picker in GRIN]])</f>
        <v/>
      </c>
      <c r="E161" s="1" t="str">
        <f>IF(Master[[#This Row],[Life Form -Lookup Picker]]="","",Master[[#This Row],[Life Form -Lookup Picker]])</f>
        <v/>
      </c>
      <c r="F161" s="1" t="str">
        <f>IF(Master[[#This Row],[Level of Improvement -Lookup Picker]]="","",Master[[#This Row],[Level of Improvement -Lookup Picker]])</f>
        <v/>
      </c>
      <c r="G161" s="1" t="str">
        <f>IF(Master[[#This Row],[Reproductive Uniformity -Lookup Picker]]="","",Master[[#This Row],[Reproductive Uniformity -Lookup Picker]])</f>
        <v/>
      </c>
      <c r="H161" s="11" t="str">
        <f>IF(Master[[#This Row],[Inventory Type - Lookup Picker]]="","",Master[[#This Row],[Inventory Type - Lookup Picker]])</f>
        <v/>
      </c>
      <c r="I161" s="149" t="str">
        <f t="shared" si="5"/>
        <v>mm/dd/yyyy</v>
      </c>
      <c r="J161" s="148">
        <f>Master[[#This Row],[Received Date -received by site]]</f>
        <v>0</v>
      </c>
      <c r="K161" s="42" t="str">
        <f>IF(Master[[#This Row],[Note (Accession Narrative)]]="","",Master[[#This Row],[Note (Accession Narrative)]])</f>
        <v/>
      </c>
    </row>
    <row r="162" spans="1:11" ht="15.75" x14ac:dyDescent="0.25">
      <c r="A162" s="1"/>
      <c r="B162" s="1" t="str">
        <f>IF(Master[[#This Row],[Accession Prefix (NPGS)]]="","",Master[[#This Row],[Accession Prefix (NPGS)]])</f>
        <v/>
      </c>
      <c r="C162" s="64" t="str">
        <f>IF(Master[[#This Row],[Accession Number -Assigned]]="","",Master[[#This Row],[Accession Number -Assigned]])</f>
        <v/>
      </c>
      <c r="D162" s="114" t="str">
        <f>IF(Master[[#This Row],[Taxon -Lookup Picker in GRIN]]="","",Master[[#This Row],[Taxon -Lookup Picker in GRIN]])</f>
        <v/>
      </c>
      <c r="E162" s="1" t="str">
        <f>IF(Master[[#This Row],[Life Form -Lookup Picker]]="","",Master[[#This Row],[Life Form -Lookup Picker]])</f>
        <v/>
      </c>
      <c r="F162" s="1" t="str">
        <f>IF(Master[[#This Row],[Level of Improvement -Lookup Picker]]="","",Master[[#This Row],[Level of Improvement -Lookup Picker]])</f>
        <v/>
      </c>
      <c r="G162" s="1" t="str">
        <f>IF(Master[[#This Row],[Reproductive Uniformity -Lookup Picker]]="","",Master[[#This Row],[Reproductive Uniformity -Lookup Picker]])</f>
        <v/>
      </c>
      <c r="H162" s="11" t="str">
        <f>IF(Master[[#This Row],[Inventory Type - Lookup Picker]]="","",Master[[#This Row],[Inventory Type - Lookup Picker]])</f>
        <v/>
      </c>
      <c r="I162" s="149" t="str">
        <f t="shared" si="5"/>
        <v>mm/dd/yyyy</v>
      </c>
      <c r="J162" s="148">
        <f>Master[[#This Row],[Received Date -received by site]]</f>
        <v>0</v>
      </c>
      <c r="K162" s="42" t="str">
        <f>IF(Master[[#This Row],[Note (Accession Narrative)]]="","",Master[[#This Row],[Note (Accession Narrative)]])</f>
        <v/>
      </c>
    </row>
    <row r="163" spans="1:11" ht="15.75" x14ac:dyDescent="0.25">
      <c r="A163" s="1"/>
      <c r="B163" s="1" t="str">
        <f>IF(Master[[#This Row],[Accession Prefix (NPGS)]]="","",Master[[#This Row],[Accession Prefix (NPGS)]])</f>
        <v/>
      </c>
      <c r="C163" s="64" t="str">
        <f>IF(Master[[#This Row],[Accession Number -Assigned]]="","",Master[[#This Row],[Accession Number -Assigned]])</f>
        <v/>
      </c>
      <c r="D163" s="114" t="str">
        <f>IF(Master[[#This Row],[Taxon -Lookup Picker in GRIN]]="","",Master[[#This Row],[Taxon -Lookup Picker in GRIN]])</f>
        <v/>
      </c>
      <c r="E163" s="1" t="str">
        <f>IF(Master[[#This Row],[Life Form -Lookup Picker]]="","",Master[[#This Row],[Life Form -Lookup Picker]])</f>
        <v/>
      </c>
      <c r="F163" s="1" t="str">
        <f>IF(Master[[#This Row],[Level of Improvement -Lookup Picker]]="","",Master[[#This Row],[Level of Improvement -Lookup Picker]])</f>
        <v/>
      </c>
      <c r="G163" s="1" t="str">
        <f>IF(Master[[#This Row],[Reproductive Uniformity -Lookup Picker]]="","",Master[[#This Row],[Reproductive Uniformity -Lookup Picker]])</f>
        <v/>
      </c>
      <c r="H163" s="11" t="str">
        <f>IF(Master[[#This Row],[Inventory Type - Lookup Picker]]="","",Master[[#This Row],[Inventory Type - Lookup Picker]])</f>
        <v/>
      </c>
      <c r="I163" s="149" t="str">
        <f t="shared" si="5"/>
        <v>mm/dd/yyyy</v>
      </c>
      <c r="J163" s="148">
        <f>Master[[#This Row],[Received Date -received by site]]</f>
        <v>0</v>
      </c>
      <c r="K163" s="42" t="str">
        <f>IF(Master[[#This Row],[Note (Accession Narrative)]]="","",Master[[#This Row],[Note (Accession Narrative)]])</f>
        <v/>
      </c>
    </row>
    <row r="164" spans="1:11" ht="15.75" x14ac:dyDescent="0.25">
      <c r="A164" s="1"/>
      <c r="B164" s="1" t="str">
        <f>IF(Master[[#This Row],[Accession Prefix (NPGS)]]="","",Master[[#This Row],[Accession Prefix (NPGS)]])</f>
        <v/>
      </c>
      <c r="C164" s="64" t="str">
        <f>IF(Master[[#This Row],[Accession Number -Assigned]]="","",Master[[#This Row],[Accession Number -Assigned]])</f>
        <v/>
      </c>
      <c r="D164" s="114" t="str">
        <f>IF(Master[[#This Row],[Taxon -Lookup Picker in GRIN]]="","",Master[[#This Row],[Taxon -Lookup Picker in GRIN]])</f>
        <v/>
      </c>
      <c r="E164" s="1" t="str">
        <f>IF(Master[[#This Row],[Life Form -Lookup Picker]]="","",Master[[#This Row],[Life Form -Lookup Picker]])</f>
        <v/>
      </c>
      <c r="F164" s="1" t="str">
        <f>IF(Master[[#This Row],[Level of Improvement -Lookup Picker]]="","",Master[[#This Row],[Level of Improvement -Lookup Picker]])</f>
        <v/>
      </c>
      <c r="G164" s="1" t="str">
        <f>IF(Master[[#This Row],[Reproductive Uniformity -Lookup Picker]]="","",Master[[#This Row],[Reproductive Uniformity -Lookup Picker]])</f>
        <v/>
      </c>
      <c r="H164" s="11" t="str">
        <f>IF(Master[[#This Row],[Inventory Type - Lookup Picker]]="","",Master[[#This Row],[Inventory Type - Lookup Picker]])</f>
        <v/>
      </c>
      <c r="I164" s="149" t="str">
        <f t="shared" si="5"/>
        <v>mm/dd/yyyy</v>
      </c>
      <c r="J164" s="148">
        <f>Master[[#This Row],[Received Date -received by site]]</f>
        <v>0</v>
      </c>
      <c r="K164" s="42" t="str">
        <f>IF(Master[[#This Row],[Note (Accession Narrative)]]="","",Master[[#This Row],[Note (Accession Narrative)]])</f>
        <v/>
      </c>
    </row>
    <row r="165" spans="1:11" ht="15.75" x14ac:dyDescent="0.25">
      <c r="A165" s="1"/>
      <c r="B165" s="1" t="str">
        <f>IF(Master[[#This Row],[Accession Prefix (NPGS)]]="","",Master[[#This Row],[Accession Prefix (NPGS)]])</f>
        <v/>
      </c>
      <c r="C165" s="64" t="str">
        <f>IF(Master[[#This Row],[Accession Number -Assigned]]="","",Master[[#This Row],[Accession Number -Assigned]])</f>
        <v/>
      </c>
      <c r="D165" s="114" t="str">
        <f>IF(Master[[#This Row],[Taxon -Lookup Picker in GRIN]]="","",Master[[#This Row],[Taxon -Lookup Picker in GRIN]])</f>
        <v/>
      </c>
      <c r="E165" s="1" t="str">
        <f>IF(Master[[#This Row],[Life Form -Lookup Picker]]="","",Master[[#This Row],[Life Form -Lookup Picker]])</f>
        <v/>
      </c>
      <c r="F165" s="1" t="str">
        <f>IF(Master[[#This Row],[Level of Improvement -Lookup Picker]]="","",Master[[#This Row],[Level of Improvement -Lookup Picker]])</f>
        <v/>
      </c>
      <c r="G165" s="1" t="str">
        <f>IF(Master[[#This Row],[Reproductive Uniformity -Lookup Picker]]="","",Master[[#This Row],[Reproductive Uniformity -Lookup Picker]])</f>
        <v/>
      </c>
      <c r="H165" s="11" t="str">
        <f>IF(Master[[#This Row],[Inventory Type - Lookup Picker]]="","",Master[[#This Row],[Inventory Type - Lookup Picker]])</f>
        <v/>
      </c>
      <c r="I165" s="149" t="str">
        <f t="shared" si="5"/>
        <v>mm/dd/yyyy</v>
      </c>
      <c r="J165" s="148">
        <f>Master[[#This Row],[Received Date -received by site]]</f>
        <v>0</v>
      </c>
      <c r="K165" s="42" t="str">
        <f>IF(Master[[#This Row],[Note (Accession Narrative)]]="","",Master[[#This Row],[Note (Accession Narrative)]])</f>
        <v/>
      </c>
    </row>
    <row r="166" spans="1:11" ht="15.75" x14ac:dyDescent="0.25">
      <c r="A166" s="1"/>
      <c r="B166" s="1" t="str">
        <f>IF(Master[[#This Row],[Accession Prefix (NPGS)]]="","",Master[[#This Row],[Accession Prefix (NPGS)]])</f>
        <v/>
      </c>
      <c r="C166" s="64" t="str">
        <f>IF(Master[[#This Row],[Accession Number -Assigned]]="","",Master[[#This Row],[Accession Number -Assigned]])</f>
        <v/>
      </c>
      <c r="D166" s="114" t="str">
        <f>IF(Master[[#This Row],[Taxon -Lookup Picker in GRIN]]="","",Master[[#This Row],[Taxon -Lookup Picker in GRIN]])</f>
        <v/>
      </c>
      <c r="E166" s="1" t="str">
        <f>IF(Master[[#This Row],[Life Form -Lookup Picker]]="","",Master[[#This Row],[Life Form -Lookup Picker]])</f>
        <v/>
      </c>
      <c r="F166" s="1" t="str">
        <f>IF(Master[[#This Row],[Level of Improvement -Lookup Picker]]="","",Master[[#This Row],[Level of Improvement -Lookup Picker]])</f>
        <v/>
      </c>
      <c r="G166" s="1" t="str">
        <f>IF(Master[[#This Row],[Reproductive Uniformity -Lookup Picker]]="","",Master[[#This Row],[Reproductive Uniformity -Lookup Picker]])</f>
        <v/>
      </c>
      <c r="H166" s="11" t="str">
        <f>IF(Master[[#This Row],[Inventory Type - Lookup Picker]]="","",Master[[#This Row],[Inventory Type - Lookup Picker]])</f>
        <v/>
      </c>
      <c r="I166" s="149" t="str">
        <f t="shared" si="5"/>
        <v>mm/dd/yyyy</v>
      </c>
      <c r="J166" s="148">
        <f>Master[[#This Row],[Received Date -received by site]]</f>
        <v>0</v>
      </c>
      <c r="K166" s="42" t="str">
        <f>IF(Master[[#This Row],[Note (Accession Narrative)]]="","",Master[[#This Row],[Note (Accession Narrative)]])</f>
        <v/>
      </c>
    </row>
    <row r="167" spans="1:11" ht="15.75" x14ac:dyDescent="0.25">
      <c r="A167" s="1"/>
      <c r="B167" s="1" t="str">
        <f>IF(Master[[#This Row],[Accession Prefix (NPGS)]]="","",Master[[#This Row],[Accession Prefix (NPGS)]])</f>
        <v/>
      </c>
      <c r="C167" s="64" t="str">
        <f>IF(Master[[#This Row],[Accession Number -Assigned]]="","",Master[[#This Row],[Accession Number -Assigned]])</f>
        <v/>
      </c>
      <c r="D167" s="114" t="str">
        <f>IF(Master[[#This Row],[Taxon -Lookup Picker in GRIN]]="","",Master[[#This Row],[Taxon -Lookup Picker in GRIN]])</f>
        <v/>
      </c>
      <c r="E167" s="1" t="str">
        <f>IF(Master[[#This Row],[Life Form -Lookup Picker]]="","",Master[[#This Row],[Life Form -Lookup Picker]])</f>
        <v/>
      </c>
      <c r="F167" s="1" t="str">
        <f>IF(Master[[#This Row],[Level of Improvement -Lookup Picker]]="","",Master[[#This Row],[Level of Improvement -Lookup Picker]])</f>
        <v/>
      </c>
      <c r="G167" s="1" t="str">
        <f>IF(Master[[#This Row],[Reproductive Uniformity -Lookup Picker]]="","",Master[[#This Row],[Reproductive Uniformity -Lookup Picker]])</f>
        <v/>
      </c>
      <c r="H167" s="11" t="str">
        <f>IF(Master[[#This Row],[Inventory Type - Lookup Picker]]="","",Master[[#This Row],[Inventory Type - Lookup Picker]])</f>
        <v/>
      </c>
      <c r="I167" s="149" t="str">
        <f t="shared" si="5"/>
        <v>mm/dd/yyyy</v>
      </c>
      <c r="J167" s="148">
        <f>Master[[#This Row],[Received Date -received by site]]</f>
        <v>0</v>
      </c>
      <c r="K167" s="42" t="str">
        <f>IF(Master[[#This Row],[Note (Accession Narrative)]]="","",Master[[#This Row],[Note (Accession Narrative)]])</f>
        <v/>
      </c>
    </row>
    <row r="168" spans="1:11" ht="15.75" x14ac:dyDescent="0.25">
      <c r="A168" s="1"/>
      <c r="B168" s="1" t="str">
        <f>IF(Master[[#This Row],[Accession Prefix (NPGS)]]="","",Master[[#This Row],[Accession Prefix (NPGS)]])</f>
        <v/>
      </c>
      <c r="C168" s="64" t="str">
        <f>IF(Master[[#This Row],[Accession Number -Assigned]]="","",Master[[#This Row],[Accession Number -Assigned]])</f>
        <v/>
      </c>
      <c r="D168" s="114" t="str">
        <f>IF(Master[[#This Row],[Taxon -Lookup Picker in GRIN]]="","",Master[[#This Row],[Taxon -Lookup Picker in GRIN]])</f>
        <v/>
      </c>
      <c r="E168" s="1" t="str">
        <f>IF(Master[[#This Row],[Life Form -Lookup Picker]]="","",Master[[#This Row],[Life Form -Lookup Picker]])</f>
        <v/>
      </c>
      <c r="F168" s="1" t="str">
        <f>IF(Master[[#This Row],[Level of Improvement -Lookup Picker]]="","",Master[[#This Row],[Level of Improvement -Lookup Picker]])</f>
        <v/>
      </c>
      <c r="G168" s="1" t="str">
        <f>IF(Master[[#This Row],[Reproductive Uniformity -Lookup Picker]]="","",Master[[#This Row],[Reproductive Uniformity -Lookup Picker]])</f>
        <v/>
      </c>
      <c r="H168" s="11" t="str">
        <f>IF(Master[[#This Row],[Inventory Type - Lookup Picker]]="","",Master[[#This Row],[Inventory Type - Lookup Picker]])</f>
        <v/>
      </c>
      <c r="I168" s="149" t="str">
        <f t="shared" si="5"/>
        <v>mm/dd/yyyy</v>
      </c>
      <c r="J168" s="148">
        <f>Master[[#This Row],[Received Date -received by site]]</f>
        <v>0</v>
      </c>
      <c r="K168" s="42" t="str">
        <f>IF(Master[[#This Row],[Note (Accession Narrative)]]="","",Master[[#This Row],[Note (Accession Narrative)]])</f>
        <v/>
      </c>
    </row>
    <row r="169" spans="1:11" ht="15.75" x14ac:dyDescent="0.25">
      <c r="A169" s="1"/>
      <c r="B169" s="1" t="str">
        <f>IF(Master[[#This Row],[Accession Prefix (NPGS)]]="","",Master[[#This Row],[Accession Prefix (NPGS)]])</f>
        <v/>
      </c>
      <c r="C169" s="64" t="str">
        <f>IF(Master[[#This Row],[Accession Number -Assigned]]="","",Master[[#This Row],[Accession Number -Assigned]])</f>
        <v/>
      </c>
      <c r="D169" s="114" t="str">
        <f>IF(Master[[#This Row],[Taxon -Lookup Picker in GRIN]]="","",Master[[#This Row],[Taxon -Lookup Picker in GRIN]])</f>
        <v/>
      </c>
      <c r="E169" s="1" t="str">
        <f>IF(Master[[#This Row],[Life Form -Lookup Picker]]="","",Master[[#This Row],[Life Form -Lookup Picker]])</f>
        <v/>
      </c>
      <c r="F169" s="1" t="str">
        <f>IF(Master[[#This Row],[Level of Improvement -Lookup Picker]]="","",Master[[#This Row],[Level of Improvement -Lookup Picker]])</f>
        <v/>
      </c>
      <c r="G169" s="1" t="str">
        <f>IF(Master[[#This Row],[Reproductive Uniformity -Lookup Picker]]="","",Master[[#This Row],[Reproductive Uniformity -Lookup Picker]])</f>
        <v/>
      </c>
      <c r="H169" s="11" t="str">
        <f>IF(Master[[#This Row],[Inventory Type - Lookup Picker]]="","",Master[[#This Row],[Inventory Type - Lookup Picker]])</f>
        <v/>
      </c>
      <c r="I169" s="149" t="str">
        <f t="shared" si="5"/>
        <v>mm/dd/yyyy</v>
      </c>
      <c r="J169" s="148">
        <f>Master[[#This Row],[Received Date -received by site]]</f>
        <v>0</v>
      </c>
      <c r="K169" s="42" t="str">
        <f>IF(Master[[#This Row],[Note (Accession Narrative)]]="","",Master[[#This Row],[Note (Accession Narrative)]])</f>
        <v/>
      </c>
    </row>
    <row r="170" spans="1:11" ht="15.75" x14ac:dyDescent="0.25">
      <c r="A170" s="1"/>
      <c r="B170" s="1" t="str">
        <f>IF(Master[[#This Row],[Accession Prefix (NPGS)]]="","",Master[[#This Row],[Accession Prefix (NPGS)]])</f>
        <v/>
      </c>
      <c r="C170" s="64" t="str">
        <f>IF(Master[[#This Row],[Accession Number -Assigned]]="","",Master[[#This Row],[Accession Number -Assigned]])</f>
        <v/>
      </c>
      <c r="D170" s="114" t="str">
        <f>IF(Master[[#This Row],[Taxon -Lookup Picker in GRIN]]="","",Master[[#This Row],[Taxon -Lookup Picker in GRIN]])</f>
        <v/>
      </c>
      <c r="E170" s="1" t="str">
        <f>IF(Master[[#This Row],[Life Form -Lookup Picker]]="","",Master[[#This Row],[Life Form -Lookup Picker]])</f>
        <v/>
      </c>
      <c r="F170" s="1" t="str">
        <f>IF(Master[[#This Row],[Level of Improvement -Lookup Picker]]="","",Master[[#This Row],[Level of Improvement -Lookup Picker]])</f>
        <v/>
      </c>
      <c r="G170" s="1" t="str">
        <f>IF(Master[[#This Row],[Reproductive Uniformity -Lookup Picker]]="","",Master[[#This Row],[Reproductive Uniformity -Lookup Picker]])</f>
        <v/>
      </c>
      <c r="H170" s="11" t="str">
        <f>IF(Master[[#This Row],[Inventory Type - Lookup Picker]]="","",Master[[#This Row],[Inventory Type - Lookup Picker]])</f>
        <v/>
      </c>
      <c r="I170" s="149" t="str">
        <f t="shared" si="5"/>
        <v>mm/dd/yyyy</v>
      </c>
      <c r="J170" s="148">
        <f>Master[[#This Row],[Received Date -received by site]]</f>
        <v>0</v>
      </c>
      <c r="K170" s="42" t="str">
        <f>IF(Master[[#This Row],[Note (Accession Narrative)]]="","",Master[[#This Row],[Note (Accession Narrative)]])</f>
        <v/>
      </c>
    </row>
    <row r="171" spans="1:11" ht="15.75" x14ac:dyDescent="0.25">
      <c r="A171" s="1"/>
      <c r="B171" s="1" t="str">
        <f>IF(Master[[#This Row],[Accession Prefix (NPGS)]]="","",Master[[#This Row],[Accession Prefix (NPGS)]])</f>
        <v/>
      </c>
      <c r="C171" s="64" t="str">
        <f>IF(Master[[#This Row],[Accession Number -Assigned]]="","",Master[[#This Row],[Accession Number -Assigned]])</f>
        <v/>
      </c>
      <c r="D171" s="114" t="str">
        <f>IF(Master[[#This Row],[Taxon -Lookup Picker in GRIN]]="","",Master[[#This Row],[Taxon -Lookup Picker in GRIN]])</f>
        <v/>
      </c>
      <c r="E171" s="1" t="str">
        <f>IF(Master[[#This Row],[Life Form -Lookup Picker]]="","",Master[[#This Row],[Life Form -Lookup Picker]])</f>
        <v/>
      </c>
      <c r="F171" s="1" t="str">
        <f>IF(Master[[#This Row],[Level of Improvement -Lookup Picker]]="","",Master[[#This Row],[Level of Improvement -Lookup Picker]])</f>
        <v/>
      </c>
      <c r="G171" s="1" t="str">
        <f>IF(Master[[#This Row],[Reproductive Uniformity -Lookup Picker]]="","",Master[[#This Row],[Reproductive Uniformity -Lookup Picker]])</f>
        <v/>
      </c>
      <c r="H171" s="11" t="str">
        <f>IF(Master[[#This Row],[Inventory Type - Lookup Picker]]="","",Master[[#This Row],[Inventory Type - Lookup Picker]])</f>
        <v/>
      </c>
      <c r="I171" s="149" t="str">
        <f t="shared" si="5"/>
        <v>mm/dd/yyyy</v>
      </c>
      <c r="J171" s="148">
        <f>Master[[#This Row],[Received Date -received by site]]</f>
        <v>0</v>
      </c>
      <c r="K171" s="42" t="str">
        <f>IF(Master[[#This Row],[Note (Accession Narrative)]]="","",Master[[#This Row],[Note (Accession Narrative)]])</f>
        <v/>
      </c>
    </row>
    <row r="172" spans="1:11" ht="15.75" x14ac:dyDescent="0.25">
      <c r="A172" s="1"/>
      <c r="B172" s="1" t="str">
        <f>IF(Master[[#This Row],[Accession Prefix (NPGS)]]="","",Master[[#This Row],[Accession Prefix (NPGS)]])</f>
        <v/>
      </c>
      <c r="C172" s="64" t="str">
        <f>IF(Master[[#This Row],[Accession Number -Assigned]]="","",Master[[#This Row],[Accession Number -Assigned]])</f>
        <v/>
      </c>
      <c r="D172" s="114" t="str">
        <f>IF(Master[[#This Row],[Taxon -Lookup Picker in GRIN]]="","",Master[[#This Row],[Taxon -Lookup Picker in GRIN]])</f>
        <v/>
      </c>
      <c r="E172" s="1" t="str">
        <f>IF(Master[[#This Row],[Life Form -Lookup Picker]]="","",Master[[#This Row],[Life Form -Lookup Picker]])</f>
        <v/>
      </c>
      <c r="F172" s="1" t="str">
        <f>IF(Master[[#This Row],[Level of Improvement -Lookup Picker]]="","",Master[[#This Row],[Level of Improvement -Lookup Picker]])</f>
        <v/>
      </c>
      <c r="G172" s="1" t="str">
        <f>IF(Master[[#This Row],[Reproductive Uniformity -Lookup Picker]]="","",Master[[#This Row],[Reproductive Uniformity -Lookup Picker]])</f>
        <v/>
      </c>
      <c r="H172" s="11" t="str">
        <f>IF(Master[[#This Row],[Inventory Type - Lookup Picker]]="","",Master[[#This Row],[Inventory Type - Lookup Picker]])</f>
        <v/>
      </c>
      <c r="I172" s="149" t="str">
        <f t="shared" si="5"/>
        <v>mm/dd/yyyy</v>
      </c>
      <c r="J172" s="148">
        <f>Master[[#This Row],[Received Date -received by site]]</f>
        <v>0</v>
      </c>
      <c r="K172" s="42" t="str">
        <f>IF(Master[[#This Row],[Note (Accession Narrative)]]="","",Master[[#This Row],[Note (Accession Narrative)]])</f>
        <v/>
      </c>
    </row>
    <row r="173" spans="1:11" ht="15.75" x14ac:dyDescent="0.25">
      <c r="A173" s="1"/>
      <c r="B173" s="1" t="str">
        <f>IF(Master[[#This Row],[Accession Prefix (NPGS)]]="","",Master[[#This Row],[Accession Prefix (NPGS)]])</f>
        <v/>
      </c>
      <c r="C173" s="64" t="str">
        <f>IF(Master[[#This Row],[Accession Number -Assigned]]="","",Master[[#This Row],[Accession Number -Assigned]])</f>
        <v/>
      </c>
      <c r="D173" s="114" t="str">
        <f>IF(Master[[#This Row],[Taxon -Lookup Picker in GRIN]]="","",Master[[#This Row],[Taxon -Lookup Picker in GRIN]])</f>
        <v/>
      </c>
      <c r="E173" s="1" t="str">
        <f>IF(Master[[#This Row],[Life Form -Lookup Picker]]="","",Master[[#This Row],[Life Form -Lookup Picker]])</f>
        <v/>
      </c>
      <c r="F173" s="1" t="str">
        <f>IF(Master[[#This Row],[Level of Improvement -Lookup Picker]]="","",Master[[#This Row],[Level of Improvement -Lookup Picker]])</f>
        <v/>
      </c>
      <c r="G173" s="1" t="str">
        <f>IF(Master[[#This Row],[Reproductive Uniformity -Lookup Picker]]="","",Master[[#This Row],[Reproductive Uniformity -Lookup Picker]])</f>
        <v/>
      </c>
      <c r="H173" s="11" t="str">
        <f>IF(Master[[#This Row],[Inventory Type - Lookup Picker]]="","",Master[[#This Row],[Inventory Type - Lookup Picker]])</f>
        <v/>
      </c>
      <c r="I173" s="149" t="str">
        <f t="shared" si="5"/>
        <v>mm/dd/yyyy</v>
      </c>
      <c r="J173" s="148">
        <f>Master[[#This Row],[Received Date -received by site]]</f>
        <v>0</v>
      </c>
      <c r="K173" s="42" t="str">
        <f>IF(Master[[#This Row],[Note (Accession Narrative)]]="","",Master[[#This Row],[Note (Accession Narrative)]])</f>
        <v/>
      </c>
    </row>
    <row r="174" spans="1:11" ht="15.75" x14ac:dyDescent="0.25">
      <c r="A174" s="1"/>
      <c r="B174" s="1" t="str">
        <f>IF(Master[[#This Row],[Accession Prefix (NPGS)]]="","",Master[[#This Row],[Accession Prefix (NPGS)]])</f>
        <v/>
      </c>
      <c r="C174" s="64" t="str">
        <f>IF(Master[[#This Row],[Accession Number -Assigned]]="","",Master[[#This Row],[Accession Number -Assigned]])</f>
        <v/>
      </c>
      <c r="D174" s="114" t="str">
        <f>IF(Master[[#This Row],[Taxon -Lookup Picker in GRIN]]="","",Master[[#This Row],[Taxon -Lookup Picker in GRIN]])</f>
        <v/>
      </c>
      <c r="E174" s="1" t="str">
        <f>IF(Master[[#This Row],[Life Form -Lookup Picker]]="","",Master[[#This Row],[Life Form -Lookup Picker]])</f>
        <v/>
      </c>
      <c r="F174" s="1" t="str">
        <f>IF(Master[[#This Row],[Level of Improvement -Lookup Picker]]="","",Master[[#This Row],[Level of Improvement -Lookup Picker]])</f>
        <v/>
      </c>
      <c r="G174" s="1" t="str">
        <f>IF(Master[[#This Row],[Reproductive Uniformity -Lookup Picker]]="","",Master[[#This Row],[Reproductive Uniformity -Lookup Picker]])</f>
        <v/>
      </c>
      <c r="H174" s="11" t="str">
        <f>IF(Master[[#This Row],[Inventory Type - Lookup Picker]]="","",Master[[#This Row],[Inventory Type - Lookup Picker]])</f>
        <v/>
      </c>
      <c r="I174" s="149" t="str">
        <f t="shared" si="5"/>
        <v>mm/dd/yyyy</v>
      </c>
      <c r="J174" s="148">
        <f>Master[[#This Row],[Received Date -received by site]]</f>
        <v>0</v>
      </c>
      <c r="K174" s="42" t="str">
        <f>IF(Master[[#This Row],[Note (Accession Narrative)]]="","",Master[[#This Row],[Note (Accession Narrative)]])</f>
        <v/>
      </c>
    </row>
    <row r="175" spans="1:11" ht="15.75" x14ac:dyDescent="0.25">
      <c r="A175" s="1"/>
      <c r="B175" s="1" t="str">
        <f>IF(Master[[#This Row],[Accession Prefix (NPGS)]]="","",Master[[#This Row],[Accession Prefix (NPGS)]])</f>
        <v/>
      </c>
      <c r="C175" s="64" t="str">
        <f>IF(Master[[#This Row],[Accession Number -Assigned]]="","",Master[[#This Row],[Accession Number -Assigned]])</f>
        <v/>
      </c>
      <c r="D175" s="114" t="str">
        <f>IF(Master[[#This Row],[Taxon -Lookup Picker in GRIN]]="","",Master[[#This Row],[Taxon -Lookup Picker in GRIN]])</f>
        <v/>
      </c>
      <c r="E175" s="1" t="str">
        <f>IF(Master[[#This Row],[Life Form -Lookup Picker]]="","",Master[[#This Row],[Life Form -Lookup Picker]])</f>
        <v/>
      </c>
      <c r="F175" s="1" t="str">
        <f>IF(Master[[#This Row],[Level of Improvement -Lookup Picker]]="","",Master[[#This Row],[Level of Improvement -Lookup Picker]])</f>
        <v/>
      </c>
      <c r="G175" s="1" t="str">
        <f>IF(Master[[#This Row],[Reproductive Uniformity -Lookup Picker]]="","",Master[[#This Row],[Reproductive Uniformity -Lookup Picker]])</f>
        <v/>
      </c>
      <c r="H175" s="11" t="str">
        <f>IF(Master[[#This Row],[Inventory Type - Lookup Picker]]="","",Master[[#This Row],[Inventory Type - Lookup Picker]])</f>
        <v/>
      </c>
      <c r="I175" s="149" t="str">
        <f t="shared" si="5"/>
        <v>mm/dd/yyyy</v>
      </c>
      <c r="J175" s="148">
        <f>Master[[#This Row],[Received Date -received by site]]</f>
        <v>0</v>
      </c>
      <c r="K175" s="42" t="str">
        <f>IF(Master[[#This Row],[Note (Accession Narrative)]]="","",Master[[#This Row],[Note (Accession Narrative)]])</f>
        <v/>
      </c>
    </row>
    <row r="176" spans="1:11" ht="15.75" x14ac:dyDescent="0.25">
      <c r="A176" s="1"/>
      <c r="B176" s="1" t="str">
        <f>IF(Master[[#This Row],[Accession Prefix (NPGS)]]="","",Master[[#This Row],[Accession Prefix (NPGS)]])</f>
        <v/>
      </c>
      <c r="C176" s="64" t="str">
        <f>IF(Master[[#This Row],[Accession Number -Assigned]]="","",Master[[#This Row],[Accession Number -Assigned]])</f>
        <v/>
      </c>
      <c r="D176" s="114" t="str">
        <f>IF(Master[[#This Row],[Taxon -Lookup Picker in GRIN]]="","",Master[[#This Row],[Taxon -Lookup Picker in GRIN]])</f>
        <v/>
      </c>
      <c r="E176" s="1" t="str">
        <f>IF(Master[[#This Row],[Life Form -Lookup Picker]]="","",Master[[#This Row],[Life Form -Lookup Picker]])</f>
        <v/>
      </c>
      <c r="F176" s="1" t="str">
        <f>IF(Master[[#This Row],[Level of Improvement -Lookup Picker]]="","",Master[[#This Row],[Level of Improvement -Lookup Picker]])</f>
        <v/>
      </c>
      <c r="G176" s="1" t="str">
        <f>IF(Master[[#This Row],[Reproductive Uniformity -Lookup Picker]]="","",Master[[#This Row],[Reproductive Uniformity -Lookup Picker]])</f>
        <v/>
      </c>
      <c r="H176" s="11" t="str">
        <f>IF(Master[[#This Row],[Inventory Type - Lookup Picker]]="","",Master[[#This Row],[Inventory Type - Lookup Picker]])</f>
        <v/>
      </c>
      <c r="I176" s="149" t="str">
        <f t="shared" si="5"/>
        <v>mm/dd/yyyy</v>
      </c>
      <c r="J176" s="148">
        <f>Master[[#This Row],[Received Date -received by site]]</f>
        <v>0</v>
      </c>
      <c r="K176" s="42" t="str">
        <f>IF(Master[[#This Row],[Note (Accession Narrative)]]="","",Master[[#This Row],[Note (Accession Narrative)]])</f>
        <v/>
      </c>
    </row>
    <row r="177" spans="1:11" ht="15.75" x14ac:dyDescent="0.25">
      <c r="A177" s="1"/>
      <c r="B177" s="1" t="str">
        <f>IF(Master[[#This Row],[Accession Prefix (NPGS)]]="","",Master[[#This Row],[Accession Prefix (NPGS)]])</f>
        <v/>
      </c>
      <c r="C177" s="64" t="str">
        <f>IF(Master[[#This Row],[Accession Number -Assigned]]="","",Master[[#This Row],[Accession Number -Assigned]])</f>
        <v/>
      </c>
      <c r="D177" s="114" t="str">
        <f>IF(Master[[#This Row],[Taxon -Lookup Picker in GRIN]]="","",Master[[#This Row],[Taxon -Lookup Picker in GRIN]])</f>
        <v/>
      </c>
      <c r="E177" s="1" t="str">
        <f>IF(Master[[#This Row],[Life Form -Lookup Picker]]="","",Master[[#This Row],[Life Form -Lookup Picker]])</f>
        <v/>
      </c>
      <c r="F177" s="1" t="str">
        <f>IF(Master[[#This Row],[Level of Improvement -Lookup Picker]]="","",Master[[#This Row],[Level of Improvement -Lookup Picker]])</f>
        <v/>
      </c>
      <c r="G177" s="1" t="str">
        <f>IF(Master[[#This Row],[Reproductive Uniformity -Lookup Picker]]="","",Master[[#This Row],[Reproductive Uniformity -Lookup Picker]])</f>
        <v/>
      </c>
      <c r="H177" s="11" t="str">
        <f>IF(Master[[#This Row],[Inventory Type - Lookup Picker]]="","",Master[[#This Row],[Inventory Type - Lookup Picker]])</f>
        <v/>
      </c>
      <c r="I177" s="149" t="str">
        <f t="shared" si="5"/>
        <v>mm/dd/yyyy</v>
      </c>
      <c r="J177" s="148">
        <f>Master[[#This Row],[Received Date -received by site]]</f>
        <v>0</v>
      </c>
      <c r="K177" s="42" t="str">
        <f>IF(Master[[#This Row],[Note (Accession Narrative)]]="","",Master[[#This Row],[Note (Accession Narrative)]])</f>
        <v/>
      </c>
    </row>
    <row r="178" spans="1:11" ht="15.75" x14ac:dyDescent="0.25">
      <c r="A178" s="1"/>
      <c r="B178" s="1" t="str">
        <f>IF(Master[[#This Row],[Accession Prefix (NPGS)]]="","",Master[[#This Row],[Accession Prefix (NPGS)]])</f>
        <v/>
      </c>
      <c r="C178" s="64" t="str">
        <f>IF(Master[[#This Row],[Accession Number -Assigned]]="","",Master[[#This Row],[Accession Number -Assigned]])</f>
        <v/>
      </c>
      <c r="D178" s="114" t="str">
        <f>IF(Master[[#This Row],[Taxon -Lookup Picker in GRIN]]="","",Master[[#This Row],[Taxon -Lookup Picker in GRIN]])</f>
        <v/>
      </c>
      <c r="E178" s="1" t="str">
        <f>IF(Master[[#This Row],[Life Form -Lookup Picker]]="","",Master[[#This Row],[Life Form -Lookup Picker]])</f>
        <v/>
      </c>
      <c r="F178" s="1" t="str">
        <f>IF(Master[[#This Row],[Level of Improvement -Lookup Picker]]="","",Master[[#This Row],[Level of Improvement -Lookup Picker]])</f>
        <v/>
      </c>
      <c r="G178" s="1" t="str">
        <f>IF(Master[[#This Row],[Reproductive Uniformity -Lookup Picker]]="","",Master[[#This Row],[Reproductive Uniformity -Lookup Picker]])</f>
        <v/>
      </c>
      <c r="H178" s="11" t="str">
        <f>IF(Master[[#This Row],[Inventory Type - Lookup Picker]]="","",Master[[#This Row],[Inventory Type - Lookup Picker]])</f>
        <v/>
      </c>
      <c r="I178" s="149" t="str">
        <f t="shared" si="5"/>
        <v>mm/dd/yyyy</v>
      </c>
      <c r="J178" s="148">
        <f>Master[[#This Row],[Received Date -received by site]]</f>
        <v>0</v>
      </c>
      <c r="K178" s="42" t="str">
        <f>IF(Master[[#This Row],[Note (Accession Narrative)]]="","",Master[[#This Row],[Note (Accession Narrative)]])</f>
        <v/>
      </c>
    </row>
    <row r="179" spans="1:11" ht="15.75" x14ac:dyDescent="0.25">
      <c r="A179" s="1"/>
      <c r="B179" s="1" t="str">
        <f>IF(Master[[#This Row],[Accession Prefix (NPGS)]]="","",Master[[#This Row],[Accession Prefix (NPGS)]])</f>
        <v/>
      </c>
      <c r="C179" s="64" t="str">
        <f>IF(Master[[#This Row],[Accession Number -Assigned]]="","",Master[[#This Row],[Accession Number -Assigned]])</f>
        <v/>
      </c>
      <c r="D179" s="114" t="str">
        <f>IF(Master[[#This Row],[Taxon -Lookup Picker in GRIN]]="","",Master[[#This Row],[Taxon -Lookup Picker in GRIN]])</f>
        <v/>
      </c>
      <c r="E179" s="1" t="str">
        <f>IF(Master[[#This Row],[Life Form -Lookup Picker]]="","",Master[[#This Row],[Life Form -Lookup Picker]])</f>
        <v/>
      </c>
      <c r="F179" s="1" t="str">
        <f>IF(Master[[#This Row],[Level of Improvement -Lookup Picker]]="","",Master[[#This Row],[Level of Improvement -Lookup Picker]])</f>
        <v/>
      </c>
      <c r="G179" s="1" t="str">
        <f>IF(Master[[#This Row],[Reproductive Uniformity -Lookup Picker]]="","",Master[[#This Row],[Reproductive Uniformity -Lookup Picker]])</f>
        <v/>
      </c>
      <c r="H179" s="11" t="str">
        <f>IF(Master[[#This Row],[Inventory Type - Lookup Picker]]="","",Master[[#This Row],[Inventory Type - Lookup Picker]])</f>
        <v/>
      </c>
      <c r="I179" s="149" t="str">
        <f t="shared" si="5"/>
        <v>mm/dd/yyyy</v>
      </c>
      <c r="J179" s="148">
        <f>Master[[#This Row],[Received Date -received by site]]</f>
        <v>0</v>
      </c>
      <c r="K179" s="42" t="str">
        <f>IF(Master[[#This Row],[Note (Accession Narrative)]]="","",Master[[#This Row],[Note (Accession Narrative)]])</f>
        <v/>
      </c>
    </row>
    <row r="180" spans="1:11" ht="15.75" x14ac:dyDescent="0.25">
      <c r="A180" s="1"/>
      <c r="B180" s="1" t="str">
        <f>IF(Master[[#This Row],[Accession Prefix (NPGS)]]="","",Master[[#This Row],[Accession Prefix (NPGS)]])</f>
        <v/>
      </c>
      <c r="C180" s="64" t="str">
        <f>IF(Master[[#This Row],[Accession Number -Assigned]]="","",Master[[#This Row],[Accession Number -Assigned]])</f>
        <v/>
      </c>
      <c r="D180" s="114" t="str">
        <f>IF(Master[[#This Row],[Taxon -Lookup Picker in GRIN]]="","",Master[[#This Row],[Taxon -Lookup Picker in GRIN]])</f>
        <v/>
      </c>
      <c r="E180" s="1" t="str">
        <f>IF(Master[[#This Row],[Life Form -Lookup Picker]]="","",Master[[#This Row],[Life Form -Lookup Picker]])</f>
        <v/>
      </c>
      <c r="F180" s="1" t="str">
        <f>IF(Master[[#This Row],[Level of Improvement -Lookup Picker]]="","",Master[[#This Row],[Level of Improvement -Lookup Picker]])</f>
        <v/>
      </c>
      <c r="G180" s="1" t="str">
        <f>IF(Master[[#This Row],[Reproductive Uniformity -Lookup Picker]]="","",Master[[#This Row],[Reproductive Uniformity -Lookup Picker]])</f>
        <v/>
      </c>
      <c r="H180" s="11" t="str">
        <f>IF(Master[[#This Row],[Inventory Type - Lookup Picker]]="","",Master[[#This Row],[Inventory Type - Lookup Picker]])</f>
        <v/>
      </c>
      <c r="I180" s="149" t="str">
        <f t="shared" si="5"/>
        <v>mm/dd/yyyy</v>
      </c>
      <c r="J180" s="148">
        <f>Master[[#This Row],[Received Date -received by site]]</f>
        <v>0</v>
      </c>
      <c r="K180" s="42" t="str">
        <f>IF(Master[[#This Row],[Note (Accession Narrative)]]="","",Master[[#This Row],[Note (Accession Narrative)]])</f>
        <v/>
      </c>
    </row>
    <row r="181" spans="1:11" ht="15.75" x14ac:dyDescent="0.25">
      <c r="A181" s="1"/>
      <c r="B181" s="1" t="str">
        <f>IF(Master[[#This Row],[Accession Prefix (NPGS)]]="","",Master[[#This Row],[Accession Prefix (NPGS)]])</f>
        <v/>
      </c>
      <c r="C181" s="64" t="str">
        <f>IF(Master[[#This Row],[Accession Number -Assigned]]="","",Master[[#This Row],[Accession Number -Assigned]])</f>
        <v/>
      </c>
      <c r="D181" s="114" t="str">
        <f>IF(Master[[#This Row],[Taxon -Lookup Picker in GRIN]]="","",Master[[#This Row],[Taxon -Lookup Picker in GRIN]])</f>
        <v/>
      </c>
      <c r="E181" s="1" t="str">
        <f>IF(Master[[#This Row],[Life Form -Lookup Picker]]="","",Master[[#This Row],[Life Form -Lookup Picker]])</f>
        <v/>
      </c>
      <c r="F181" s="1" t="str">
        <f>IF(Master[[#This Row],[Level of Improvement -Lookup Picker]]="","",Master[[#This Row],[Level of Improvement -Lookup Picker]])</f>
        <v/>
      </c>
      <c r="G181" s="1" t="str">
        <f>IF(Master[[#This Row],[Reproductive Uniformity -Lookup Picker]]="","",Master[[#This Row],[Reproductive Uniformity -Lookup Picker]])</f>
        <v/>
      </c>
      <c r="H181" s="11" t="str">
        <f>IF(Master[[#This Row],[Inventory Type - Lookup Picker]]="","",Master[[#This Row],[Inventory Type - Lookup Picker]])</f>
        <v/>
      </c>
      <c r="I181" s="149" t="str">
        <f t="shared" si="5"/>
        <v>mm/dd/yyyy</v>
      </c>
      <c r="J181" s="148">
        <f>Master[[#This Row],[Received Date -received by site]]</f>
        <v>0</v>
      </c>
      <c r="K181" s="42" t="str">
        <f>IF(Master[[#This Row],[Note (Accession Narrative)]]="","",Master[[#This Row],[Note (Accession Narrative)]])</f>
        <v/>
      </c>
    </row>
    <row r="182" spans="1:11" ht="15.75" x14ac:dyDescent="0.25">
      <c r="A182" s="1"/>
      <c r="B182" s="1" t="str">
        <f>IF(Master[[#This Row],[Accession Prefix (NPGS)]]="","",Master[[#This Row],[Accession Prefix (NPGS)]])</f>
        <v/>
      </c>
      <c r="C182" s="64" t="str">
        <f>IF(Master[[#This Row],[Accession Number -Assigned]]="","",Master[[#This Row],[Accession Number -Assigned]])</f>
        <v/>
      </c>
      <c r="D182" s="114" t="str">
        <f>IF(Master[[#This Row],[Taxon -Lookup Picker in GRIN]]="","",Master[[#This Row],[Taxon -Lookup Picker in GRIN]])</f>
        <v/>
      </c>
      <c r="E182" s="1" t="str">
        <f>IF(Master[[#This Row],[Life Form -Lookup Picker]]="","",Master[[#This Row],[Life Form -Lookup Picker]])</f>
        <v/>
      </c>
      <c r="F182" s="1" t="str">
        <f>IF(Master[[#This Row],[Level of Improvement -Lookup Picker]]="","",Master[[#This Row],[Level of Improvement -Lookup Picker]])</f>
        <v/>
      </c>
      <c r="G182" s="1" t="str">
        <f>IF(Master[[#This Row],[Reproductive Uniformity -Lookup Picker]]="","",Master[[#This Row],[Reproductive Uniformity -Lookup Picker]])</f>
        <v/>
      </c>
      <c r="H182" s="11" t="str">
        <f>IF(Master[[#This Row],[Inventory Type - Lookup Picker]]="","",Master[[#This Row],[Inventory Type - Lookup Picker]])</f>
        <v/>
      </c>
      <c r="I182" s="149" t="str">
        <f t="shared" ref="I182:I201" si="6">"mm/dd/yyyy"</f>
        <v>mm/dd/yyyy</v>
      </c>
      <c r="J182" s="148">
        <f>Master[[#This Row],[Received Date -received by site]]</f>
        <v>0</v>
      </c>
      <c r="K182" s="42" t="str">
        <f>IF(Master[[#This Row],[Note (Accession Narrative)]]="","",Master[[#This Row],[Note (Accession Narrative)]])</f>
        <v/>
      </c>
    </row>
    <row r="183" spans="1:11" ht="15.75" x14ac:dyDescent="0.25">
      <c r="A183" s="1"/>
      <c r="B183" s="1" t="str">
        <f>IF(Master[[#This Row],[Accession Prefix (NPGS)]]="","",Master[[#This Row],[Accession Prefix (NPGS)]])</f>
        <v/>
      </c>
      <c r="C183" s="64" t="str">
        <f>IF(Master[[#This Row],[Accession Number -Assigned]]="","",Master[[#This Row],[Accession Number -Assigned]])</f>
        <v/>
      </c>
      <c r="D183" s="114" t="str">
        <f>IF(Master[[#This Row],[Taxon -Lookup Picker in GRIN]]="","",Master[[#This Row],[Taxon -Lookup Picker in GRIN]])</f>
        <v/>
      </c>
      <c r="E183" s="1" t="str">
        <f>IF(Master[[#This Row],[Life Form -Lookup Picker]]="","",Master[[#This Row],[Life Form -Lookup Picker]])</f>
        <v/>
      </c>
      <c r="F183" s="1" t="str">
        <f>IF(Master[[#This Row],[Level of Improvement -Lookup Picker]]="","",Master[[#This Row],[Level of Improvement -Lookup Picker]])</f>
        <v/>
      </c>
      <c r="G183" s="1" t="str">
        <f>IF(Master[[#This Row],[Reproductive Uniformity -Lookup Picker]]="","",Master[[#This Row],[Reproductive Uniformity -Lookup Picker]])</f>
        <v/>
      </c>
      <c r="H183" s="11" t="str">
        <f>IF(Master[[#This Row],[Inventory Type - Lookup Picker]]="","",Master[[#This Row],[Inventory Type - Lookup Picker]])</f>
        <v/>
      </c>
      <c r="I183" s="149" t="str">
        <f t="shared" si="6"/>
        <v>mm/dd/yyyy</v>
      </c>
      <c r="J183" s="148">
        <f>Master[[#This Row],[Received Date -received by site]]</f>
        <v>0</v>
      </c>
      <c r="K183" s="42" t="str">
        <f>IF(Master[[#This Row],[Note (Accession Narrative)]]="","",Master[[#This Row],[Note (Accession Narrative)]])</f>
        <v/>
      </c>
    </row>
    <row r="184" spans="1:11" ht="15.75" x14ac:dyDescent="0.25">
      <c r="A184" s="1"/>
      <c r="B184" s="1" t="str">
        <f>IF(Master[[#This Row],[Accession Prefix (NPGS)]]="","",Master[[#This Row],[Accession Prefix (NPGS)]])</f>
        <v/>
      </c>
      <c r="C184" s="64" t="str">
        <f>IF(Master[[#This Row],[Accession Number -Assigned]]="","",Master[[#This Row],[Accession Number -Assigned]])</f>
        <v/>
      </c>
      <c r="D184" s="114" t="str">
        <f>IF(Master[[#This Row],[Taxon -Lookup Picker in GRIN]]="","",Master[[#This Row],[Taxon -Lookup Picker in GRIN]])</f>
        <v/>
      </c>
      <c r="E184" s="1" t="str">
        <f>IF(Master[[#This Row],[Life Form -Lookup Picker]]="","",Master[[#This Row],[Life Form -Lookup Picker]])</f>
        <v/>
      </c>
      <c r="F184" s="1" t="str">
        <f>IF(Master[[#This Row],[Level of Improvement -Lookup Picker]]="","",Master[[#This Row],[Level of Improvement -Lookup Picker]])</f>
        <v/>
      </c>
      <c r="G184" s="1" t="str">
        <f>IF(Master[[#This Row],[Reproductive Uniformity -Lookup Picker]]="","",Master[[#This Row],[Reproductive Uniformity -Lookup Picker]])</f>
        <v/>
      </c>
      <c r="H184" s="11" t="str">
        <f>IF(Master[[#This Row],[Inventory Type - Lookup Picker]]="","",Master[[#This Row],[Inventory Type - Lookup Picker]])</f>
        <v/>
      </c>
      <c r="I184" s="149" t="str">
        <f t="shared" si="6"/>
        <v>mm/dd/yyyy</v>
      </c>
      <c r="J184" s="148">
        <f>Master[[#This Row],[Received Date -received by site]]</f>
        <v>0</v>
      </c>
      <c r="K184" s="42" t="str">
        <f>IF(Master[[#This Row],[Note (Accession Narrative)]]="","",Master[[#This Row],[Note (Accession Narrative)]])</f>
        <v/>
      </c>
    </row>
    <row r="185" spans="1:11" ht="15.75" x14ac:dyDescent="0.25">
      <c r="A185" s="1"/>
      <c r="B185" s="1" t="str">
        <f>IF(Master[[#This Row],[Accession Prefix (NPGS)]]="","",Master[[#This Row],[Accession Prefix (NPGS)]])</f>
        <v/>
      </c>
      <c r="C185" s="64" t="str">
        <f>IF(Master[[#This Row],[Accession Number -Assigned]]="","",Master[[#This Row],[Accession Number -Assigned]])</f>
        <v/>
      </c>
      <c r="D185" s="114" t="str">
        <f>IF(Master[[#This Row],[Taxon -Lookup Picker in GRIN]]="","",Master[[#This Row],[Taxon -Lookup Picker in GRIN]])</f>
        <v/>
      </c>
      <c r="E185" s="1" t="str">
        <f>IF(Master[[#This Row],[Life Form -Lookup Picker]]="","",Master[[#This Row],[Life Form -Lookup Picker]])</f>
        <v/>
      </c>
      <c r="F185" s="1" t="str">
        <f>IF(Master[[#This Row],[Level of Improvement -Lookup Picker]]="","",Master[[#This Row],[Level of Improvement -Lookup Picker]])</f>
        <v/>
      </c>
      <c r="G185" s="1" t="str">
        <f>IF(Master[[#This Row],[Reproductive Uniformity -Lookup Picker]]="","",Master[[#This Row],[Reproductive Uniformity -Lookup Picker]])</f>
        <v/>
      </c>
      <c r="H185" s="11" t="str">
        <f>IF(Master[[#This Row],[Inventory Type - Lookup Picker]]="","",Master[[#This Row],[Inventory Type - Lookup Picker]])</f>
        <v/>
      </c>
      <c r="I185" s="149" t="str">
        <f t="shared" si="6"/>
        <v>mm/dd/yyyy</v>
      </c>
      <c r="J185" s="148">
        <f>Master[[#This Row],[Received Date -received by site]]</f>
        <v>0</v>
      </c>
      <c r="K185" s="42" t="str">
        <f>IF(Master[[#This Row],[Note (Accession Narrative)]]="","",Master[[#This Row],[Note (Accession Narrative)]])</f>
        <v/>
      </c>
    </row>
    <row r="186" spans="1:11" ht="15.75" x14ac:dyDescent="0.25">
      <c r="A186" s="1"/>
      <c r="B186" s="1" t="str">
        <f>IF(Master[[#This Row],[Accession Prefix (NPGS)]]="","",Master[[#This Row],[Accession Prefix (NPGS)]])</f>
        <v/>
      </c>
      <c r="C186" s="64" t="str">
        <f>IF(Master[[#This Row],[Accession Number -Assigned]]="","",Master[[#This Row],[Accession Number -Assigned]])</f>
        <v/>
      </c>
      <c r="D186" s="114" t="str">
        <f>IF(Master[[#This Row],[Taxon -Lookup Picker in GRIN]]="","",Master[[#This Row],[Taxon -Lookup Picker in GRIN]])</f>
        <v/>
      </c>
      <c r="E186" s="1" t="str">
        <f>IF(Master[[#This Row],[Life Form -Lookup Picker]]="","",Master[[#This Row],[Life Form -Lookup Picker]])</f>
        <v/>
      </c>
      <c r="F186" s="1" t="str">
        <f>IF(Master[[#This Row],[Level of Improvement -Lookup Picker]]="","",Master[[#This Row],[Level of Improvement -Lookup Picker]])</f>
        <v/>
      </c>
      <c r="G186" s="1" t="str">
        <f>IF(Master[[#This Row],[Reproductive Uniformity -Lookup Picker]]="","",Master[[#This Row],[Reproductive Uniformity -Lookup Picker]])</f>
        <v/>
      </c>
      <c r="H186" s="11" t="str">
        <f>IF(Master[[#This Row],[Inventory Type - Lookup Picker]]="","",Master[[#This Row],[Inventory Type - Lookup Picker]])</f>
        <v/>
      </c>
      <c r="I186" s="149" t="str">
        <f t="shared" si="6"/>
        <v>mm/dd/yyyy</v>
      </c>
      <c r="J186" s="148">
        <f>Master[[#This Row],[Received Date -received by site]]</f>
        <v>0</v>
      </c>
      <c r="K186" s="42" t="str">
        <f>IF(Master[[#This Row],[Note (Accession Narrative)]]="","",Master[[#This Row],[Note (Accession Narrative)]])</f>
        <v/>
      </c>
    </row>
    <row r="187" spans="1:11" ht="15.75" x14ac:dyDescent="0.25">
      <c r="A187" s="1"/>
      <c r="B187" s="1" t="str">
        <f>IF(Master[[#This Row],[Accession Prefix (NPGS)]]="","",Master[[#This Row],[Accession Prefix (NPGS)]])</f>
        <v/>
      </c>
      <c r="C187" s="64" t="str">
        <f>IF(Master[[#This Row],[Accession Number -Assigned]]="","",Master[[#This Row],[Accession Number -Assigned]])</f>
        <v/>
      </c>
      <c r="D187" s="114" t="str">
        <f>IF(Master[[#This Row],[Taxon -Lookup Picker in GRIN]]="","",Master[[#This Row],[Taxon -Lookup Picker in GRIN]])</f>
        <v/>
      </c>
      <c r="E187" s="1" t="str">
        <f>IF(Master[[#This Row],[Life Form -Lookup Picker]]="","",Master[[#This Row],[Life Form -Lookup Picker]])</f>
        <v/>
      </c>
      <c r="F187" s="1" t="str">
        <f>IF(Master[[#This Row],[Level of Improvement -Lookup Picker]]="","",Master[[#This Row],[Level of Improvement -Lookup Picker]])</f>
        <v/>
      </c>
      <c r="G187" s="1" t="str">
        <f>IF(Master[[#This Row],[Reproductive Uniformity -Lookup Picker]]="","",Master[[#This Row],[Reproductive Uniformity -Lookup Picker]])</f>
        <v/>
      </c>
      <c r="H187" s="11" t="str">
        <f>IF(Master[[#This Row],[Inventory Type - Lookup Picker]]="","",Master[[#This Row],[Inventory Type - Lookup Picker]])</f>
        <v/>
      </c>
      <c r="I187" s="149" t="str">
        <f t="shared" si="6"/>
        <v>mm/dd/yyyy</v>
      </c>
      <c r="J187" s="148">
        <f>Master[[#This Row],[Received Date -received by site]]</f>
        <v>0</v>
      </c>
      <c r="K187" s="42" t="str">
        <f>IF(Master[[#This Row],[Note (Accession Narrative)]]="","",Master[[#This Row],[Note (Accession Narrative)]])</f>
        <v/>
      </c>
    </row>
    <row r="188" spans="1:11" ht="15.75" x14ac:dyDescent="0.25">
      <c r="A188" s="1"/>
      <c r="B188" s="1" t="str">
        <f>IF(Master[[#This Row],[Accession Prefix (NPGS)]]="","",Master[[#This Row],[Accession Prefix (NPGS)]])</f>
        <v/>
      </c>
      <c r="C188" s="64" t="str">
        <f>IF(Master[[#This Row],[Accession Number -Assigned]]="","",Master[[#This Row],[Accession Number -Assigned]])</f>
        <v/>
      </c>
      <c r="D188" s="114" t="str">
        <f>IF(Master[[#This Row],[Taxon -Lookup Picker in GRIN]]="","",Master[[#This Row],[Taxon -Lookup Picker in GRIN]])</f>
        <v/>
      </c>
      <c r="E188" s="1" t="str">
        <f>IF(Master[[#This Row],[Life Form -Lookup Picker]]="","",Master[[#This Row],[Life Form -Lookup Picker]])</f>
        <v/>
      </c>
      <c r="F188" s="1" t="str">
        <f>IF(Master[[#This Row],[Level of Improvement -Lookup Picker]]="","",Master[[#This Row],[Level of Improvement -Lookup Picker]])</f>
        <v/>
      </c>
      <c r="G188" s="1" t="str">
        <f>IF(Master[[#This Row],[Reproductive Uniformity -Lookup Picker]]="","",Master[[#This Row],[Reproductive Uniformity -Lookup Picker]])</f>
        <v/>
      </c>
      <c r="H188" s="11" t="str">
        <f>IF(Master[[#This Row],[Inventory Type - Lookup Picker]]="","",Master[[#This Row],[Inventory Type - Lookup Picker]])</f>
        <v/>
      </c>
      <c r="I188" s="149" t="str">
        <f t="shared" si="6"/>
        <v>mm/dd/yyyy</v>
      </c>
      <c r="J188" s="148">
        <f>Master[[#This Row],[Received Date -received by site]]</f>
        <v>0</v>
      </c>
      <c r="K188" s="42" t="str">
        <f>IF(Master[[#This Row],[Note (Accession Narrative)]]="","",Master[[#This Row],[Note (Accession Narrative)]])</f>
        <v/>
      </c>
    </row>
    <row r="189" spans="1:11" ht="15.75" x14ac:dyDescent="0.25">
      <c r="A189" s="1"/>
      <c r="B189" s="1" t="str">
        <f>IF(Master[[#This Row],[Accession Prefix (NPGS)]]="","",Master[[#This Row],[Accession Prefix (NPGS)]])</f>
        <v/>
      </c>
      <c r="C189" s="64" t="str">
        <f>IF(Master[[#This Row],[Accession Number -Assigned]]="","",Master[[#This Row],[Accession Number -Assigned]])</f>
        <v/>
      </c>
      <c r="D189" s="114" t="str">
        <f>IF(Master[[#This Row],[Taxon -Lookup Picker in GRIN]]="","",Master[[#This Row],[Taxon -Lookup Picker in GRIN]])</f>
        <v/>
      </c>
      <c r="E189" s="1" t="str">
        <f>IF(Master[[#This Row],[Life Form -Lookup Picker]]="","",Master[[#This Row],[Life Form -Lookup Picker]])</f>
        <v/>
      </c>
      <c r="F189" s="1" t="str">
        <f>IF(Master[[#This Row],[Level of Improvement -Lookup Picker]]="","",Master[[#This Row],[Level of Improvement -Lookup Picker]])</f>
        <v/>
      </c>
      <c r="G189" s="1" t="str">
        <f>IF(Master[[#This Row],[Reproductive Uniformity -Lookup Picker]]="","",Master[[#This Row],[Reproductive Uniformity -Lookup Picker]])</f>
        <v/>
      </c>
      <c r="H189" s="11" t="str">
        <f>IF(Master[[#This Row],[Inventory Type - Lookup Picker]]="","",Master[[#This Row],[Inventory Type - Lookup Picker]])</f>
        <v/>
      </c>
      <c r="I189" s="149" t="str">
        <f t="shared" si="6"/>
        <v>mm/dd/yyyy</v>
      </c>
      <c r="J189" s="148">
        <f>Master[[#This Row],[Received Date -received by site]]</f>
        <v>0</v>
      </c>
      <c r="K189" s="42" t="str">
        <f>IF(Master[[#This Row],[Note (Accession Narrative)]]="","",Master[[#This Row],[Note (Accession Narrative)]])</f>
        <v/>
      </c>
    </row>
    <row r="190" spans="1:11" ht="15.75" x14ac:dyDescent="0.25">
      <c r="A190" s="1"/>
      <c r="B190" s="1" t="str">
        <f>IF(Master[[#This Row],[Accession Prefix (NPGS)]]="","",Master[[#This Row],[Accession Prefix (NPGS)]])</f>
        <v/>
      </c>
      <c r="C190" s="64" t="str">
        <f>IF(Master[[#This Row],[Accession Number -Assigned]]="","",Master[[#This Row],[Accession Number -Assigned]])</f>
        <v/>
      </c>
      <c r="D190" s="114" t="str">
        <f>IF(Master[[#This Row],[Taxon -Lookup Picker in GRIN]]="","",Master[[#This Row],[Taxon -Lookup Picker in GRIN]])</f>
        <v/>
      </c>
      <c r="E190" s="1" t="str">
        <f>IF(Master[[#This Row],[Life Form -Lookup Picker]]="","",Master[[#This Row],[Life Form -Lookup Picker]])</f>
        <v/>
      </c>
      <c r="F190" s="1" t="str">
        <f>IF(Master[[#This Row],[Level of Improvement -Lookup Picker]]="","",Master[[#This Row],[Level of Improvement -Lookup Picker]])</f>
        <v/>
      </c>
      <c r="G190" s="1" t="str">
        <f>IF(Master[[#This Row],[Reproductive Uniformity -Lookup Picker]]="","",Master[[#This Row],[Reproductive Uniformity -Lookup Picker]])</f>
        <v/>
      </c>
      <c r="H190" s="11" t="str">
        <f>IF(Master[[#This Row],[Inventory Type - Lookup Picker]]="","",Master[[#This Row],[Inventory Type - Lookup Picker]])</f>
        <v/>
      </c>
      <c r="I190" s="149" t="str">
        <f t="shared" si="6"/>
        <v>mm/dd/yyyy</v>
      </c>
      <c r="J190" s="148">
        <f>Master[[#This Row],[Received Date -received by site]]</f>
        <v>0</v>
      </c>
      <c r="K190" s="42" t="str">
        <f>IF(Master[[#This Row],[Note (Accession Narrative)]]="","",Master[[#This Row],[Note (Accession Narrative)]])</f>
        <v/>
      </c>
    </row>
    <row r="191" spans="1:11" ht="15.75" x14ac:dyDescent="0.25">
      <c r="A191" s="1"/>
      <c r="B191" s="1" t="str">
        <f>IF(Master[[#This Row],[Accession Prefix (NPGS)]]="","",Master[[#This Row],[Accession Prefix (NPGS)]])</f>
        <v/>
      </c>
      <c r="C191" s="64" t="str">
        <f>IF(Master[[#This Row],[Accession Number -Assigned]]="","",Master[[#This Row],[Accession Number -Assigned]])</f>
        <v/>
      </c>
      <c r="D191" s="114" t="str">
        <f>IF(Master[[#This Row],[Taxon -Lookup Picker in GRIN]]="","",Master[[#This Row],[Taxon -Lookup Picker in GRIN]])</f>
        <v/>
      </c>
      <c r="E191" s="1" t="str">
        <f>IF(Master[[#This Row],[Life Form -Lookup Picker]]="","",Master[[#This Row],[Life Form -Lookup Picker]])</f>
        <v/>
      </c>
      <c r="F191" s="1" t="str">
        <f>IF(Master[[#This Row],[Level of Improvement -Lookup Picker]]="","",Master[[#This Row],[Level of Improvement -Lookup Picker]])</f>
        <v/>
      </c>
      <c r="G191" s="1" t="str">
        <f>IF(Master[[#This Row],[Reproductive Uniformity -Lookup Picker]]="","",Master[[#This Row],[Reproductive Uniformity -Lookup Picker]])</f>
        <v/>
      </c>
      <c r="H191" s="11" t="str">
        <f>IF(Master[[#This Row],[Inventory Type - Lookup Picker]]="","",Master[[#This Row],[Inventory Type - Lookup Picker]])</f>
        <v/>
      </c>
      <c r="I191" s="149" t="str">
        <f t="shared" si="6"/>
        <v>mm/dd/yyyy</v>
      </c>
      <c r="J191" s="148">
        <f>Master[[#This Row],[Received Date -received by site]]</f>
        <v>0</v>
      </c>
      <c r="K191" s="42" t="str">
        <f>IF(Master[[#This Row],[Note (Accession Narrative)]]="","",Master[[#This Row],[Note (Accession Narrative)]])</f>
        <v/>
      </c>
    </row>
    <row r="192" spans="1:11" ht="15.75" x14ac:dyDescent="0.25">
      <c r="A192" s="1"/>
      <c r="B192" s="1" t="str">
        <f>IF(Master[[#This Row],[Accession Prefix (NPGS)]]="","",Master[[#This Row],[Accession Prefix (NPGS)]])</f>
        <v/>
      </c>
      <c r="C192" s="64" t="str">
        <f>IF(Master[[#This Row],[Accession Number -Assigned]]="","",Master[[#This Row],[Accession Number -Assigned]])</f>
        <v/>
      </c>
      <c r="D192" s="114" t="str">
        <f>IF(Master[[#This Row],[Taxon -Lookup Picker in GRIN]]="","",Master[[#This Row],[Taxon -Lookup Picker in GRIN]])</f>
        <v/>
      </c>
      <c r="E192" s="1" t="str">
        <f>IF(Master[[#This Row],[Life Form -Lookup Picker]]="","",Master[[#This Row],[Life Form -Lookup Picker]])</f>
        <v/>
      </c>
      <c r="F192" s="1" t="str">
        <f>IF(Master[[#This Row],[Level of Improvement -Lookup Picker]]="","",Master[[#This Row],[Level of Improvement -Lookup Picker]])</f>
        <v/>
      </c>
      <c r="G192" s="1" t="str">
        <f>IF(Master[[#This Row],[Reproductive Uniformity -Lookup Picker]]="","",Master[[#This Row],[Reproductive Uniformity -Lookup Picker]])</f>
        <v/>
      </c>
      <c r="H192" s="11" t="str">
        <f>IF(Master[[#This Row],[Inventory Type - Lookup Picker]]="","",Master[[#This Row],[Inventory Type - Lookup Picker]])</f>
        <v/>
      </c>
      <c r="I192" s="149" t="str">
        <f t="shared" si="6"/>
        <v>mm/dd/yyyy</v>
      </c>
      <c r="J192" s="148">
        <f>Master[[#This Row],[Received Date -received by site]]</f>
        <v>0</v>
      </c>
      <c r="K192" s="42" t="str">
        <f>IF(Master[[#This Row],[Note (Accession Narrative)]]="","",Master[[#This Row],[Note (Accession Narrative)]])</f>
        <v/>
      </c>
    </row>
    <row r="193" spans="1:11" ht="15.75" x14ac:dyDescent="0.25">
      <c r="A193" s="1"/>
      <c r="B193" s="1" t="str">
        <f>IF(Master[[#This Row],[Accession Prefix (NPGS)]]="","",Master[[#This Row],[Accession Prefix (NPGS)]])</f>
        <v/>
      </c>
      <c r="C193" s="64" t="str">
        <f>IF(Master[[#This Row],[Accession Number -Assigned]]="","",Master[[#This Row],[Accession Number -Assigned]])</f>
        <v/>
      </c>
      <c r="D193" s="114" t="str">
        <f>IF(Master[[#This Row],[Taxon -Lookup Picker in GRIN]]="","",Master[[#This Row],[Taxon -Lookup Picker in GRIN]])</f>
        <v/>
      </c>
      <c r="E193" s="1" t="str">
        <f>IF(Master[[#This Row],[Life Form -Lookup Picker]]="","",Master[[#This Row],[Life Form -Lookup Picker]])</f>
        <v/>
      </c>
      <c r="F193" s="1" t="str">
        <f>IF(Master[[#This Row],[Level of Improvement -Lookup Picker]]="","",Master[[#This Row],[Level of Improvement -Lookup Picker]])</f>
        <v/>
      </c>
      <c r="G193" s="1" t="str">
        <f>IF(Master[[#This Row],[Reproductive Uniformity -Lookup Picker]]="","",Master[[#This Row],[Reproductive Uniformity -Lookup Picker]])</f>
        <v/>
      </c>
      <c r="H193" s="11" t="str">
        <f>IF(Master[[#This Row],[Inventory Type - Lookup Picker]]="","",Master[[#This Row],[Inventory Type - Lookup Picker]])</f>
        <v/>
      </c>
      <c r="I193" s="149" t="str">
        <f t="shared" si="6"/>
        <v>mm/dd/yyyy</v>
      </c>
      <c r="J193" s="148">
        <f>Master[[#This Row],[Received Date -received by site]]</f>
        <v>0</v>
      </c>
      <c r="K193" s="42" t="str">
        <f>IF(Master[[#This Row],[Note (Accession Narrative)]]="","",Master[[#This Row],[Note (Accession Narrative)]])</f>
        <v/>
      </c>
    </row>
    <row r="194" spans="1:11" ht="15.75" x14ac:dyDescent="0.25">
      <c r="A194" s="1"/>
      <c r="B194" s="1" t="str">
        <f>IF(Master[[#This Row],[Accession Prefix (NPGS)]]="","",Master[[#This Row],[Accession Prefix (NPGS)]])</f>
        <v/>
      </c>
      <c r="C194" s="64" t="str">
        <f>IF(Master[[#This Row],[Accession Number -Assigned]]="","",Master[[#This Row],[Accession Number -Assigned]])</f>
        <v/>
      </c>
      <c r="D194" s="114" t="str">
        <f>IF(Master[[#This Row],[Taxon -Lookup Picker in GRIN]]="","",Master[[#This Row],[Taxon -Lookup Picker in GRIN]])</f>
        <v/>
      </c>
      <c r="E194" s="1" t="str">
        <f>IF(Master[[#This Row],[Life Form -Lookup Picker]]="","",Master[[#This Row],[Life Form -Lookup Picker]])</f>
        <v/>
      </c>
      <c r="F194" s="1" t="str">
        <f>IF(Master[[#This Row],[Level of Improvement -Lookup Picker]]="","",Master[[#This Row],[Level of Improvement -Lookup Picker]])</f>
        <v/>
      </c>
      <c r="G194" s="1" t="str">
        <f>IF(Master[[#This Row],[Reproductive Uniformity -Lookup Picker]]="","",Master[[#This Row],[Reproductive Uniformity -Lookup Picker]])</f>
        <v/>
      </c>
      <c r="H194" s="11" t="str">
        <f>IF(Master[[#This Row],[Inventory Type - Lookup Picker]]="","",Master[[#This Row],[Inventory Type - Lookup Picker]])</f>
        <v/>
      </c>
      <c r="I194" s="149" t="str">
        <f t="shared" si="6"/>
        <v>mm/dd/yyyy</v>
      </c>
      <c r="J194" s="148">
        <f>Master[[#This Row],[Received Date -received by site]]</f>
        <v>0</v>
      </c>
      <c r="K194" s="42" t="str">
        <f>IF(Master[[#This Row],[Note (Accession Narrative)]]="","",Master[[#This Row],[Note (Accession Narrative)]])</f>
        <v/>
      </c>
    </row>
    <row r="195" spans="1:11" ht="15.75" x14ac:dyDescent="0.25">
      <c r="A195" s="1"/>
      <c r="B195" s="1" t="str">
        <f>IF(Master[[#This Row],[Accession Prefix (NPGS)]]="","",Master[[#This Row],[Accession Prefix (NPGS)]])</f>
        <v/>
      </c>
      <c r="C195" s="64" t="str">
        <f>IF(Master[[#This Row],[Accession Number -Assigned]]="","",Master[[#This Row],[Accession Number -Assigned]])</f>
        <v/>
      </c>
      <c r="D195" s="114" t="str">
        <f>IF(Master[[#This Row],[Taxon -Lookup Picker in GRIN]]="","",Master[[#This Row],[Taxon -Lookup Picker in GRIN]])</f>
        <v/>
      </c>
      <c r="E195" s="1" t="str">
        <f>IF(Master[[#This Row],[Life Form -Lookup Picker]]="","",Master[[#This Row],[Life Form -Lookup Picker]])</f>
        <v/>
      </c>
      <c r="F195" s="1" t="str">
        <f>IF(Master[[#This Row],[Level of Improvement -Lookup Picker]]="","",Master[[#This Row],[Level of Improvement -Lookup Picker]])</f>
        <v/>
      </c>
      <c r="G195" s="1" t="str">
        <f>IF(Master[[#This Row],[Reproductive Uniformity -Lookup Picker]]="","",Master[[#This Row],[Reproductive Uniformity -Lookup Picker]])</f>
        <v/>
      </c>
      <c r="H195" s="11" t="str">
        <f>IF(Master[[#This Row],[Inventory Type - Lookup Picker]]="","",Master[[#This Row],[Inventory Type - Lookup Picker]])</f>
        <v/>
      </c>
      <c r="I195" s="149" t="str">
        <f t="shared" si="6"/>
        <v>mm/dd/yyyy</v>
      </c>
      <c r="J195" s="148">
        <f>Master[[#This Row],[Received Date -received by site]]</f>
        <v>0</v>
      </c>
      <c r="K195" s="42" t="str">
        <f>IF(Master[[#This Row],[Note (Accession Narrative)]]="","",Master[[#This Row],[Note (Accession Narrative)]])</f>
        <v/>
      </c>
    </row>
    <row r="196" spans="1:11" ht="15.75" x14ac:dyDescent="0.25">
      <c r="A196" s="1"/>
      <c r="B196" s="1" t="str">
        <f>IF(Master[[#This Row],[Accession Prefix (NPGS)]]="","",Master[[#This Row],[Accession Prefix (NPGS)]])</f>
        <v/>
      </c>
      <c r="C196" s="64" t="str">
        <f>IF(Master[[#This Row],[Accession Number -Assigned]]="","",Master[[#This Row],[Accession Number -Assigned]])</f>
        <v/>
      </c>
      <c r="D196" s="114" t="str">
        <f>IF(Master[[#This Row],[Taxon -Lookup Picker in GRIN]]="","",Master[[#This Row],[Taxon -Lookup Picker in GRIN]])</f>
        <v/>
      </c>
      <c r="E196" s="1" t="str">
        <f>IF(Master[[#This Row],[Life Form -Lookup Picker]]="","",Master[[#This Row],[Life Form -Lookup Picker]])</f>
        <v/>
      </c>
      <c r="F196" s="1" t="str">
        <f>IF(Master[[#This Row],[Level of Improvement -Lookup Picker]]="","",Master[[#This Row],[Level of Improvement -Lookup Picker]])</f>
        <v/>
      </c>
      <c r="G196" s="1" t="str">
        <f>IF(Master[[#This Row],[Reproductive Uniformity -Lookup Picker]]="","",Master[[#This Row],[Reproductive Uniformity -Lookup Picker]])</f>
        <v/>
      </c>
      <c r="H196" s="11" t="str">
        <f>IF(Master[[#This Row],[Inventory Type - Lookup Picker]]="","",Master[[#This Row],[Inventory Type - Lookup Picker]])</f>
        <v/>
      </c>
      <c r="I196" s="149" t="str">
        <f t="shared" si="6"/>
        <v>mm/dd/yyyy</v>
      </c>
      <c r="J196" s="148">
        <f>Master[[#This Row],[Received Date -received by site]]</f>
        <v>0</v>
      </c>
      <c r="K196" s="42" t="str">
        <f>IF(Master[[#This Row],[Note (Accession Narrative)]]="","",Master[[#This Row],[Note (Accession Narrative)]])</f>
        <v/>
      </c>
    </row>
    <row r="197" spans="1:11" ht="15.75" x14ac:dyDescent="0.25">
      <c r="A197" s="1"/>
      <c r="B197" s="1" t="str">
        <f>IF(Master[[#This Row],[Accession Prefix (NPGS)]]="","",Master[[#This Row],[Accession Prefix (NPGS)]])</f>
        <v/>
      </c>
      <c r="C197" s="64" t="str">
        <f>IF(Master[[#This Row],[Accession Number -Assigned]]="","",Master[[#This Row],[Accession Number -Assigned]])</f>
        <v/>
      </c>
      <c r="D197" s="114" t="str">
        <f>IF(Master[[#This Row],[Taxon -Lookup Picker in GRIN]]="","",Master[[#This Row],[Taxon -Lookup Picker in GRIN]])</f>
        <v/>
      </c>
      <c r="E197" s="1" t="str">
        <f>IF(Master[[#This Row],[Life Form -Lookup Picker]]="","",Master[[#This Row],[Life Form -Lookup Picker]])</f>
        <v/>
      </c>
      <c r="F197" s="1" t="str">
        <f>IF(Master[[#This Row],[Level of Improvement -Lookup Picker]]="","",Master[[#This Row],[Level of Improvement -Lookup Picker]])</f>
        <v/>
      </c>
      <c r="G197" s="1" t="str">
        <f>IF(Master[[#This Row],[Reproductive Uniformity -Lookup Picker]]="","",Master[[#This Row],[Reproductive Uniformity -Lookup Picker]])</f>
        <v/>
      </c>
      <c r="H197" s="11" t="str">
        <f>IF(Master[[#This Row],[Inventory Type - Lookup Picker]]="","",Master[[#This Row],[Inventory Type - Lookup Picker]])</f>
        <v/>
      </c>
      <c r="I197" s="149" t="str">
        <f t="shared" si="6"/>
        <v>mm/dd/yyyy</v>
      </c>
      <c r="J197" s="148">
        <f>Master[[#This Row],[Received Date -received by site]]</f>
        <v>0</v>
      </c>
      <c r="K197" s="42" t="str">
        <f>IF(Master[[#This Row],[Note (Accession Narrative)]]="","",Master[[#This Row],[Note (Accession Narrative)]])</f>
        <v/>
      </c>
    </row>
    <row r="198" spans="1:11" ht="15.75" x14ac:dyDescent="0.25">
      <c r="A198" s="1"/>
      <c r="B198" s="1" t="str">
        <f>IF(Master[[#This Row],[Accession Prefix (NPGS)]]="","",Master[[#This Row],[Accession Prefix (NPGS)]])</f>
        <v/>
      </c>
      <c r="C198" s="64" t="str">
        <f>IF(Master[[#This Row],[Accession Number -Assigned]]="","",Master[[#This Row],[Accession Number -Assigned]])</f>
        <v/>
      </c>
      <c r="D198" s="114" t="str">
        <f>IF(Master[[#This Row],[Taxon -Lookup Picker in GRIN]]="","",Master[[#This Row],[Taxon -Lookup Picker in GRIN]])</f>
        <v/>
      </c>
      <c r="E198" s="1" t="str">
        <f>IF(Master[[#This Row],[Life Form -Lookup Picker]]="","",Master[[#This Row],[Life Form -Lookup Picker]])</f>
        <v/>
      </c>
      <c r="F198" s="1" t="str">
        <f>IF(Master[[#This Row],[Level of Improvement -Lookup Picker]]="","",Master[[#This Row],[Level of Improvement -Lookup Picker]])</f>
        <v/>
      </c>
      <c r="G198" s="1" t="str">
        <f>IF(Master[[#This Row],[Reproductive Uniformity -Lookup Picker]]="","",Master[[#This Row],[Reproductive Uniformity -Lookup Picker]])</f>
        <v/>
      </c>
      <c r="H198" s="11" t="str">
        <f>IF(Master[[#This Row],[Inventory Type - Lookup Picker]]="","",Master[[#This Row],[Inventory Type - Lookup Picker]])</f>
        <v/>
      </c>
      <c r="I198" s="149" t="str">
        <f t="shared" si="6"/>
        <v>mm/dd/yyyy</v>
      </c>
      <c r="J198" s="148">
        <f>Master[[#This Row],[Received Date -received by site]]</f>
        <v>0</v>
      </c>
      <c r="K198" s="42" t="str">
        <f>IF(Master[[#This Row],[Note (Accession Narrative)]]="","",Master[[#This Row],[Note (Accession Narrative)]])</f>
        <v/>
      </c>
    </row>
    <row r="199" spans="1:11" ht="15.75" x14ac:dyDescent="0.25">
      <c r="A199" s="1"/>
      <c r="B199" s="1" t="str">
        <f>IF(Master[[#This Row],[Accession Prefix (NPGS)]]="","",Master[[#This Row],[Accession Prefix (NPGS)]])</f>
        <v/>
      </c>
      <c r="C199" s="64" t="str">
        <f>IF(Master[[#This Row],[Accession Number -Assigned]]="","",Master[[#This Row],[Accession Number -Assigned]])</f>
        <v/>
      </c>
      <c r="D199" s="114" t="str">
        <f>IF(Master[[#This Row],[Taxon -Lookup Picker in GRIN]]="","",Master[[#This Row],[Taxon -Lookup Picker in GRIN]])</f>
        <v/>
      </c>
      <c r="E199" s="1" t="str">
        <f>IF(Master[[#This Row],[Life Form -Lookup Picker]]="","",Master[[#This Row],[Life Form -Lookup Picker]])</f>
        <v/>
      </c>
      <c r="F199" s="1" t="str">
        <f>IF(Master[[#This Row],[Level of Improvement -Lookup Picker]]="","",Master[[#This Row],[Level of Improvement -Lookup Picker]])</f>
        <v/>
      </c>
      <c r="G199" s="1" t="str">
        <f>IF(Master[[#This Row],[Reproductive Uniformity -Lookup Picker]]="","",Master[[#This Row],[Reproductive Uniformity -Lookup Picker]])</f>
        <v/>
      </c>
      <c r="H199" s="11" t="str">
        <f>IF(Master[[#This Row],[Inventory Type - Lookup Picker]]="","",Master[[#This Row],[Inventory Type - Lookup Picker]])</f>
        <v/>
      </c>
      <c r="I199" s="149" t="str">
        <f t="shared" si="6"/>
        <v>mm/dd/yyyy</v>
      </c>
      <c r="J199" s="148">
        <f>Master[[#This Row],[Received Date -received by site]]</f>
        <v>0</v>
      </c>
      <c r="K199" s="42" t="str">
        <f>IF(Master[[#This Row],[Note (Accession Narrative)]]="","",Master[[#This Row],[Note (Accession Narrative)]])</f>
        <v/>
      </c>
    </row>
    <row r="200" spans="1:11" ht="15.75" x14ac:dyDescent="0.25">
      <c r="A200" s="1"/>
      <c r="B200" s="1" t="str">
        <f>IF(Master[[#This Row],[Accession Prefix (NPGS)]]="","",Master[[#This Row],[Accession Prefix (NPGS)]])</f>
        <v/>
      </c>
      <c r="C200" s="64" t="str">
        <f>IF(Master[[#This Row],[Accession Number -Assigned]]="","",Master[[#This Row],[Accession Number -Assigned]])</f>
        <v/>
      </c>
      <c r="D200" s="114" t="str">
        <f>IF(Master[[#This Row],[Taxon -Lookup Picker in GRIN]]="","",Master[[#This Row],[Taxon -Lookup Picker in GRIN]])</f>
        <v/>
      </c>
      <c r="E200" s="1" t="str">
        <f>IF(Master[[#This Row],[Life Form -Lookup Picker]]="","",Master[[#This Row],[Life Form -Lookup Picker]])</f>
        <v/>
      </c>
      <c r="F200" s="1" t="str">
        <f>IF(Master[[#This Row],[Level of Improvement -Lookup Picker]]="","",Master[[#This Row],[Level of Improvement -Lookup Picker]])</f>
        <v/>
      </c>
      <c r="G200" s="1" t="str">
        <f>IF(Master[[#This Row],[Reproductive Uniformity -Lookup Picker]]="","",Master[[#This Row],[Reproductive Uniformity -Lookup Picker]])</f>
        <v/>
      </c>
      <c r="H200" s="11" t="str">
        <f>IF(Master[[#This Row],[Inventory Type - Lookup Picker]]="","",Master[[#This Row],[Inventory Type - Lookup Picker]])</f>
        <v/>
      </c>
      <c r="I200" s="149" t="str">
        <f t="shared" si="6"/>
        <v>mm/dd/yyyy</v>
      </c>
      <c r="J200" s="148">
        <f>Master[[#This Row],[Received Date -received by site]]</f>
        <v>0</v>
      </c>
      <c r="K200" s="42" t="str">
        <f>IF(Master[[#This Row],[Note (Accession Narrative)]]="","",Master[[#This Row],[Note (Accession Narrative)]])</f>
        <v/>
      </c>
    </row>
    <row r="201" spans="1:11" ht="15.75" x14ac:dyDescent="0.25">
      <c r="A201" s="1"/>
      <c r="B201" s="1" t="str">
        <f>IF(Master[[#This Row],[Accession Prefix (NPGS)]]="","",Master[[#This Row],[Accession Prefix (NPGS)]])</f>
        <v/>
      </c>
      <c r="C201" s="64" t="str">
        <f>IF(Master[[#This Row],[Accession Number -Assigned]]="","",Master[[#This Row],[Accession Number -Assigned]])</f>
        <v/>
      </c>
      <c r="D201" s="114" t="str">
        <f>IF(Master[[#This Row],[Taxon -Lookup Picker in GRIN]]="","",Master[[#This Row],[Taxon -Lookup Picker in GRIN]])</f>
        <v/>
      </c>
      <c r="E201" s="1" t="str">
        <f>IF(Master[[#This Row],[Life Form -Lookup Picker]]="","",Master[[#This Row],[Life Form -Lookup Picker]])</f>
        <v/>
      </c>
      <c r="F201" s="1" t="str">
        <f>IF(Master[[#This Row],[Level of Improvement -Lookup Picker]]="","",Master[[#This Row],[Level of Improvement -Lookup Picker]])</f>
        <v/>
      </c>
      <c r="G201" s="1" t="str">
        <f>IF(Master[[#This Row],[Reproductive Uniformity -Lookup Picker]]="","",Master[[#This Row],[Reproductive Uniformity -Lookup Picker]])</f>
        <v/>
      </c>
      <c r="H201" s="11" t="str">
        <f>IF(Master[[#This Row],[Inventory Type - Lookup Picker]]="","",Master[[#This Row],[Inventory Type - Lookup Picker]])</f>
        <v/>
      </c>
      <c r="I201" s="149" t="str">
        <f t="shared" si="6"/>
        <v>mm/dd/yyyy</v>
      </c>
      <c r="J201" s="148">
        <f>Master[[#This Row],[Received Date -received by site]]</f>
        <v>0</v>
      </c>
      <c r="K201" s="42" t="str">
        <f>IF(Master[[#This Row],[Note (Accession Narrative)]]="","",Master[[#This Row],[Note (Accession Narrative)]])</f>
        <v/>
      </c>
    </row>
  </sheetData>
  <sheetProtection insertRows="0"/>
  <pageMargins left="0.7" right="0.7" top="0.75" bottom="0.75" header="0.3" footer="0.3"/>
  <ignoredErrors>
    <ignoredError sqref="C3"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A4"/>
  <sheetViews>
    <sheetView workbookViewId="0"/>
  </sheetViews>
  <sheetFormatPr defaultRowHeight="15" x14ac:dyDescent="0.25"/>
  <cols>
    <col min="1" max="1" width="117.7109375" customWidth="1"/>
  </cols>
  <sheetData>
    <row r="1" spans="1:1" ht="278.25" customHeight="1" x14ac:dyDescent="0.25">
      <c r="A1" s="117" t="s">
        <v>515</v>
      </c>
    </row>
    <row r="4" spans="1:1" ht="114" x14ac:dyDescent="0.25">
      <c r="A4" s="132" t="s">
        <v>519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AC134"/>
  <sheetViews>
    <sheetView workbookViewId="0">
      <selection activeCell="C10" sqref="C10"/>
    </sheetView>
  </sheetViews>
  <sheetFormatPr defaultColWidth="9.28515625" defaultRowHeight="15" x14ac:dyDescent="0.25"/>
  <cols>
    <col min="1" max="1" width="14.28515625" style="7" bestFit="1" customWidth="1"/>
    <col min="2" max="2" width="9.28515625" style="7"/>
    <col min="3" max="4" width="10.28515625" style="7" customWidth="1"/>
    <col min="5" max="6" width="9.28515625" style="7"/>
    <col min="7" max="7" width="18.42578125" style="7" bestFit="1" customWidth="1"/>
    <col min="8" max="14" width="9.28515625" style="7"/>
    <col min="15" max="15" width="7.28515625" style="7" customWidth="1"/>
    <col min="16" max="16384" width="9.28515625" style="7"/>
  </cols>
  <sheetData>
    <row r="1" spans="1:29" s="6" customFormat="1" ht="60" x14ac:dyDescent="0.25">
      <c r="A1" s="6" t="s">
        <v>1</v>
      </c>
      <c r="B1" s="6" t="s">
        <v>2</v>
      </c>
      <c r="C1" s="6" t="s">
        <v>3</v>
      </c>
      <c r="D1" s="6" t="s">
        <v>499</v>
      </c>
      <c r="E1" s="6" t="s">
        <v>0</v>
      </c>
      <c r="F1" s="6" t="s">
        <v>69</v>
      </c>
      <c r="G1" s="6" t="s">
        <v>500</v>
      </c>
      <c r="H1" s="6" t="s">
        <v>501</v>
      </c>
      <c r="I1" s="6" t="s">
        <v>502</v>
      </c>
      <c r="J1" s="6" t="s">
        <v>503</v>
      </c>
      <c r="K1" s="6" t="s">
        <v>504</v>
      </c>
      <c r="L1" s="6" t="s">
        <v>505</v>
      </c>
      <c r="M1" s="6" t="s">
        <v>506</v>
      </c>
      <c r="N1" s="6" t="s">
        <v>4</v>
      </c>
      <c r="O1" s="6" t="s">
        <v>5</v>
      </c>
      <c r="P1" s="6" t="s">
        <v>6</v>
      </c>
      <c r="Q1" s="6" t="s">
        <v>7</v>
      </c>
      <c r="R1" s="6" t="s">
        <v>463</v>
      </c>
      <c r="S1" s="6" t="s">
        <v>8</v>
      </c>
      <c r="T1" s="6" t="s">
        <v>54</v>
      </c>
      <c r="U1" s="6" t="s">
        <v>9</v>
      </c>
      <c r="V1" s="6" t="s">
        <v>10</v>
      </c>
      <c r="W1" s="6" t="s">
        <v>507</v>
      </c>
      <c r="X1" s="6" t="s">
        <v>508</v>
      </c>
      <c r="Y1" s="6" t="s">
        <v>509</v>
      </c>
      <c r="Z1" s="6" t="s">
        <v>510</v>
      </c>
      <c r="AA1" s="6" t="s">
        <v>511</v>
      </c>
      <c r="AB1" s="6" t="s">
        <v>512</v>
      </c>
      <c r="AC1" s="6" t="s">
        <v>514</v>
      </c>
    </row>
    <row r="2" spans="1:29" x14ac:dyDescent="0.25">
      <c r="A2" s="7">
        <v>2096983</v>
      </c>
      <c r="B2" s="7" t="s">
        <v>305</v>
      </c>
      <c r="C2" s="7">
        <v>57036</v>
      </c>
      <c r="E2" s="7" t="s">
        <v>867</v>
      </c>
      <c r="F2" s="7" t="s">
        <v>877</v>
      </c>
      <c r="G2" s="7" t="s">
        <v>869</v>
      </c>
      <c r="H2" s="7" t="s">
        <v>305</v>
      </c>
      <c r="I2" s="7" t="s">
        <v>11</v>
      </c>
      <c r="J2" s="7" t="s">
        <v>13</v>
      </c>
      <c r="K2" s="7" t="s">
        <v>320</v>
      </c>
      <c r="M2" s="7" t="s">
        <v>513</v>
      </c>
      <c r="O2" s="7" t="s">
        <v>159</v>
      </c>
      <c r="Q2" s="7" t="s">
        <v>12</v>
      </c>
      <c r="R2" s="7" t="s">
        <v>56</v>
      </c>
      <c r="S2" s="2">
        <v>43734</v>
      </c>
      <c r="U2" s="7" t="s">
        <v>13</v>
      </c>
      <c r="W2" s="8" t="s">
        <v>881</v>
      </c>
      <c r="X2" s="8">
        <v>43734.396805555552</v>
      </c>
      <c r="Y2" s="8" t="s">
        <v>789</v>
      </c>
      <c r="Z2" s="8">
        <v>43943.666458333333</v>
      </c>
      <c r="AA2" s="8" t="s">
        <v>882</v>
      </c>
      <c r="AB2" s="8">
        <v>43734.396805555552</v>
      </c>
      <c r="AC2" s="7" t="s">
        <v>789</v>
      </c>
    </row>
    <row r="3" spans="1:29" x14ac:dyDescent="0.25">
      <c r="S3" s="8"/>
      <c r="X3" s="8"/>
      <c r="Z3" s="8"/>
      <c r="AB3" s="8"/>
    </row>
    <row r="4" spans="1:29" x14ac:dyDescent="0.25">
      <c r="S4" s="8"/>
      <c r="X4" s="8"/>
      <c r="Z4" s="8"/>
      <c r="AB4" s="8"/>
    </row>
    <row r="5" spans="1:29" x14ac:dyDescent="0.25">
      <c r="S5" s="8"/>
      <c r="X5" s="8"/>
      <c r="Z5" s="8"/>
      <c r="AB5" s="8"/>
    </row>
    <row r="6" spans="1:29" x14ac:dyDescent="0.25">
      <c r="S6" s="8"/>
      <c r="X6" s="8"/>
      <c r="Z6" s="8"/>
      <c r="AB6" s="8"/>
    </row>
    <row r="7" spans="1:29" x14ac:dyDescent="0.25">
      <c r="S7" s="8"/>
      <c r="X7" s="8"/>
      <c r="Z7" s="8"/>
      <c r="AB7" s="8"/>
    </row>
    <row r="8" spans="1:29" x14ac:dyDescent="0.25">
      <c r="S8" s="8"/>
      <c r="X8" s="8"/>
      <c r="Z8" s="8"/>
      <c r="AB8" s="8"/>
    </row>
    <row r="9" spans="1:29" x14ac:dyDescent="0.25">
      <c r="S9" s="8"/>
      <c r="X9" s="8"/>
      <c r="Z9" s="8"/>
      <c r="AB9" s="8"/>
    </row>
    <row r="10" spans="1:29" x14ac:dyDescent="0.25">
      <c r="S10" s="8"/>
      <c r="X10" s="8"/>
      <c r="Z10" s="8"/>
      <c r="AB10" s="8"/>
    </row>
    <row r="11" spans="1:29" x14ac:dyDescent="0.25">
      <c r="S11" s="8"/>
      <c r="X11" s="8"/>
      <c r="Z11" s="8"/>
      <c r="AB11" s="8"/>
    </row>
    <row r="12" spans="1:29" x14ac:dyDescent="0.25">
      <c r="S12" s="8"/>
      <c r="X12" s="8"/>
      <c r="Z12" s="8"/>
      <c r="AB12" s="8"/>
    </row>
    <row r="13" spans="1:29" x14ac:dyDescent="0.25">
      <c r="S13" s="8"/>
      <c r="X13" s="8"/>
      <c r="Z13" s="8"/>
      <c r="AB13" s="8"/>
    </row>
    <row r="14" spans="1:29" x14ac:dyDescent="0.25">
      <c r="S14" s="8"/>
      <c r="X14" s="8"/>
      <c r="Z14" s="8"/>
      <c r="AB14" s="8"/>
    </row>
    <row r="15" spans="1:29" x14ac:dyDescent="0.25">
      <c r="S15" s="8"/>
      <c r="X15" s="8"/>
      <c r="Z15" s="8"/>
      <c r="AB15" s="8"/>
    </row>
    <row r="16" spans="1:29" x14ac:dyDescent="0.25">
      <c r="S16" s="8"/>
      <c r="X16" s="8"/>
      <c r="Z16" s="8"/>
      <c r="AB16" s="8"/>
    </row>
    <row r="17" spans="19:28" x14ac:dyDescent="0.25">
      <c r="S17" s="8"/>
      <c r="X17" s="8"/>
      <c r="Z17" s="8"/>
      <c r="AB17" s="8"/>
    </row>
    <row r="18" spans="19:28" x14ac:dyDescent="0.25">
      <c r="S18" s="8"/>
      <c r="X18" s="8"/>
      <c r="Z18" s="8"/>
      <c r="AB18" s="8"/>
    </row>
    <row r="19" spans="19:28" x14ac:dyDescent="0.25">
      <c r="S19" s="8"/>
      <c r="X19" s="8"/>
      <c r="Z19" s="8"/>
      <c r="AB19" s="8"/>
    </row>
    <row r="20" spans="19:28" x14ac:dyDescent="0.25">
      <c r="S20" s="8"/>
      <c r="X20" s="8"/>
      <c r="Z20" s="8"/>
      <c r="AB20" s="8"/>
    </row>
    <row r="21" spans="19:28" x14ac:dyDescent="0.25">
      <c r="S21" s="8"/>
      <c r="X21" s="8"/>
      <c r="Z21" s="8"/>
      <c r="AB21" s="8"/>
    </row>
    <row r="22" spans="19:28" x14ac:dyDescent="0.25">
      <c r="S22" s="8"/>
      <c r="X22" s="8"/>
      <c r="Z22" s="8"/>
      <c r="AB22" s="8"/>
    </row>
    <row r="23" spans="19:28" x14ac:dyDescent="0.25">
      <c r="S23" s="8"/>
      <c r="X23" s="8"/>
      <c r="Z23" s="8"/>
      <c r="AB23" s="8"/>
    </row>
    <row r="24" spans="19:28" x14ac:dyDescent="0.25">
      <c r="S24" s="8"/>
      <c r="X24" s="8"/>
      <c r="Z24" s="8"/>
      <c r="AB24" s="8"/>
    </row>
    <row r="25" spans="19:28" x14ac:dyDescent="0.25">
      <c r="S25" s="8"/>
      <c r="X25" s="8"/>
      <c r="Z25" s="8"/>
      <c r="AB25" s="8"/>
    </row>
    <row r="26" spans="19:28" x14ac:dyDescent="0.25">
      <c r="S26" s="8"/>
      <c r="X26" s="8"/>
      <c r="Z26" s="8"/>
      <c r="AB26" s="8"/>
    </row>
    <row r="27" spans="19:28" x14ac:dyDescent="0.25">
      <c r="S27" s="8"/>
      <c r="X27" s="8"/>
      <c r="Z27" s="8"/>
      <c r="AB27" s="8"/>
    </row>
    <row r="28" spans="19:28" x14ac:dyDescent="0.25">
      <c r="S28" s="8"/>
      <c r="X28" s="8"/>
      <c r="Z28" s="8"/>
      <c r="AB28" s="8"/>
    </row>
    <row r="29" spans="19:28" x14ac:dyDescent="0.25">
      <c r="S29" s="8"/>
      <c r="X29" s="8"/>
      <c r="Z29" s="8"/>
      <c r="AB29" s="8"/>
    </row>
    <row r="30" spans="19:28" x14ac:dyDescent="0.25">
      <c r="S30" s="8"/>
      <c r="X30" s="8"/>
      <c r="Z30" s="8"/>
      <c r="AB30" s="8"/>
    </row>
    <row r="31" spans="19:28" x14ac:dyDescent="0.25">
      <c r="S31" s="8"/>
      <c r="X31" s="8"/>
      <c r="Z31" s="8"/>
      <c r="AB31" s="8"/>
    </row>
    <row r="32" spans="19:28" x14ac:dyDescent="0.25">
      <c r="S32" s="8"/>
      <c r="X32" s="8"/>
      <c r="Z32" s="8"/>
      <c r="AB32" s="8"/>
    </row>
    <row r="33" spans="19:28" x14ac:dyDescent="0.25">
      <c r="S33" s="8"/>
      <c r="X33" s="8"/>
      <c r="Z33" s="8"/>
      <c r="AB33" s="8"/>
    </row>
    <row r="34" spans="19:28" x14ac:dyDescent="0.25">
      <c r="S34" s="8"/>
      <c r="X34" s="8"/>
      <c r="Z34" s="8"/>
      <c r="AB34" s="8"/>
    </row>
    <row r="35" spans="19:28" x14ac:dyDescent="0.25">
      <c r="S35" s="8"/>
      <c r="X35" s="8"/>
      <c r="Z35" s="8"/>
      <c r="AB35" s="8"/>
    </row>
    <row r="36" spans="19:28" x14ac:dyDescent="0.25">
      <c r="S36" s="8"/>
      <c r="X36" s="8"/>
      <c r="Z36" s="8"/>
      <c r="AB36" s="8"/>
    </row>
    <row r="37" spans="19:28" x14ac:dyDescent="0.25">
      <c r="S37" s="8"/>
      <c r="X37" s="8"/>
      <c r="Z37" s="8"/>
      <c r="AB37" s="8"/>
    </row>
    <row r="38" spans="19:28" x14ac:dyDescent="0.25">
      <c r="S38" s="8"/>
      <c r="X38" s="8"/>
      <c r="Z38" s="8"/>
      <c r="AB38" s="8"/>
    </row>
    <row r="39" spans="19:28" x14ac:dyDescent="0.25">
      <c r="S39" s="8"/>
      <c r="X39" s="8"/>
      <c r="Z39" s="8"/>
      <c r="AB39" s="8"/>
    </row>
    <row r="40" spans="19:28" x14ac:dyDescent="0.25">
      <c r="S40" s="8"/>
      <c r="X40" s="8"/>
      <c r="Z40" s="8"/>
      <c r="AB40" s="8"/>
    </row>
    <row r="41" spans="19:28" x14ac:dyDescent="0.25">
      <c r="S41" s="8"/>
      <c r="X41" s="8"/>
      <c r="Z41" s="8"/>
      <c r="AB41" s="8"/>
    </row>
    <row r="42" spans="19:28" x14ac:dyDescent="0.25">
      <c r="S42" s="8"/>
      <c r="X42" s="8"/>
      <c r="Z42" s="8"/>
      <c r="AB42" s="8"/>
    </row>
    <row r="43" spans="19:28" x14ac:dyDescent="0.25">
      <c r="S43" s="8"/>
      <c r="X43" s="8"/>
      <c r="Z43" s="8"/>
      <c r="AB43" s="8"/>
    </row>
    <row r="44" spans="19:28" x14ac:dyDescent="0.25">
      <c r="S44" s="8"/>
      <c r="X44" s="8"/>
      <c r="Z44" s="8"/>
      <c r="AB44" s="8"/>
    </row>
    <row r="45" spans="19:28" x14ac:dyDescent="0.25">
      <c r="S45" s="8"/>
      <c r="X45" s="8"/>
      <c r="Z45" s="8"/>
      <c r="AB45" s="8"/>
    </row>
    <row r="46" spans="19:28" x14ac:dyDescent="0.25">
      <c r="S46" s="8"/>
      <c r="X46" s="8"/>
      <c r="Z46" s="8"/>
      <c r="AB46" s="8"/>
    </row>
    <row r="47" spans="19:28" x14ac:dyDescent="0.25">
      <c r="S47" s="8"/>
      <c r="X47" s="8"/>
      <c r="Z47" s="8"/>
      <c r="AB47" s="8"/>
    </row>
    <row r="48" spans="19:28" x14ac:dyDescent="0.25">
      <c r="S48" s="8"/>
      <c r="X48" s="8"/>
      <c r="Z48" s="8"/>
      <c r="AB48" s="8"/>
    </row>
    <row r="49" spans="19:28" x14ac:dyDescent="0.25">
      <c r="S49" s="8"/>
      <c r="X49" s="8"/>
      <c r="Z49" s="8"/>
      <c r="AB49" s="8"/>
    </row>
    <row r="50" spans="19:28" x14ac:dyDescent="0.25">
      <c r="S50" s="8"/>
      <c r="X50" s="8"/>
      <c r="Z50" s="8"/>
      <c r="AB50" s="8"/>
    </row>
    <row r="51" spans="19:28" x14ac:dyDescent="0.25">
      <c r="S51" s="8"/>
      <c r="X51" s="8"/>
      <c r="Z51" s="8"/>
      <c r="AB51" s="8"/>
    </row>
    <row r="52" spans="19:28" x14ac:dyDescent="0.25">
      <c r="S52" s="8"/>
      <c r="X52" s="8"/>
      <c r="Z52" s="8"/>
      <c r="AB52" s="8"/>
    </row>
    <row r="53" spans="19:28" x14ac:dyDescent="0.25">
      <c r="S53" s="8"/>
      <c r="X53" s="8"/>
      <c r="Z53" s="8"/>
      <c r="AB53" s="8"/>
    </row>
    <row r="54" spans="19:28" x14ac:dyDescent="0.25">
      <c r="S54" s="8"/>
      <c r="X54" s="8"/>
      <c r="Z54" s="8"/>
      <c r="AB54" s="8"/>
    </row>
    <row r="55" spans="19:28" x14ac:dyDescent="0.25">
      <c r="S55" s="8"/>
      <c r="X55" s="8"/>
      <c r="Z55" s="8"/>
      <c r="AB55" s="8"/>
    </row>
    <row r="56" spans="19:28" x14ac:dyDescent="0.25">
      <c r="S56" s="8"/>
      <c r="X56" s="8"/>
      <c r="Z56" s="8"/>
      <c r="AB56" s="8"/>
    </row>
    <row r="57" spans="19:28" x14ac:dyDescent="0.25">
      <c r="S57" s="8"/>
      <c r="X57" s="8"/>
      <c r="Z57" s="8"/>
      <c r="AB57" s="8"/>
    </row>
    <row r="58" spans="19:28" x14ac:dyDescent="0.25">
      <c r="S58" s="8"/>
      <c r="X58" s="8"/>
      <c r="Z58" s="8"/>
      <c r="AB58" s="8"/>
    </row>
    <row r="59" spans="19:28" x14ac:dyDescent="0.25">
      <c r="S59" s="8"/>
      <c r="X59" s="8"/>
      <c r="Z59" s="8"/>
      <c r="AB59" s="8"/>
    </row>
    <row r="60" spans="19:28" x14ac:dyDescent="0.25">
      <c r="S60" s="8"/>
      <c r="X60" s="8"/>
      <c r="Z60" s="8"/>
      <c r="AB60" s="8"/>
    </row>
    <row r="61" spans="19:28" x14ac:dyDescent="0.25">
      <c r="S61" s="8"/>
      <c r="X61" s="8"/>
      <c r="Z61" s="8"/>
      <c r="AB61" s="8"/>
    </row>
    <row r="62" spans="19:28" x14ac:dyDescent="0.25">
      <c r="S62" s="8"/>
      <c r="X62" s="8"/>
      <c r="Z62" s="8"/>
      <c r="AB62" s="8"/>
    </row>
    <row r="63" spans="19:28" x14ac:dyDescent="0.25">
      <c r="S63" s="8"/>
      <c r="X63" s="8"/>
      <c r="Z63" s="8"/>
      <c r="AB63" s="8"/>
    </row>
    <row r="64" spans="19:28" x14ac:dyDescent="0.25">
      <c r="S64" s="8"/>
      <c r="X64" s="8"/>
      <c r="Z64" s="8"/>
      <c r="AB64" s="8"/>
    </row>
    <row r="65" spans="19:28" x14ac:dyDescent="0.25">
      <c r="S65" s="8"/>
      <c r="X65" s="8"/>
      <c r="Z65" s="8"/>
      <c r="AB65" s="8"/>
    </row>
    <row r="66" spans="19:28" x14ac:dyDescent="0.25">
      <c r="S66" s="8"/>
      <c r="X66" s="8"/>
      <c r="Z66" s="8"/>
      <c r="AB66" s="8"/>
    </row>
    <row r="67" spans="19:28" x14ac:dyDescent="0.25">
      <c r="S67" s="8"/>
      <c r="X67" s="8"/>
      <c r="Z67" s="8"/>
      <c r="AB67" s="8"/>
    </row>
    <row r="68" spans="19:28" x14ac:dyDescent="0.25">
      <c r="S68" s="8"/>
      <c r="X68" s="8"/>
      <c r="Z68" s="8"/>
      <c r="AB68" s="8"/>
    </row>
    <row r="69" spans="19:28" x14ac:dyDescent="0.25">
      <c r="S69" s="8"/>
      <c r="X69" s="8"/>
      <c r="Z69" s="8"/>
      <c r="AB69" s="8"/>
    </row>
    <row r="70" spans="19:28" x14ac:dyDescent="0.25">
      <c r="S70" s="8"/>
      <c r="X70" s="8"/>
      <c r="Z70" s="8"/>
      <c r="AB70" s="8"/>
    </row>
    <row r="71" spans="19:28" x14ac:dyDescent="0.25">
      <c r="S71" s="8"/>
      <c r="X71" s="8"/>
      <c r="Z71" s="8"/>
      <c r="AB71" s="8"/>
    </row>
    <row r="72" spans="19:28" x14ac:dyDescent="0.25">
      <c r="S72" s="8"/>
      <c r="X72" s="8"/>
      <c r="Z72" s="8"/>
      <c r="AB72" s="8"/>
    </row>
    <row r="73" spans="19:28" x14ac:dyDescent="0.25">
      <c r="S73" s="8"/>
      <c r="X73" s="8"/>
      <c r="Z73" s="8"/>
      <c r="AB73" s="8"/>
    </row>
    <row r="74" spans="19:28" x14ac:dyDescent="0.25">
      <c r="S74" s="8"/>
      <c r="X74" s="8"/>
      <c r="Z74" s="8"/>
      <c r="AB74" s="8"/>
    </row>
    <row r="75" spans="19:28" x14ac:dyDescent="0.25">
      <c r="S75" s="8"/>
      <c r="X75" s="8"/>
      <c r="Z75" s="8"/>
      <c r="AB75" s="8"/>
    </row>
    <row r="76" spans="19:28" x14ac:dyDescent="0.25">
      <c r="S76" s="8"/>
      <c r="X76" s="8"/>
      <c r="Z76" s="8"/>
      <c r="AB76" s="8"/>
    </row>
    <row r="77" spans="19:28" x14ac:dyDescent="0.25">
      <c r="S77" s="8"/>
      <c r="X77" s="8"/>
      <c r="Z77" s="8"/>
      <c r="AB77" s="8"/>
    </row>
    <row r="78" spans="19:28" x14ac:dyDescent="0.25">
      <c r="S78" s="8"/>
      <c r="X78" s="8"/>
      <c r="Z78" s="8"/>
      <c r="AB78" s="8"/>
    </row>
    <row r="79" spans="19:28" x14ac:dyDescent="0.25">
      <c r="S79" s="8"/>
      <c r="X79" s="8"/>
      <c r="Z79" s="8"/>
      <c r="AB79" s="8"/>
    </row>
    <row r="80" spans="19:28" x14ac:dyDescent="0.25">
      <c r="S80" s="8"/>
      <c r="X80" s="8"/>
      <c r="Z80" s="8"/>
      <c r="AB80" s="8"/>
    </row>
    <row r="81" spans="19:28" x14ac:dyDescent="0.25">
      <c r="S81" s="8"/>
      <c r="X81" s="8"/>
      <c r="Z81" s="8"/>
      <c r="AB81" s="8"/>
    </row>
    <row r="82" spans="19:28" x14ac:dyDescent="0.25">
      <c r="S82" s="8"/>
      <c r="X82" s="8"/>
      <c r="Z82" s="8"/>
      <c r="AB82" s="8"/>
    </row>
    <row r="83" spans="19:28" x14ac:dyDescent="0.25">
      <c r="S83" s="8"/>
      <c r="X83" s="8"/>
      <c r="Z83" s="8"/>
      <c r="AB83" s="8"/>
    </row>
    <row r="84" spans="19:28" x14ac:dyDescent="0.25">
      <c r="S84" s="8"/>
      <c r="X84" s="8"/>
      <c r="Z84" s="8"/>
      <c r="AB84" s="8"/>
    </row>
    <row r="85" spans="19:28" x14ac:dyDescent="0.25">
      <c r="S85" s="8"/>
      <c r="X85" s="8"/>
      <c r="Z85" s="8"/>
      <c r="AB85" s="8"/>
    </row>
    <row r="86" spans="19:28" x14ac:dyDescent="0.25">
      <c r="S86" s="8"/>
      <c r="X86" s="8"/>
      <c r="Z86" s="8"/>
      <c r="AB86" s="8"/>
    </row>
    <row r="87" spans="19:28" x14ac:dyDescent="0.25">
      <c r="S87" s="8"/>
      <c r="X87" s="8"/>
      <c r="Z87" s="8"/>
      <c r="AB87" s="8"/>
    </row>
    <row r="88" spans="19:28" x14ac:dyDescent="0.25">
      <c r="S88" s="8"/>
      <c r="X88" s="8"/>
      <c r="Z88" s="8"/>
      <c r="AB88" s="8"/>
    </row>
    <row r="89" spans="19:28" x14ac:dyDescent="0.25">
      <c r="S89" s="8"/>
      <c r="X89" s="8"/>
      <c r="Z89" s="8"/>
      <c r="AB89" s="8"/>
    </row>
    <row r="90" spans="19:28" x14ac:dyDescent="0.25">
      <c r="S90" s="8"/>
      <c r="X90" s="8"/>
      <c r="Z90" s="8"/>
      <c r="AB90" s="8"/>
    </row>
    <row r="91" spans="19:28" x14ac:dyDescent="0.25">
      <c r="S91" s="8"/>
      <c r="X91" s="8"/>
      <c r="Z91" s="8"/>
      <c r="AB91" s="8"/>
    </row>
    <row r="92" spans="19:28" x14ac:dyDescent="0.25">
      <c r="S92" s="8"/>
      <c r="X92" s="8"/>
      <c r="Z92" s="8"/>
      <c r="AB92" s="8"/>
    </row>
    <row r="93" spans="19:28" x14ac:dyDescent="0.25">
      <c r="S93" s="8"/>
      <c r="X93" s="8"/>
      <c r="Z93" s="8"/>
      <c r="AB93" s="8"/>
    </row>
    <row r="94" spans="19:28" x14ac:dyDescent="0.25">
      <c r="S94" s="8"/>
      <c r="X94" s="8"/>
      <c r="Z94" s="8"/>
      <c r="AB94" s="8"/>
    </row>
    <row r="95" spans="19:28" x14ac:dyDescent="0.25">
      <c r="S95" s="8"/>
      <c r="X95" s="8"/>
      <c r="Z95" s="8"/>
      <c r="AB95" s="8"/>
    </row>
    <row r="96" spans="19:28" x14ac:dyDescent="0.25">
      <c r="S96" s="8"/>
      <c r="X96" s="8"/>
      <c r="Z96" s="8"/>
      <c r="AB96" s="8"/>
    </row>
    <row r="97" spans="19:28" x14ac:dyDescent="0.25">
      <c r="S97" s="8"/>
      <c r="X97" s="8"/>
      <c r="Z97" s="8"/>
      <c r="AB97" s="8"/>
    </row>
    <row r="98" spans="19:28" x14ac:dyDescent="0.25">
      <c r="S98" s="8"/>
      <c r="X98" s="8"/>
      <c r="Z98" s="8"/>
      <c r="AB98" s="8"/>
    </row>
    <row r="99" spans="19:28" x14ac:dyDescent="0.25">
      <c r="S99" s="8"/>
      <c r="X99" s="8"/>
      <c r="Z99" s="8"/>
      <c r="AB99" s="8"/>
    </row>
    <row r="100" spans="19:28" x14ac:dyDescent="0.25">
      <c r="S100" s="8"/>
      <c r="X100" s="8"/>
      <c r="Z100" s="8"/>
      <c r="AB100" s="8"/>
    </row>
    <row r="101" spans="19:28" x14ac:dyDescent="0.25">
      <c r="S101" s="8"/>
      <c r="X101" s="8"/>
      <c r="Z101" s="8"/>
      <c r="AB101" s="8"/>
    </row>
    <row r="102" spans="19:28" x14ac:dyDescent="0.25">
      <c r="S102" s="8"/>
      <c r="X102" s="8"/>
      <c r="Z102" s="8"/>
      <c r="AB102" s="8"/>
    </row>
    <row r="103" spans="19:28" x14ac:dyDescent="0.25">
      <c r="S103" s="8"/>
      <c r="X103" s="8"/>
      <c r="Z103" s="8"/>
      <c r="AB103" s="8"/>
    </row>
    <row r="104" spans="19:28" x14ac:dyDescent="0.25">
      <c r="S104" s="8"/>
      <c r="X104" s="8"/>
      <c r="Z104" s="8"/>
      <c r="AB104" s="8"/>
    </row>
    <row r="105" spans="19:28" x14ac:dyDescent="0.25">
      <c r="S105" s="8"/>
      <c r="X105" s="8"/>
      <c r="Z105" s="8"/>
      <c r="AB105" s="8"/>
    </row>
    <row r="106" spans="19:28" x14ac:dyDescent="0.25">
      <c r="S106" s="8"/>
      <c r="X106" s="8"/>
      <c r="Z106" s="8"/>
      <c r="AB106" s="8"/>
    </row>
    <row r="107" spans="19:28" x14ac:dyDescent="0.25">
      <c r="S107" s="8"/>
      <c r="X107" s="8"/>
      <c r="Z107" s="8"/>
      <c r="AB107" s="8"/>
    </row>
    <row r="108" spans="19:28" x14ac:dyDescent="0.25">
      <c r="S108" s="8"/>
      <c r="X108" s="8"/>
      <c r="Z108" s="8"/>
      <c r="AB108" s="8"/>
    </row>
    <row r="109" spans="19:28" x14ac:dyDescent="0.25">
      <c r="S109" s="8"/>
      <c r="X109" s="8"/>
      <c r="Z109" s="8"/>
      <c r="AB109" s="8"/>
    </row>
    <row r="110" spans="19:28" x14ac:dyDescent="0.25">
      <c r="S110" s="8"/>
      <c r="X110" s="8"/>
      <c r="Z110" s="8"/>
      <c r="AB110" s="8"/>
    </row>
    <row r="111" spans="19:28" x14ac:dyDescent="0.25">
      <c r="S111" s="8"/>
      <c r="X111" s="8"/>
      <c r="Z111" s="8"/>
      <c r="AB111" s="8"/>
    </row>
    <row r="112" spans="19:28" x14ac:dyDescent="0.25">
      <c r="S112" s="8"/>
      <c r="X112" s="8"/>
      <c r="Z112" s="8"/>
      <c r="AB112" s="8"/>
    </row>
    <row r="113" spans="19:28" x14ac:dyDescent="0.25">
      <c r="S113" s="8"/>
      <c r="X113" s="8"/>
      <c r="Z113" s="8"/>
      <c r="AB113" s="8"/>
    </row>
    <row r="114" spans="19:28" x14ac:dyDescent="0.25">
      <c r="S114" s="8"/>
      <c r="X114" s="8"/>
      <c r="Z114" s="8"/>
      <c r="AB114" s="8"/>
    </row>
    <row r="115" spans="19:28" x14ac:dyDescent="0.25">
      <c r="S115" s="8"/>
      <c r="X115" s="8"/>
      <c r="Z115" s="8"/>
      <c r="AB115" s="8"/>
    </row>
    <row r="116" spans="19:28" x14ac:dyDescent="0.25">
      <c r="S116" s="8"/>
      <c r="X116" s="8"/>
      <c r="Z116" s="8"/>
      <c r="AB116" s="8"/>
    </row>
    <row r="117" spans="19:28" x14ac:dyDescent="0.25">
      <c r="S117" s="8"/>
      <c r="X117" s="8"/>
      <c r="Z117" s="8"/>
      <c r="AB117" s="8"/>
    </row>
    <row r="118" spans="19:28" x14ac:dyDescent="0.25">
      <c r="S118" s="8"/>
      <c r="X118" s="8"/>
      <c r="Z118" s="8"/>
      <c r="AB118" s="8"/>
    </row>
    <row r="119" spans="19:28" x14ac:dyDescent="0.25">
      <c r="S119" s="8"/>
      <c r="X119" s="8"/>
      <c r="Z119" s="8"/>
      <c r="AB119" s="8"/>
    </row>
    <row r="120" spans="19:28" x14ac:dyDescent="0.25">
      <c r="S120" s="8"/>
      <c r="X120" s="8"/>
      <c r="Z120" s="8"/>
      <c r="AB120" s="8"/>
    </row>
    <row r="121" spans="19:28" x14ac:dyDescent="0.25">
      <c r="S121" s="8"/>
      <c r="X121" s="8"/>
      <c r="Z121" s="8"/>
      <c r="AB121" s="8"/>
    </row>
    <row r="122" spans="19:28" x14ac:dyDescent="0.25">
      <c r="S122" s="8"/>
      <c r="X122" s="8"/>
      <c r="Z122" s="8"/>
      <c r="AB122" s="8"/>
    </row>
    <row r="123" spans="19:28" x14ac:dyDescent="0.25">
      <c r="S123" s="8"/>
      <c r="X123" s="8"/>
      <c r="Z123" s="8"/>
      <c r="AB123" s="8"/>
    </row>
    <row r="124" spans="19:28" x14ac:dyDescent="0.25">
      <c r="S124" s="8"/>
      <c r="X124" s="8"/>
      <c r="Z124" s="8"/>
      <c r="AB124" s="8"/>
    </row>
    <row r="125" spans="19:28" x14ac:dyDescent="0.25">
      <c r="S125" s="8"/>
      <c r="X125" s="8"/>
      <c r="Z125" s="8"/>
      <c r="AB125" s="8"/>
    </row>
    <row r="126" spans="19:28" x14ac:dyDescent="0.25">
      <c r="S126" s="8"/>
      <c r="X126" s="8"/>
      <c r="Z126" s="8"/>
      <c r="AB126" s="8"/>
    </row>
    <row r="127" spans="19:28" x14ac:dyDescent="0.25">
      <c r="S127" s="8"/>
      <c r="X127" s="8"/>
      <c r="Z127" s="8"/>
      <c r="AB127" s="8"/>
    </row>
    <row r="128" spans="19:28" x14ac:dyDescent="0.25">
      <c r="S128" s="8"/>
      <c r="X128" s="8"/>
      <c r="Z128" s="8"/>
      <c r="AB128" s="8"/>
    </row>
    <row r="129" spans="19:28" x14ac:dyDescent="0.25">
      <c r="S129" s="8"/>
      <c r="X129" s="8"/>
      <c r="Z129" s="8"/>
      <c r="AB129" s="8"/>
    </row>
    <row r="130" spans="19:28" x14ac:dyDescent="0.25">
      <c r="S130" s="8"/>
      <c r="X130" s="8"/>
      <c r="Z130" s="8"/>
      <c r="AB130" s="8"/>
    </row>
    <row r="131" spans="19:28" x14ac:dyDescent="0.25">
      <c r="S131" s="8"/>
      <c r="X131" s="8"/>
      <c r="Z131" s="8"/>
      <c r="AB131" s="8"/>
    </row>
    <row r="132" spans="19:28" x14ac:dyDescent="0.25">
      <c r="S132" s="8"/>
      <c r="X132" s="8"/>
      <c r="Z132" s="8"/>
      <c r="AB132" s="8"/>
    </row>
    <row r="133" spans="19:28" x14ac:dyDescent="0.25">
      <c r="S133" s="8"/>
      <c r="X133" s="8"/>
      <c r="Z133" s="8"/>
      <c r="AB133" s="8"/>
    </row>
    <row r="134" spans="19:28" x14ac:dyDescent="0.25">
      <c r="S134" s="8"/>
      <c r="X134" s="8"/>
      <c r="Z134" s="8"/>
      <c r="AB134" s="8"/>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0" tint="-0.249977111117893"/>
  </sheetPr>
  <dimension ref="A1:J202"/>
  <sheetViews>
    <sheetView workbookViewId="0">
      <selection activeCell="C14" sqref="C14"/>
    </sheetView>
  </sheetViews>
  <sheetFormatPr defaultRowHeight="15" x14ac:dyDescent="0.25"/>
  <cols>
    <col min="1" max="1" width="12" bestFit="1" customWidth="1"/>
    <col min="2" max="2" width="12.85546875" bestFit="1" customWidth="1"/>
    <col min="3" max="3" width="15.85546875" bestFit="1" customWidth="1"/>
    <col min="4" max="4" width="13.42578125" customWidth="1"/>
    <col min="5" max="5" width="14.140625" style="9" customWidth="1"/>
    <col min="6" max="6" width="13.85546875" style="9" customWidth="1"/>
    <col min="7" max="7" width="11.28515625" style="9" customWidth="1"/>
    <col min="8" max="8" width="7.5703125" style="9" customWidth="1"/>
    <col min="9" max="9" width="78" style="9" bestFit="1" customWidth="1"/>
    <col min="10" max="10" width="25.42578125" customWidth="1"/>
  </cols>
  <sheetData>
    <row r="1" spans="1:10" s="116" customFormat="1" ht="45" x14ac:dyDescent="0.25">
      <c r="A1" s="124" t="s">
        <v>48</v>
      </c>
      <c r="B1" s="125" t="s">
        <v>10</v>
      </c>
      <c r="C1" s="125" t="s">
        <v>49</v>
      </c>
      <c r="D1" s="124" t="s">
        <v>50</v>
      </c>
      <c r="E1" s="124" t="s">
        <v>51</v>
      </c>
      <c r="F1" s="124" t="s">
        <v>52</v>
      </c>
      <c r="G1" s="124" t="s">
        <v>53</v>
      </c>
      <c r="H1" s="124" t="s">
        <v>54</v>
      </c>
      <c r="I1" s="124" t="s">
        <v>55</v>
      </c>
      <c r="J1" s="131" t="s">
        <v>9</v>
      </c>
    </row>
    <row r="2" spans="1:10" ht="15.75" x14ac:dyDescent="0.25">
      <c r="A2" s="1"/>
      <c r="B2" s="30" t="str">
        <f>Master[[#This Row],[Accession Prefix (NPGS)]]&amp;" "&amp;Master[[#This Row],[Accession Number -Assigned]]</f>
        <v>W6 57036</v>
      </c>
      <c r="C2" s="30" t="str">
        <f t="shared" ref="C2:C33" si="0">"Seeds of Success"</f>
        <v>Seeds of Success</v>
      </c>
      <c r="D2" s="30" t="str">
        <f>"mm/dd/yyyy"</f>
        <v>mm/dd/yyyy</v>
      </c>
      <c r="E2" s="193">
        <v>44095</v>
      </c>
      <c r="F2" s="30" t="str">
        <f>"mm/dd/yyyy"</f>
        <v>mm/dd/yyyy</v>
      </c>
      <c r="G2" s="39"/>
      <c r="H2" s="30" t="str">
        <f>"N"</f>
        <v>N</v>
      </c>
      <c r="I2" s="30" t="str">
        <f t="shared" ref="I2:I33" si="1">"Cashman, Michael J., USDA, ARS, Regional Plant Introduction Station, Pullman, Washington, United States"</f>
        <v>Cashman, Michael J., USDA, ARS, Regional Plant Introduction Station, Pullman, Washington, United States</v>
      </c>
      <c r="J2" s="40"/>
    </row>
    <row r="3" spans="1:10" x14ac:dyDescent="0.25">
      <c r="A3" s="30"/>
      <c r="B3" s="58" t="str">
        <f>Master[[#This Row],[Accession Prefix (NPGS)]]&amp;" "&amp;Master[[#This Row],[Accession Number -Assigned]]</f>
        <v xml:space="preserve">W6 </v>
      </c>
      <c r="C3" s="58" t="str">
        <f>"Seeds of Success"</f>
        <v>Seeds of Success</v>
      </c>
      <c r="D3" s="58" t="str">
        <f t="shared" ref="D3:D21" si="2">"mm/dd/yyyy"</f>
        <v>mm/dd/yyyy</v>
      </c>
      <c r="E3" s="215" t="s">
        <v>883</v>
      </c>
      <c r="F3" s="58" t="str">
        <f t="shared" ref="F3:F21" si="3">"mm/dd/yyyy"</f>
        <v>mm/dd/yyyy</v>
      </c>
      <c r="G3" s="61"/>
      <c r="H3" s="58" t="str">
        <f t="shared" ref="H3:H21" si="4">"N"</f>
        <v>N</v>
      </c>
      <c r="I3" s="30" t="str">
        <f t="shared" si="1"/>
        <v>Cashman, Michael J., USDA, ARS, Regional Plant Introduction Station, Pullman, Washington, United States</v>
      </c>
      <c r="J3" s="40"/>
    </row>
    <row r="4" spans="1:10" x14ac:dyDescent="0.25">
      <c r="A4" s="30"/>
      <c r="B4" s="58" t="str">
        <f>Master[[#This Row],[Accession Prefix (NPGS)]]&amp;" "&amp;Master[[#This Row],[Accession Number -Assigned]]</f>
        <v>W6 59590</v>
      </c>
      <c r="C4" s="58" t="str">
        <f t="shared" si="0"/>
        <v>Seeds of Success</v>
      </c>
      <c r="D4" s="58" t="str">
        <f t="shared" si="2"/>
        <v>mm/dd/yyyy</v>
      </c>
      <c r="E4" s="193"/>
      <c r="F4" s="58" t="str">
        <f t="shared" si="3"/>
        <v>mm/dd/yyyy</v>
      </c>
      <c r="G4" s="61"/>
      <c r="H4" s="58" t="str">
        <f t="shared" si="4"/>
        <v>N</v>
      </c>
      <c r="I4" s="30" t="str">
        <f t="shared" si="1"/>
        <v>Cashman, Michael J., USDA, ARS, Regional Plant Introduction Station, Pullman, Washington, United States</v>
      </c>
      <c r="J4" s="40"/>
    </row>
    <row r="5" spans="1:10" x14ac:dyDescent="0.25">
      <c r="A5" s="30"/>
      <c r="B5" s="58" t="str">
        <f>Master[[#This Row],[Accession Prefix (NPGS)]]&amp;" "&amp;Master[[#This Row],[Accession Number -Assigned]]</f>
        <v>W6 59591</v>
      </c>
      <c r="C5" s="58" t="str">
        <f t="shared" si="0"/>
        <v>Seeds of Success</v>
      </c>
      <c r="D5" s="58" t="str">
        <f t="shared" si="2"/>
        <v>mm/dd/yyyy</v>
      </c>
      <c r="E5" s="193"/>
      <c r="F5" s="58" t="str">
        <f t="shared" si="3"/>
        <v>mm/dd/yyyy</v>
      </c>
      <c r="G5" s="61"/>
      <c r="H5" s="58" t="str">
        <f t="shared" si="4"/>
        <v>N</v>
      </c>
      <c r="I5" s="30" t="str">
        <f t="shared" si="1"/>
        <v>Cashman, Michael J., USDA, ARS, Regional Plant Introduction Station, Pullman, Washington, United States</v>
      </c>
      <c r="J5" s="40"/>
    </row>
    <row r="6" spans="1:10" x14ac:dyDescent="0.25">
      <c r="A6" s="30"/>
      <c r="B6" s="58" t="str">
        <f>Master[[#This Row],[Accession Prefix (NPGS)]]&amp;" "&amp;Master[[#This Row],[Accession Number -Assigned]]</f>
        <v>W6 59592</v>
      </c>
      <c r="C6" s="58" t="str">
        <f t="shared" si="0"/>
        <v>Seeds of Success</v>
      </c>
      <c r="D6" s="58" t="str">
        <f t="shared" si="2"/>
        <v>mm/dd/yyyy</v>
      </c>
      <c r="E6" s="193"/>
      <c r="F6" s="58" t="str">
        <f t="shared" si="3"/>
        <v>mm/dd/yyyy</v>
      </c>
      <c r="G6" s="61"/>
      <c r="H6" s="58" t="str">
        <f t="shared" si="4"/>
        <v>N</v>
      </c>
      <c r="I6" s="30" t="str">
        <f t="shared" si="1"/>
        <v>Cashman, Michael J., USDA, ARS, Regional Plant Introduction Station, Pullman, Washington, United States</v>
      </c>
      <c r="J6" s="40"/>
    </row>
    <row r="7" spans="1:10" x14ac:dyDescent="0.25">
      <c r="A7" s="30"/>
      <c r="B7" s="58" t="str">
        <f>Master[[#This Row],[Accession Prefix (NPGS)]]&amp;" "&amp;Master[[#This Row],[Accession Number -Assigned]]</f>
        <v>W6 59593</v>
      </c>
      <c r="C7" s="58" t="str">
        <f t="shared" si="0"/>
        <v>Seeds of Success</v>
      </c>
      <c r="D7" s="58" t="str">
        <f t="shared" si="2"/>
        <v>mm/dd/yyyy</v>
      </c>
      <c r="E7" s="193"/>
      <c r="F7" s="58" t="str">
        <f t="shared" si="3"/>
        <v>mm/dd/yyyy</v>
      </c>
      <c r="G7" s="61"/>
      <c r="H7" s="58" t="str">
        <f t="shared" si="4"/>
        <v>N</v>
      </c>
      <c r="I7" s="30" t="str">
        <f t="shared" si="1"/>
        <v>Cashman, Michael J., USDA, ARS, Regional Plant Introduction Station, Pullman, Washington, United States</v>
      </c>
      <c r="J7" s="40"/>
    </row>
    <row r="8" spans="1:10" x14ac:dyDescent="0.25">
      <c r="A8" s="30"/>
      <c r="B8" s="58" t="str">
        <f>Master[[#This Row],[Accession Prefix (NPGS)]]&amp;" "&amp;Master[[#This Row],[Accession Number -Assigned]]</f>
        <v>W6 59594</v>
      </c>
      <c r="C8" s="58" t="str">
        <f t="shared" si="0"/>
        <v>Seeds of Success</v>
      </c>
      <c r="D8" s="58" t="str">
        <f t="shared" si="2"/>
        <v>mm/dd/yyyy</v>
      </c>
      <c r="E8" s="193"/>
      <c r="F8" s="58" t="str">
        <f t="shared" si="3"/>
        <v>mm/dd/yyyy</v>
      </c>
      <c r="G8" s="61"/>
      <c r="H8" s="58" t="str">
        <f t="shared" si="4"/>
        <v>N</v>
      </c>
      <c r="I8" s="30" t="str">
        <f t="shared" si="1"/>
        <v>Cashman, Michael J., USDA, ARS, Regional Plant Introduction Station, Pullman, Washington, United States</v>
      </c>
      <c r="J8" s="40"/>
    </row>
    <row r="9" spans="1:10" x14ac:dyDescent="0.25">
      <c r="A9" s="30"/>
      <c r="B9" s="58" t="str">
        <f>Master[[#This Row],[Accession Prefix (NPGS)]]&amp;" "&amp;Master[[#This Row],[Accession Number -Assigned]]</f>
        <v>W6 59595</v>
      </c>
      <c r="C9" s="58" t="str">
        <f t="shared" si="0"/>
        <v>Seeds of Success</v>
      </c>
      <c r="D9" s="58" t="str">
        <f t="shared" si="2"/>
        <v>mm/dd/yyyy</v>
      </c>
      <c r="E9" s="193"/>
      <c r="F9" s="58" t="str">
        <f t="shared" si="3"/>
        <v>mm/dd/yyyy</v>
      </c>
      <c r="G9" s="61"/>
      <c r="H9" s="58" t="str">
        <f t="shared" si="4"/>
        <v>N</v>
      </c>
      <c r="I9" s="30" t="str">
        <f t="shared" si="1"/>
        <v>Cashman, Michael J., USDA, ARS, Regional Plant Introduction Station, Pullman, Washington, United States</v>
      </c>
      <c r="J9" s="40"/>
    </row>
    <row r="10" spans="1:10" x14ac:dyDescent="0.25">
      <c r="A10" s="30"/>
      <c r="B10" s="58" t="str">
        <f>Master[[#This Row],[Accession Prefix (NPGS)]]&amp;" "&amp;Master[[#This Row],[Accession Number -Assigned]]</f>
        <v>W6 59596</v>
      </c>
      <c r="C10" s="58" t="str">
        <f t="shared" si="0"/>
        <v>Seeds of Success</v>
      </c>
      <c r="D10" s="58" t="str">
        <f t="shared" si="2"/>
        <v>mm/dd/yyyy</v>
      </c>
      <c r="E10" s="193"/>
      <c r="F10" s="58" t="str">
        <f t="shared" si="3"/>
        <v>mm/dd/yyyy</v>
      </c>
      <c r="G10" s="61"/>
      <c r="H10" s="58" t="str">
        <f t="shared" si="4"/>
        <v>N</v>
      </c>
      <c r="I10" s="30" t="str">
        <f t="shared" si="1"/>
        <v>Cashman, Michael J., USDA, ARS, Regional Plant Introduction Station, Pullman, Washington, United States</v>
      </c>
      <c r="J10" s="40"/>
    </row>
    <row r="11" spans="1:10" x14ac:dyDescent="0.25">
      <c r="A11" s="30"/>
      <c r="B11" s="58" t="str">
        <f>Master[[#This Row],[Accession Prefix (NPGS)]]&amp;" "&amp;Master[[#This Row],[Accession Number -Assigned]]</f>
        <v>W6 59597</v>
      </c>
      <c r="C11" s="58" t="str">
        <f t="shared" si="0"/>
        <v>Seeds of Success</v>
      </c>
      <c r="D11" s="58" t="str">
        <f t="shared" si="2"/>
        <v>mm/dd/yyyy</v>
      </c>
      <c r="E11" s="193"/>
      <c r="F11" s="58" t="str">
        <f t="shared" si="3"/>
        <v>mm/dd/yyyy</v>
      </c>
      <c r="G11" s="61"/>
      <c r="H11" s="58" t="str">
        <f t="shared" si="4"/>
        <v>N</v>
      </c>
      <c r="I11" s="30" t="str">
        <f t="shared" si="1"/>
        <v>Cashman, Michael J., USDA, ARS, Regional Plant Introduction Station, Pullman, Washington, United States</v>
      </c>
      <c r="J11" s="40"/>
    </row>
    <row r="12" spans="1:10" x14ac:dyDescent="0.25">
      <c r="A12" s="30"/>
      <c r="B12" s="58" t="str">
        <f>Master[[#This Row],[Accession Prefix (NPGS)]]&amp;" "&amp;Master[[#This Row],[Accession Number -Assigned]]</f>
        <v>W6 59598</v>
      </c>
      <c r="C12" s="58" t="str">
        <f t="shared" si="0"/>
        <v>Seeds of Success</v>
      </c>
      <c r="D12" s="58" t="str">
        <f t="shared" si="2"/>
        <v>mm/dd/yyyy</v>
      </c>
      <c r="E12" s="193"/>
      <c r="F12" s="58" t="str">
        <f t="shared" si="3"/>
        <v>mm/dd/yyyy</v>
      </c>
      <c r="G12" s="61"/>
      <c r="H12" s="58" t="str">
        <f t="shared" si="4"/>
        <v>N</v>
      </c>
      <c r="I12" s="30" t="str">
        <f t="shared" si="1"/>
        <v>Cashman, Michael J., USDA, ARS, Regional Plant Introduction Station, Pullman, Washington, United States</v>
      </c>
      <c r="J12" s="40"/>
    </row>
    <row r="13" spans="1:10" x14ac:dyDescent="0.25">
      <c r="A13" s="30"/>
      <c r="B13" s="58" t="str">
        <f>Master[[#This Row],[Accession Prefix (NPGS)]]&amp;" "&amp;Master[[#This Row],[Accession Number -Assigned]]</f>
        <v>W6 59599</v>
      </c>
      <c r="C13" s="58" t="str">
        <f t="shared" si="0"/>
        <v>Seeds of Success</v>
      </c>
      <c r="D13" s="58" t="str">
        <f t="shared" si="2"/>
        <v>mm/dd/yyyy</v>
      </c>
      <c r="E13" s="193"/>
      <c r="F13" s="58" t="str">
        <f t="shared" si="3"/>
        <v>mm/dd/yyyy</v>
      </c>
      <c r="G13" s="61"/>
      <c r="H13" s="58" t="str">
        <f t="shared" si="4"/>
        <v>N</v>
      </c>
      <c r="I13" s="30" t="str">
        <f t="shared" si="1"/>
        <v>Cashman, Michael J., USDA, ARS, Regional Plant Introduction Station, Pullman, Washington, United States</v>
      </c>
      <c r="J13" s="40"/>
    </row>
    <row r="14" spans="1:10" x14ac:dyDescent="0.25">
      <c r="A14" s="30"/>
      <c r="B14" s="58" t="str">
        <f>Master[[#This Row],[Accession Prefix (NPGS)]]&amp;" "&amp;Master[[#This Row],[Accession Number -Assigned]]</f>
        <v>W6 59600</v>
      </c>
      <c r="C14" s="58" t="str">
        <f t="shared" si="0"/>
        <v>Seeds of Success</v>
      </c>
      <c r="D14" s="58" t="str">
        <f t="shared" si="2"/>
        <v>mm/dd/yyyy</v>
      </c>
      <c r="E14" s="193"/>
      <c r="F14" s="58" t="str">
        <f t="shared" si="3"/>
        <v>mm/dd/yyyy</v>
      </c>
      <c r="G14" s="61"/>
      <c r="H14" s="58" t="str">
        <f t="shared" si="4"/>
        <v>N</v>
      </c>
      <c r="I14" s="30" t="str">
        <f t="shared" si="1"/>
        <v>Cashman, Michael J., USDA, ARS, Regional Plant Introduction Station, Pullman, Washington, United States</v>
      </c>
      <c r="J14" s="40"/>
    </row>
    <row r="15" spans="1:10" x14ac:dyDescent="0.25">
      <c r="A15" s="30"/>
      <c r="B15" s="58" t="str">
        <f>Master[[#This Row],[Accession Prefix (NPGS)]]&amp;" "&amp;Master[[#This Row],[Accession Number -Assigned]]</f>
        <v>W6 59601</v>
      </c>
      <c r="C15" s="58" t="str">
        <f t="shared" si="0"/>
        <v>Seeds of Success</v>
      </c>
      <c r="D15" s="58" t="str">
        <f t="shared" si="2"/>
        <v>mm/dd/yyyy</v>
      </c>
      <c r="E15" s="193"/>
      <c r="F15" s="58" t="str">
        <f t="shared" si="3"/>
        <v>mm/dd/yyyy</v>
      </c>
      <c r="G15" s="61"/>
      <c r="H15" s="58" t="str">
        <f t="shared" si="4"/>
        <v>N</v>
      </c>
      <c r="I15" s="30" t="str">
        <f t="shared" si="1"/>
        <v>Cashman, Michael J., USDA, ARS, Regional Plant Introduction Station, Pullman, Washington, United States</v>
      </c>
      <c r="J15" s="40"/>
    </row>
    <row r="16" spans="1:10" x14ac:dyDescent="0.25">
      <c r="A16" s="30"/>
      <c r="B16" s="58" t="str">
        <f>Master[[#This Row],[Accession Prefix (NPGS)]]&amp;" "&amp;Master[[#This Row],[Accession Number -Assigned]]</f>
        <v>W6 59602</v>
      </c>
      <c r="C16" s="58" t="str">
        <f t="shared" si="0"/>
        <v>Seeds of Success</v>
      </c>
      <c r="D16" s="58" t="str">
        <f t="shared" si="2"/>
        <v>mm/dd/yyyy</v>
      </c>
      <c r="E16" s="193"/>
      <c r="F16" s="58" t="str">
        <f t="shared" si="3"/>
        <v>mm/dd/yyyy</v>
      </c>
      <c r="G16" s="61"/>
      <c r="H16" s="58" t="str">
        <f t="shared" si="4"/>
        <v>N</v>
      </c>
      <c r="I16" s="30" t="str">
        <f t="shared" si="1"/>
        <v>Cashman, Michael J., USDA, ARS, Regional Plant Introduction Station, Pullman, Washington, United States</v>
      </c>
      <c r="J16" s="40"/>
    </row>
    <row r="17" spans="1:10" x14ac:dyDescent="0.25">
      <c r="A17" s="30"/>
      <c r="B17" s="58" t="str">
        <f>Master[[#This Row],[Accession Prefix (NPGS)]]&amp;" "&amp;Master[[#This Row],[Accession Number -Assigned]]</f>
        <v>W6 59603</v>
      </c>
      <c r="C17" s="58" t="str">
        <f t="shared" si="0"/>
        <v>Seeds of Success</v>
      </c>
      <c r="D17" s="58" t="str">
        <f t="shared" si="2"/>
        <v>mm/dd/yyyy</v>
      </c>
      <c r="E17" s="193"/>
      <c r="F17" s="58" t="str">
        <f t="shared" si="3"/>
        <v>mm/dd/yyyy</v>
      </c>
      <c r="G17" s="61"/>
      <c r="H17" s="58" t="str">
        <f t="shared" si="4"/>
        <v>N</v>
      </c>
      <c r="I17" s="30" t="str">
        <f t="shared" si="1"/>
        <v>Cashman, Michael J., USDA, ARS, Regional Plant Introduction Station, Pullman, Washington, United States</v>
      </c>
      <c r="J17" s="40"/>
    </row>
    <row r="18" spans="1:10" x14ac:dyDescent="0.25">
      <c r="A18" s="30"/>
      <c r="B18" s="58" t="str">
        <f>Master[[#This Row],[Accession Prefix (NPGS)]]&amp;" "&amp;Master[[#This Row],[Accession Number -Assigned]]</f>
        <v>W6 59604</v>
      </c>
      <c r="C18" s="58" t="str">
        <f t="shared" si="0"/>
        <v>Seeds of Success</v>
      </c>
      <c r="D18" s="58" t="str">
        <f t="shared" si="2"/>
        <v>mm/dd/yyyy</v>
      </c>
      <c r="E18" s="193"/>
      <c r="F18" s="58" t="str">
        <f t="shared" si="3"/>
        <v>mm/dd/yyyy</v>
      </c>
      <c r="G18" s="61"/>
      <c r="H18" s="58" t="str">
        <f t="shared" si="4"/>
        <v>N</v>
      </c>
      <c r="I18" s="30" t="str">
        <f t="shared" si="1"/>
        <v>Cashman, Michael J., USDA, ARS, Regional Plant Introduction Station, Pullman, Washington, United States</v>
      </c>
      <c r="J18" s="40"/>
    </row>
    <row r="19" spans="1:10" x14ac:dyDescent="0.25">
      <c r="A19" s="30"/>
      <c r="B19" s="58" t="str">
        <f>Master[[#This Row],[Accession Prefix (NPGS)]]&amp;" "&amp;Master[[#This Row],[Accession Number -Assigned]]</f>
        <v>W6 59605</v>
      </c>
      <c r="C19" s="58" t="str">
        <f t="shared" si="0"/>
        <v>Seeds of Success</v>
      </c>
      <c r="D19" s="58" t="str">
        <f t="shared" si="2"/>
        <v>mm/dd/yyyy</v>
      </c>
      <c r="E19" s="193"/>
      <c r="F19" s="58" t="str">
        <f t="shared" si="3"/>
        <v>mm/dd/yyyy</v>
      </c>
      <c r="G19" s="61"/>
      <c r="H19" s="58" t="str">
        <f t="shared" si="4"/>
        <v>N</v>
      </c>
      <c r="I19" s="30" t="str">
        <f t="shared" si="1"/>
        <v>Cashman, Michael J., USDA, ARS, Regional Plant Introduction Station, Pullman, Washington, United States</v>
      </c>
      <c r="J19" s="40"/>
    </row>
    <row r="20" spans="1:10" x14ac:dyDescent="0.25">
      <c r="A20" s="30"/>
      <c r="B20" s="58" t="str">
        <f>Master[[#This Row],[Accession Prefix (NPGS)]]&amp;" "&amp;Master[[#This Row],[Accession Number -Assigned]]</f>
        <v>W6 59606</v>
      </c>
      <c r="C20" s="58" t="str">
        <f t="shared" si="0"/>
        <v>Seeds of Success</v>
      </c>
      <c r="D20" s="58" t="str">
        <f t="shared" si="2"/>
        <v>mm/dd/yyyy</v>
      </c>
      <c r="E20" s="193"/>
      <c r="F20" s="58" t="str">
        <f t="shared" si="3"/>
        <v>mm/dd/yyyy</v>
      </c>
      <c r="G20" s="61"/>
      <c r="H20" s="58" t="str">
        <f t="shared" si="4"/>
        <v>N</v>
      </c>
      <c r="I20" s="30" t="str">
        <f t="shared" si="1"/>
        <v>Cashman, Michael J., USDA, ARS, Regional Plant Introduction Station, Pullman, Washington, United States</v>
      </c>
      <c r="J20" s="40"/>
    </row>
    <row r="21" spans="1:10" x14ac:dyDescent="0.25">
      <c r="A21" s="30"/>
      <c r="B21" s="58" t="str">
        <f>Master[[#This Row],[Accession Prefix (NPGS)]]&amp;" "&amp;Master[[#This Row],[Accession Number -Assigned]]</f>
        <v>W6 59607</v>
      </c>
      <c r="C21" s="58" t="str">
        <f t="shared" si="0"/>
        <v>Seeds of Success</v>
      </c>
      <c r="D21" s="58" t="str">
        <f t="shared" si="2"/>
        <v>mm/dd/yyyy</v>
      </c>
      <c r="E21" s="193"/>
      <c r="F21" s="58" t="str">
        <f t="shared" si="3"/>
        <v>mm/dd/yyyy</v>
      </c>
      <c r="G21" s="61"/>
      <c r="H21" s="58" t="str">
        <f t="shared" si="4"/>
        <v>N</v>
      </c>
      <c r="I21" s="30" t="str">
        <f t="shared" si="1"/>
        <v>Cashman, Michael J., USDA, ARS, Regional Plant Introduction Station, Pullman, Washington, United States</v>
      </c>
      <c r="J21" s="40"/>
    </row>
    <row r="22" spans="1:10" x14ac:dyDescent="0.25">
      <c r="A22" s="30"/>
      <c r="B22" s="30" t="str">
        <f>Master[[#This Row],[Accession Prefix (NPGS)]]&amp;" "&amp;Master[[#This Row],[Accession Number -Assigned]]</f>
        <v>W6 59608</v>
      </c>
      <c r="C22" s="30" t="str">
        <f t="shared" si="0"/>
        <v>Seeds of Success</v>
      </c>
      <c r="D22" s="30" t="str">
        <f t="shared" ref="D22:D53" si="5">"mm/dd/yyyy"</f>
        <v>mm/dd/yyyy</v>
      </c>
      <c r="E22" s="193"/>
      <c r="F22" s="30" t="str">
        <f t="shared" ref="F22:F53" si="6">"mm/dd/yyyy"</f>
        <v>mm/dd/yyyy</v>
      </c>
      <c r="G22" s="39"/>
      <c r="H22" s="30" t="str">
        <f t="shared" ref="H22:H53" si="7">"N"</f>
        <v>N</v>
      </c>
      <c r="I22" s="30" t="str">
        <f t="shared" si="1"/>
        <v>Cashman, Michael J., USDA, ARS, Regional Plant Introduction Station, Pullman, Washington, United States</v>
      </c>
      <c r="J22" s="40"/>
    </row>
    <row r="23" spans="1:10" x14ac:dyDescent="0.25">
      <c r="A23" s="30"/>
      <c r="B23" s="30" t="str">
        <f>Master[[#This Row],[Accession Prefix (NPGS)]]&amp;" "&amp;Master[[#This Row],[Accession Number -Assigned]]</f>
        <v>W6 59609</v>
      </c>
      <c r="C23" s="30" t="str">
        <f t="shared" si="0"/>
        <v>Seeds of Success</v>
      </c>
      <c r="D23" s="30" t="str">
        <f t="shared" si="5"/>
        <v>mm/dd/yyyy</v>
      </c>
      <c r="E23" s="193"/>
      <c r="F23" s="30" t="str">
        <f t="shared" si="6"/>
        <v>mm/dd/yyyy</v>
      </c>
      <c r="G23" s="39"/>
      <c r="H23" s="30" t="str">
        <f t="shared" si="7"/>
        <v>N</v>
      </c>
      <c r="I23" s="30" t="str">
        <f t="shared" si="1"/>
        <v>Cashman, Michael J., USDA, ARS, Regional Plant Introduction Station, Pullman, Washington, United States</v>
      </c>
      <c r="J23" s="40"/>
    </row>
    <row r="24" spans="1:10" x14ac:dyDescent="0.25">
      <c r="A24" s="30"/>
      <c r="B24" s="30" t="str">
        <f>Master[[#This Row],[Accession Prefix (NPGS)]]&amp;" "&amp;Master[[#This Row],[Accession Number -Assigned]]</f>
        <v>W6 59610</v>
      </c>
      <c r="C24" s="30" t="str">
        <f t="shared" si="0"/>
        <v>Seeds of Success</v>
      </c>
      <c r="D24" s="30" t="str">
        <f t="shared" si="5"/>
        <v>mm/dd/yyyy</v>
      </c>
      <c r="E24" s="193"/>
      <c r="F24" s="30" t="str">
        <f t="shared" si="6"/>
        <v>mm/dd/yyyy</v>
      </c>
      <c r="G24" s="39"/>
      <c r="H24" s="30" t="str">
        <f t="shared" si="7"/>
        <v>N</v>
      </c>
      <c r="I24" s="30" t="str">
        <f t="shared" si="1"/>
        <v>Cashman, Michael J., USDA, ARS, Regional Plant Introduction Station, Pullman, Washington, United States</v>
      </c>
      <c r="J24" s="40"/>
    </row>
    <row r="25" spans="1:10" x14ac:dyDescent="0.25">
      <c r="A25" s="30"/>
      <c r="B25" s="30" t="str">
        <f>Master[[#This Row],[Accession Prefix (NPGS)]]&amp;" "&amp;Master[[#This Row],[Accession Number -Assigned]]</f>
        <v>W6 59611</v>
      </c>
      <c r="C25" s="30" t="str">
        <f t="shared" si="0"/>
        <v>Seeds of Success</v>
      </c>
      <c r="D25" s="30" t="str">
        <f t="shared" si="5"/>
        <v>mm/dd/yyyy</v>
      </c>
      <c r="E25" s="193"/>
      <c r="F25" s="30" t="str">
        <f t="shared" si="6"/>
        <v>mm/dd/yyyy</v>
      </c>
      <c r="G25" s="39"/>
      <c r="H25" s="30" t="str">
        <f t="shared" si="7"/>
        <v>N</v>
      </c>
      <c r="I25" s="30" t="str">
        <f t="shared" si="1"/>
        <v>Cashman, Michael J., USDA, ARS, Regional Plant Introduction Station, Pullman, Washington, United States</v>
      </c>
      <c r="J25" s="40"/>
    </row>
    <row r="26" spans="1:10" x14ac:dyDescent="0.25">
      <c r="A26" s="30"/>
      <c r="B26" s="30" t="str">
        <f>Master[[#This Row],[Accession Prefix (NPGS)]]&amp;" "&amp;Master[[#This Row],[Accession Number -Assigned]]</f>
        <v>W6 59612</v>
      </c>
      <c r="C26" s="30" t="str">
        <f t="shared" si="0"/>
        <v>Seeds of Success</v>
      </c>
      <c r="D26" s="30" t="str">
        <f t="shared" si="5"/>
        <v>mm/dd/yyyy</v>
      </c>
      <c r="E26" s="193"/>
      <c r="F26" s="30" t="str">
        <f t="shared" si="6"/>
        <v>mm/dd/yyyy</v>
      </c>
      <c r="G26" s="39"/>
      <c r="H26" s="30" t="str">
        <f t="shared" si="7"/>
        <v>N</v>
      </c>
      <c r="I26" s="30" t="str">
        <f t="shared" si="1"/>
        <v>Cashman, Michael J., USDA, ARS, Regional Plant Introduction Station, Pullman, Washington, United States</v>
      </c>
      <c r="J26" s="40"/>
    </row>
    <row r="27" spans="1:10" x14ac:dyDescent="0.25">
      <c r="A27" s="40"/>
      <c r="B27" s="40" t="str">
        <f>Master[[#This Row],[Accession Prefix (NPGS)]]&amp;" "&amp;Master[[#This Row],[Accession Number -Assigned]]</f>
        <v>W6 59613</v>
      </c>
      <c r="C27" s="40" t="str">
        <f t="shared" si="0"/>
        <v>Seeds of Success</v>
      </c>
      <c r="D27" s="40" t="str">
        <f t="shared" si="5"/>
        <v>mm/dd/yyyy</v>
      </c>
      <c r="E27" s="193"/>
      <c r="F27" s="40" t="str">
        <f t="shared" si="6"/>
        <v>mm/dd/yyyy</v>
      </c>
      <c r="G27" s="150"/>
      <c r="H27" s="40" t="str">
        <f t="shared" si="7"/>
        <v>N</v>
      </c>
      <c r="I27" s="30" t="str">
        <f t="shared" si="1"/>
        <v>Cashman, Michael J., USDA, ARS, Regional Plant Introduction Station, Pullman, Washington, United States</v>
      </c>
      <c r="J27" s="40"/>
    </row>
    <row r="28" spans="1:10" x14ac:dyDescent="0.25">
      <c r="A28" s="40"/>
      <c r="B28" s="40" t="str">
        <f>Master[[#This Row],[Accession Prefix (NPGS)]]&amp;" "&amp;Master[[#This Row],[Accession Number -Assigned]]</f>
        <v>W6 59614</v>
      </c>
      <c r="C28" s="40" t="str">
        <f t="shared" si="0"/>
        <v>Seeds of Success</v>
      </c>
      <c r="D28" s="40" t="str">
        <f t="shared" si="5"/>
        <v>mm/dd/yyyy</v>
      </c>
      <c r="E28" s="193"/>
      <c r="F28" s="40" t="str">
        <f t="shared" si="6"/>
        <v>mm/dd/yyyy</v>
      </c>
      <c r="G28" s="150"/>
      <c r="H28" s="40" t="str">
        <f t="shared" si="7"/>
        <v>N</v>
      </c>
      <c r="I28" s="30" t="str">
        <f t="shared" si="1"/>
        <v>Cashman, Michael J., USDA, ARS, Regional Plant Introduction Station, Pullman, Washington, United States</v>
      </c>
      <c r="J28" s="40"/>
    </row>
    <row r="29" spans="1:10" x14ac:dyDescent="0.25">
      <c r="A29" s="40"/>
      <c r="B29" s="40" t="str">
        <f>Master[[#This Row],[Accession Prefix (NPGS)]]&amp;" "&amp;Master[[#This Row],[Accession Number -Assigned]]</f>
        <v>W6 59615</v>
      </c>
      <c r="C29" s="40" t="str">
        <f t="shared" si="0"/>
        <v>Seeds of Success</v>
      </c>
      <c r="D29" s="40" t="str">
        <f t="shared" si="5"/>
        <v>mm/dd/yyyy</v>
      </c>
      <c r="E29" s="193"/>
      <c r="F29" s="40" t="str">
        <f t="shared" si="6"/>
        <v>mm/dd/yyyy</v>
      </c>
      <c r="G29" s="150"/>
      <c r="H29" s="40" t="str">
        <f t="shared" si="7"/>
        <v>N</v>
      </c>
      <c r="I29" s="30" t="str">
        <f t="shared" si="1"/>
        <v>Cashman, Michael J., USDA, ARS, Regional Plant Introduction Station, Pullman, Washington, United States</v>
      </c>
      <c r="J29" s="40"/>
    </row>
    <row r="30" spans="1:10" x14ac:dyDescent="0.25">
      <c r="A30" s="40"/>
      <c r="B30" s="40" t="str">
        <f>Master[[#This Row],[Accession Prefix (NPGS)]]&amp;" "&amp;Master[[#This Row],[Accession Number -Assigned]]</f>
        <v>W6 59616</v>
      </c>
      <c r="C30" s="40" t="str">
        <f t="shared" si="0"/>
        <v>Seeds of Success</v>
      </c>
      <c r="D30" s="40" t="str">
        <f t="shared" si="5"/>
        <v>mm/dd/yyyy</v>
      </c>
      <c r="E30" s="193"/>
      <c r="F30" s="40" t="str">
        <f t="shared" si="6"/>
        <v>mm/dd/yyyy</v>
      </c>
      <c r="G30" s="150"/>
      <c r="H30" s="40" t="str">
        <f t="shared" si="7"/>
        <v>N</v>
      </c>
      <c r="I30" s="30" t="str">
        <f t="shared" si="1"/>
        <v>Cashman, Michael J., USDA, ARS, Regional Plant Introduction Station, Pullman, Washington, United States</v>
      </c>
      <c r="J30" s="40"/>
    </row>
    <row r="31" spans="1:10" x14ac:dyDescent="0.25">
      <c r="A31" s="40"/>
      <c r="B31" s="40" t="str">
        <f>Master[[#This Row],[Accession Prefix (NPGS)]]&amp;" "&amp;Master[[#This Row],[Accession Number -Assigned]]</f>
        <v>W6 59617</v>
      </c>
      <c r="C31" s="40" t="str">
        <f t="shared" si="0"/>
        <v>Seeds of Success</v>
      </c>
      <c r="D31" s="40" t="str">
        <f t="shared" si="5"/>
        <v>mm/dd/yyyy</v>
      </c>
      <c r="E31" s="193"/>
      <c r="F31" s="40" t="str">
        <f t="shared" si="6"/>
        <v>mm/dd/yyyy</v>
      </c>
      <c r="G31" s="150"/>
      <c r="H31" s="40" t="str">
        <f t="shared" si="7"/>
        <v>N</v>
      </c>
      <c r="I31" s="30" t="str">
        <f t="shared" si="1"/>
        <v>Cashman, Michael J., USDA, ARS, Regional Plant Introduction Station, Pullman, Washington, United States</v>
      </c>
      <c r="J31" s="40"/>
    </row>
    <row r="32" spans="1:10" x14ac:dyDescent="0.25">
      <c r="A32" s="40"/>
      <c r="B32" s="40" t="str">
        <f>Master[[#This Row],[Accession Prefix (NPGS)]]&amp;" "&amp;Master[[#This Row],[Accession Number -Assigned]]</f>
        <v>W6 59618</v>
      </c>
      <c r="C32" s="40" t="str">
        <f t="shared" si="0"/>
        <v>Seeds of Success</v>
      </c>
      <c r="D32" s="40" t="str">
        <f t="shared" si="5"/>
        <v>mm/dd/yyyy</v>
      </c>
      <c r="E32" s="193"/>
      <c r="F32" s="40" t="str">
        <f t="shared" si="6"/>
        <v>mm/dd/yyyy</v>
      </c>
      <c r="G32" s="150"/>
      <c r="H32" s="40" t="str">
        <f t="shared" si="7"/>
        <v>N</v>
      </c>
      <c r="I32" s="30" t="str">
        <f t="shared" si="1"/>
        <v>Cashman, Michael J., USDA, ARS, Regional Plant Introduction Station, Pullman, Washington, United States</v>
      </c>
      <c r="J32" s="40"/>
    </row>
    <row r="33" spans="1:10" x14ac:dyDescent="0.25">
      <c r="A33" s="40"/>
      <c r="B33" s="40" t="str">
        <f>Master[[#This Row],[Accession Prefix (NPGS)]]&amp;" "&amp;Master[[#This Row],[Accession Number -Assigned]]</f>
        <v>W6 59619</v>
      </c>
      <c r="C33" s="40" t="str">
        <f t="shared" si="0"/>
        <v>Seeds of Success</v>
      </c>
      <c r="D33" s="40" t="str">
        <f t="shared" si="5"/>
        <v>mm/dd/yyyy</v>
      </c>
      <c r="E33" s="193"/>
      <c r="F33" s="40" t="str">
        <f t="shared" si="6"/>
        <v>mm/dd/yyyy</v>
      </c>
      <c r="G33" s="150"/>
      <c r="H33" s="40" t="str">
        <f t="shared" si="7"/>
        <v>N</v>
      </c>
      <c r="I33" s="30" t="str">
        <f t="shared" si="1"/>
        <v>Cashman, Michael J., USDA, ARS, Regional Plant Introduction Station, Pullman, Washington, United States</v>
      </c>
      <c r="J33" s="40"/>
    </row>
    <row r="34" spans="1:10" x14ac:dyDescent="0.25">
      <c r="A34" s="40"/>
      <c r="B34" s="40" t="str">
        <f>Master[[#This Row],[Accession Prefix (NPGS)]]&amp;" "&amp;Master[[#This Row],[Accession Number -Assigned]]</f>
        <v>W6 59620</v>
      </c>
      <c r="C34" s="40" t="str">
        <f t="shared" ref="C34:C65" si="8">"Seeds of Success"</f>
        <v>Seeds of Success</v>
      </c>
      <c r="D34" s="40" t="str">
        <f t="shared" si="5"/>
        <v>mm/dd/yyyy</v>
      </c>
      <c r="E34" s="193"/>
      <c r="F34" s="40" t="str">
        <f t="shared" si="6"/>
        <v>mm/dd/yyyy</v>
      </c>
      <c r="G34" s="150"/>
      <c r="H34" s="40" t="str">
        <f t="shared" si="7"/>
        <v>N</v>
      </c>
      <c r="I34" s="30" t="str">
        <f t="shared" ref="I34:I65" si="9">"Cashman, Michael J., USDA, ARS, Regional Plant Introduction Station, Pullman, Washington, United States"</f>
        <v>Cashman, Michael J., USDA, ARS, Regional Plant Introduction Station, Pullman, Washington, United States</v>
      </c>
      <c r="J34" s="40"/>
    </row>
    <row r="35" spans="1:10" x14ac:dyDescent="0.25">
      <c r="A35" s="40"/>
      <c r="B35" s="40" t="str">
        <f>Master[[#This Row],[Accession Prefix (NPGS)]]&amp;" "&amp;Master[[#This Row],[Accession Number -Assigned]]</f>
        <v>W6 59621</v>
      </c>
      <c r="C35" s="40" t="str">
        <f t="shared" si="8"/>
        <v>Seeds of Success</v>
      </c>
      <c r="D35" s="40" t="str">
        <f t="shared" si="5"/>
        <v>mm/dd/yyyy</v>
      </c>
      <c r="E35" s="193"/>
      <c r="F35" s="40" t="str">
        <f t="shared" si="6"/>
        <v>mm/dd/yyyy</v>
      </c>
      <c r="G35" s="150"/>
      <c r="H35" s="40" t="str">
        <f t="shared" si="7"/>
        <v>N</v>
      </c>
      <c r="I35" s="30" t="str">
        <f t="shared" si="9"/>
        <v>Cashman, Michael J., USDA, ARS, Regional Plant Introduction Station, Pullman, Washington, United States</v>
      </c>
      <c r="J35" s="40"/>
    </row>
    <row r="36" spans="1:10" x14ac:dyDescent="0.25">
      <c r="A36" s="40"/>
      <c r="B36" s="40" t="str">
        <f>Master[[#This Row],[Accession Prefix (NPGS)]]&amp;" "&amp;Master[[#This Row],[Accession Number -Assigned]]</f>
        <v>W6 59622</v>
      </c>
      <c r="C36" s="40" t="str">
        <f t="shared" si="8"/>
        <v>Seeds of Success</v>
      </c>
      <c r="D36" s="40" t="str">
        <f t="shared" si="5"/>
        <v>mm/dd/yyyy</v>
      </c>
      <c r="E36" s="193"/>
      <c r="F36" s="40" t="str">
        <f t="shared" si="6"/>
        <v>mm/dd/yyyy</v>
      </c>
      <c r="G36" s="150"/>
      <c r="H36" s="40" t="str">
        <f t="shared" si="7"/>
        <v>N</v>
      </c>
      <c r="I36" s="30" t="str">
        <f t="shared" si="9"/>
        <v>Cashman, Michael J., USDA, ARS, Regional Plant Introduction Station, Pullman, Washington, United States</v>
      </c>
      <c r="J36" s="40"/>
    </row>
    <row r="37" spans="1:10" x14ac:dyDescent="0.25">
      <c r="A37" s="40"/>
      <c r="B37" s="40" t="str">
        <f>Master[[#This Row],[Accession Prefix (NPGS)]]&amp;" "&amp;Master[[#This Row],[Accession Number -Assigned]]</f>
        <v>W6 59623</v>
      </c>
      <c r="C37" s="40" t="str">
        <f t="shared" si="8"/>
        <v>Seeds of Success</v>
      </c>
      <c r="D37" s="40" t="str">
        <f t="shared" si="5"/>
        <v>mm/dd/yyyy</v>
      </c>
      <c r="E37" s="193"/>
      <c r="F37" s="40" t="str">
        <f t="shared" si="6"/>
        <v>mm/dd/yyyy</v>
      </c>
      <c r="G37" s="150"/>
      <c r="H37" s="40" t="str">
        <f t="shared" si="7"/>
        <v>N</v>
      </c>
      <c r="I37" s="30" t="str">
        <f t="shared" si="9"/>
        <v>Cashman, Michael J., USDA, ARS, Regional Plant Introduction Station, Pullman, Washington, United States</v>
      </c>
      <c r="J37" s="40"/>
    </row>
    <row r="38" spans="1:10" x14ac:dyDescent="0.25">
      <c r="A38" s="40"/>
      <c r="B38" s="40" t="str">
        <f>Master[[#This Row],[Accession Prefix (NPGS)]]&amp;" "&amp;Master[[#This Row],[Accession Number -Assigned]]</f>
        <v>W6 59624</v>
      </c>
      <c r="C38" s="40" t="str">
        <f t="shared" si="8"/>
        <v>Seeds of Success</v>
      </c>
      <c r="D38" s="40" t="str">
        <f t="shared" si="5"/>
        <v>mm/dd/yyyy</v>
      </c>
      <c r="E38" s="193"/>
      <c r="F38" s="40" t="str">
        <f t="shared" si="6"/>
        <v>mm/dd/yyyy</v>
      </c>
      <c r="G38" s="150"/>
      <c r="H38" s="40" t="str">
        <f t="shared" si="7"/>
        <v>N</v>
      </c>
      <c r="I38" s="30" t="str">
        <f t="shared" si="9"/>
        <v>Cashman, Michael J., USDA, ARS, Regional Plant Introduction Station, Pullman, Washington, United States</v>
      </c>
      <c r="J38" s="40"/>
    </row>
    <row r="39" spans="1:10" x14ac:dyDescent="0.25">
      <c r="A39" s="40"/>
      <c r="B39" s="40" t="str">
        <f>Master[[#This Row],[Accession Prefix (NPGS)]]&amp;" "&amp;Master[[#This Row],[Accession Number -Assigned]]</f>
        <v>W6 59625</v>
      </c>
      <c r="C39" s="40" t="str">
        <f t="shared" si="8"/>
        <v>Seeds of Success</v>
      </c>
      <c r="D39" s="40" t="str">
        <f t="shared" si="5"/>
        <v>mm/dd/yyyy</v>
      </c>
      <c r="E39" s="193"/>
      <c r="F39" s="40" t="str">
        <f t="shared" si="6"/>
        <v>mm/dd/yyyy</v>
      </c>
      <c r="G39" s="150"/>
      <c r="H39" s="40" t="str">
        <f t="shared" si="7"/>
        <v>N</v>
      </c>
      <c r="I39" s="30" t="str">
        <f t="shared" si="9"/>
        <v>Cashman, Michael J., USDA, ARS, Regional Plant Introduction Station, Pullman, Washington, United States</v>
      </c>
      <c r="J39" s="40"/>
    </row>
    <row r="40" spans="1:10" x14ac:dyDescent="0.25">
      <c r="A40" s="40"/>
      <c r="B40" s="40" t="str">
        <f>Master[[#This Row],[Accession Prefix (NPGS)]]&amp;" "&amp;Master[[#This Row],[Accession Number -Assigned]]</f>
        <v>W6 59626</v>
      </c>
      <c r="C40" s="40" t="str">
        <f t="shared" si="8"/>
        <v>Seeds of Success</v>
      </c>
      <c r="D40" s="40" t="str">
        <f t="shared" si="5"/>
        <v>mm/dd/yyyy</v>
      </c>
      <c r="E40" s="193"/>
      <c r="F40" s="40" t="str">
        <f t="shared" si="6"/>
        <v>mm/dd/yyyy</v>
      </c>
      <c r="G40" s="150"/>
      <c r="H40" s="40" t="str">
        <f t="shared" si="7"/>
        <v>N</v>
      </c>
      <c r="I40" s="30" t="str">
        <f t="shared" si="9"/>
        <v>Cashman, Michael J., USDA, ARS, Regional Plant Introduction Station, Pullman, Washington, United States</v>
      </c>
      <c r="J40" s="40"/>
    </row>
    <row r="41" spans="1:10" x14ac:dyDescent="0.25">
      <c r="A41" s="40"/>
      <c r="B41" s="40" t="str">
        <f>Master[[#This Row],[Accession Prefix (NPGS)]]&amp;" "&amp;Master[[#This Row],[Accession Number -Assigned]]</f>
        <v>W6 59627</v>
      </c>
      <c r="C41" s="40" t="str">
        <f t="shared" si="8"/>
        <v>Seeds of Success</v>
      </c>
      <c r="D41" s="40" t="str">
        <f t="shared" si="5"/>
        <v>mm/dd/yyyy</v>
      </c>
      <c r="E41" s="193"/>
      <c r="F41" s="40" t="str">
        <f t="shared" si="6"/>
        <v>mm/dd/yyyy</v>
      </c>
      <c r="G41" s="150"/>
      <c r="H41" s="40" t="str">
        <f t="shared" si="7"/>
        <v>N</v>
      </c>
      <c r="I41" s="30" t="str">
        <f t="shared" si="9"/>
        <v>Cashman, Michael J., USDA, ARS, Regional Plant Introduction Station, Pullman, Washington, United States</v>
      </c>
      <c r="J41" s="40"/>
    </row>
    <row r="42" spans="1:10" x14ac:dyDescent="0.25">
      <c r="A42" s="40"/>
      <c r="B42" s="40" t="str">
        <f>Master[[#This Row],[Accession Prefix (NPGS)]]&amp;" "&amp;Master[[#This Row],[Accession Number -Assigned]]</f>
        <v>W6 59628</v>
      </c>
      <c r="C42" s="40" t="str">
        <f t="shared" si="8"/>
        <v>Seeds of Success</v>
      </c>
      <c r="D42" s="40" t="str">
        <f t="shared" si="5"/>
        <v>mm/dd/yyyy</v>
      </c>
      <c r="E42" s="193"/>
      <c r="F42" s="40" t="str">
        <f t="shared" si="6"/>
        <v>mm/dd/yyyy</v>
      </c>
      <c r="G42" s="150"/>
      <c r="H42" s="40" t="str">
        <f t="shared" si="7"/>
        <v>N</v>
      </c>
      <c r="I42" s="30" t="str">
        <f t="shared" si="9"/>
        <v>Cashman, Michael J., USDA, ARS, Regional Plant Introduction Station, Pullman, Washington, United States</v>
      </c>
      <c r="J42" s="40"/>
    </row>
    <row r="43" spans="1:10" x14ac:dyDescent="0.25">
      <c r="A43" s="40"/>
      <c r="B43" s="40" t="str">
        <f>Master[[#This Row],[Accession Prefix (NPGS)]]&amp;" "&amp;Master[[#This Row],[Accession Number -Assigned]]</f>
        <v>W6 59629</v>
      </c>
      <c r="C43" s="40" t="str">
        <f t="shared" si="8"/>
        <v>Seeds of Success</v>
      </c>
      <c r="D43" s="40" t="str">
        <f t="shared" si="5"/>
        <v>mm/dd/yyyy</v>
      </c>
      <c r="E43" s="193"/>
      <c r="F43" s="40" t="str">
        <f t="shared" si="6"/>
        <v>mm/dd/yyyy</v>
      </c>
      <c r="G43" s="150"/>
      <c r="H43" s="40" t="str">
        <f t="shared" si="7"/>
        <v>N</v>
      </c>
      <c r="I43" s="30" t="str">
        <f t="shared" si="9"/>
        <v>Cashman, Michael J., USDA, ARS, Regional Plant Introduction Station, Pullman, Washington, United States</v>
      </c>
      <c r="J43" s="40"/>
    </row>
    <row r="44" spans="1:10" x14ac:dyDescent="0.25">
      <c r="A44" s="40"/>
      <c r="B44" s="40" t="str">
        <f>Master[[#This Row],[Accession Prefix (NPGS)]]&amp;" "&amp;Master[[#This Row],[Accession Number -Assigned]]</f>
        <v>W6 59630</v>
      </c>
      <c r="C44" s="40" t="str">
        <f t="shared" si="8"/>
        <v>Seeds of Success</v>
      </c>
      <c r="D44" s="40" t="str">
        <f t="shared" si="5"/>
        <v>mm/dd/yyyy</v>
      </c>
      <c r="E44" s="193"/>
      <c r="F44" s="40" t="str">
        <f t="shared" si="6"/>
        <v>mm/dd/yyyy</v>
      </c>
      <c r="G44" s="150"/>
      <c r="H44" s="40" t="str">
        <f t="shared" si="7"/>
        <v>N</v>
      </c>
      <c r="I44" s="30" t="str">
        <f t="shared" si="9"/>
        <v>Cashman, Michael J., USDA, ARS, Regional Plant Introduction Station, Pullman, Washington, United States</v>
      </c>
      <c r="J44" s="40"/>
    </row>
    <row r="45" spans="1:10" x14ac:dyDescent="0.25">
      <c r="A45" s="40"/>
      <c r="B45" s="40" t="str">
        <f>Master[[#This Row],[Accession Prefix (NPGS)]]&amp;" "&amp;Master[[#This Row],[Accession Number -Assigned]]</f>
        <v>W6 59631</v>
      </c>
      <c r="C45" s="40" t="str">
        <f t="shared" si="8"/>
        <v>Seeds of Success</v>
      </c>
      <c r="D45" s="40" t="str">
        <f t="shared" si="5"/>
        <v>mm/dd/yyyy</v>
      </c>
      <c r="E45" s="193"/>
      <c r="F45" s="40" t="str">
        <f t="shared" si="6"/>
        <v>mm/dd/yyyy</v>
      </c>
      <c r="G45" s="150"/>
      <c r="H45" s="40" t="str">
        <f t="shared" si="7"/>
        <v>N</v>
      </c>
      <c r="I45" s="30" t="str">
        <f t="shared" si="9"/>
        <v>Cashman, Michael J., USDA, ARS, Regional Plant Introduction Station, Pullman, Washington, United States</v>
      </c>
      <c r="J45" s="40"/>
    </row>
    <row r="46" spans="1:10" x14ac:dyDescent="0.25">
      <c r="A46" s="40"/>
      <c r="B46" s="40" t="str">
        <f>Master[[#This Row],[Accession Prefix (NPGS)]]&amp;" "&amp;Master[[#This Row],[Accession Number -Assigned]]</f>
        <v>W6 59632</v>
      </c>
      <c r="C46" s="40" t="str">
        <f t="shared" si="8"/>
        <v>Seeds of Success</v>
      </c>
      <c r="D46" s="40" t="str">
        <f t="shared" si="5"/>
        <v>mm/dd/yyyy</v>
      </c>
      <c r="E46" s="193"/>
      <c r="F46" s="40" t="str">
        <f t="shared" si="6"/>
        <v>mm/dd/yyyy</v>
      </c>
      <c r="G46" s="150"/>
      <c r="H46" s="40" t="str">
        <f t="shared" si="7"/>
        <v>N</v>
      </c>
      <c r="I46" s="30" t="str">
        <f t="shared" si="9"/>
        <v>Cashman, Michael J., USDA, ARS, Regional Plant Introduction Station, Pullman, Washington, United States</v>
      </c>
      <c r="J46" s="40"/>
    </row>
    <row r="47" spans="1:10" x14ac:dyDescent="0.25">
      <c r="A47" s="40"/>
      <c r="B47" s="40" t="str">
        <f>Master[[#This Row],[Accession Prefix (NPGS)]]&amp;" "&amp;Master[[#This Row],[Accession Number -Assigned]]</f>
        <v>W6 59633</v>
      </c>
      <c r="C47" s="40" t="str">
        <f t="shared" si="8"/>
        <v>Seeds of Success</v>
      </c>
      <c r="D47" s="40" t="str">
        <f t="shared" si="5"/>
        <v>mm/dd/yyyy</v>
      </c>
      <c r="E47" s="193"/>
      <c r="F47" s="40" t="str">
        <f t="shared" si="6"/>
        <v>mm/dd/yyyy</v>
      </c>
      <c r="G47" s="150"/>
      <c r="H47" s="40" t="str">
        <f t="shared" si="7"/>
        <v>N</v>
      </c>
      <c r="I47" s="30" t="str">
        <f t="shared" si="9"/>
        <v>Cashman, Michael J., USDA, ARS, Regional Plant Introduction Station, Pullman, Washington, United States</v>
      </c>
      <c r="J47" s="40"/>
    </row>
    <row r="48" spans="1:10" x14ac:dyDescent="0.25">
      <c r="A48" s="40"/>
      <c r="B48" s="40" t="str">
        <f>Master[[#This Row],[Accession Prefix (NPGS)]]&amp;" "&amp;Master[[#This Row],[Accession Number -Assigned]]</f>
        <v>W6 59634</v>
      </c>
      <c r="C48" s="40" t="str">
        <f t="shared" si="8"/>
        <v>Seeds of Success</v>
      </c>
      <c r="D48" s="40" t="str">
        <f t="shared" si="5"/>
        <v>mm/dd/yyyy</v>
      </c>
      <c r="E48" s="193"/>
      <c r="F48" s="40" t="str">
        <f t="shared" si="6"/>
        <v>mm/dd/yyyy</v>
      </c>
      <c r="G48" s="150"/>
      <c r="H48" s="40" t="str">
        <f t="shared" si="7"/>
        <v>N</v>
      </c>
      <c r="I48" s="30" t="str">
        <f t="shared" si="9"/>
        <v>Cashman, Michael J., USDA, ARS, Regional Plant Introduction Station, Pullman, Washington, United States</v>
      </c>
      <c r="J48" s="40"/>
    </row>
    <row r="49" spans="1:10" x14ac:dyDescent="0.25">
      <c r="A49" s="40"/>
      <c r="B49" s="40" t="str">
        <f>Master[[#This Row],[Accession Prefix (NPGS)]]&amp;" "&amp;Master[[#This Row],[Accession Number -Assigned]]</f>
        <v>W6 59635</v>
      </c>
      <c r="C49" s="40" t="str">
        <f t="shared" si="8"/>
        <v>Seeds of Success</v>
      </c>
      <c r="D49" s="40" t="str">
        <f t="shared" si="5"/>
        <v>mm/dd/yyyy</v>
      </c>
      <c r="E49" s="193"/>
      <c r="F49" s="40" t="str">
        <f t="shared" si="6"/>
        <v>mm/dd/yyyy</v>
      </c>
      <c r="G49" s="150"/>
      <c r="H49" s="40" t="str">
        <f t="shared" si="7"/>
        <v>N</v>
      </c>
      <c r="I49" s="30" t="str">
        <f t="shared" si="9"/>
        <v>Cashman, Michael J., USDA, ARS, Regional Plant Introduction Station, Pullman, Washington, United States</v>
      </c>
      <c r="J49" s="40"/>
    </row>
    <row r="50" spans="1:10" x14ac:dyDescent="0.25">
      <c r="A50" s="40"/>
      <c r="B50" s="40" t="str">
        <f>Master[[#This Row],[Accession Prefix (NPGS)]]&amp;" "&amp;Master[[#This Row],[Accession Number -Assigned]]</f>
        <v>W6 59636</v>
      </c>
      <c r="C50" s="40" t="str">
        <f t="shared" si="8"/>
        <v>Seeds of Success</v>
      </c>
      <c r="D50" s="40" t="str">
        <f t="shared" si="5"/>
        <v>mm/dd/yyyy</v>
      </c>
      <c r="E50" s="193"/>
      <c r="F50" s="40" t="str">
        <f t="shared" si="6"/>
        <v>mm/dd/yyyy</v>
      </c>
      <c r="G50" s="150"/>
      <c r="H50" s="40" t="str">
        <f t="shared" si="7"/>
        <v>N</v>
      </c>
      <c r="I50" s="30" t="str">
        <f t="shared" si="9"/>
        <v>Cashman, Michael J., USDA, ARS, Regional Plant Introduction Station, Pullman, Washington, United States</v>
      </c>
      <c r="J50" s="40"/>
    </row>
    <row r="51" spans="1:10" x14ac:dyDescent="0.25">
      <c r="A51" s="40"/>
      <c r="B51" s="40" t="str">
        <f>Master[[#This Row],[Accession Prefix (NPGS)]]&amp;" "&amp;Master[[#This Row],[Accession Number -Assigned]]</f>
        <v>W6 59637</v>
      </c>
      <c r="C51" s="40" t="str">
        <f t="shared" si="8"/>
        <v>Seeds of Success</v>
      </c>
      <c r="D51" s="40" t="str">
        <f t="shared" si="5"/>
        <v>mm/dd/yyyy</v>
      </c>
      <c r="E51" s="193"/>
      <c r="F51" s="40" t="str">
        <f t="shared" si="6"/>
        <v>mm/dd/yyyy</v>
      </c>
      <c r="G51" s="150"/>
      <c r="H51" s="40" t="str">
        <f t="shared" si="7"/>
        <v>N</v>
      </c>
      <c r="I51" s="30" t="str">
        <f t="shared" si="9"/>
        <v>Cashman, Michael J., USDA, ARS, Regional Plant Introduction Station, Pullman, Washington, United States</v>
      </c>
      <c r="J51" s="40"/>
    </row>
    <row r="52" spans="1:10" x14ac:dyDescent="0.25">
      <c r="A52" s="40"/>
      <c r="B52" s="40" t="str">
        <f>Master[[#This Row],[Accession Prefix (NPGS)]]&amp;" "&amp;Master[[#This Row],[Accession Number -Assigned]]</f>
        <v>W6 59638</v>
      </c>
      <c r="C52" s="40" t="str">
        <f t="shared" si="8"/>
        <v>Seeds of Success</v>
      </c>
      <c r="D52" s="40" t="str">
        <f t="shared" si="5"/>
        <v>mm/dd/yyyy</v>
      </c>
      <c r="E52" s="193"/>
      <c r="F52" s="40" t="str">
        <f t="shared" si="6"/>
        <v>mm/dd/yyyy</v>
      </c>
      <c r="G52" s="150"/>
      <c r="H52" s="40" t="str">
        <f t="shared" si="7"/>
        <v>N</v>
      </c>
      <c r="I52" s="30" t="str">
        <f t="shared" si="9"/>
        <v>Cashman, Michael J., USDA, ARS, Regional Plant Introduction Station, Pullman, Washington, United States</v>
      </c>
      <c r="J52" s="40"/>
    </row>
    <row r="53" spans="1:10" x14ac:dyDescent="0.25">
      <c r="A53" s="40"/>
      <c r="B53" s="40" t="str">
        <f>Master[[#This Row],[Accession Prefix (NPGS)]]&amp;" "&amp;Master[[#This Row],[Accession Number -Assigned]]</f>
        <v>W6 59639</v>
      </c>
      <c r="C53" s="40" t="str">
        <f t="shared" si="8"/>
        <v>Seeds of Success</v>
      </c>
      <c r="D53" s="40" t="str">
        <f t="shared" si="5"/>
        <v>mm/dd/yyyy</v>
      </c>
      <c r="E53" s="193"/>
      <c r="F53" s="40" t="str">
        <f t="shared" si="6"/>
        <v>mm/dd/yyyy</v>
      </c>
      <c r="G53" s="150"/>
      <c r="H53" s="40" t="str">
        <f t="shared" si="7"/>
        <v>N</v>
      </c>
      <c r="I53" s="30" t="str">
        <f t="shared" si="9"/>
        <v>Cashman, Michael J., USDA, ARS, Regional Plant Introduction Station, Pullman, Washington, United States</v>
      </c>
      <c r="J53" s="40"/>
    </row>
    <row r="54" spans="1:10" x14ac:dyDescent="0.25">
      <c r="A54" s="40"/>
      <c r="B54" s="40" t="str">
        <f>Master[[#This Row],[Accession Prefix (NPGS)]]&amp;" "&amp;Master[[#This Row],[Accession Number -Assigned]]</f>
        <v>W6 59640</v>
      </c>
      <c r="C54" s="40" t="str">
        <f t="shared" si="8"/>
        <v>Seeds of Success</v>
      </c>
      <c r="D54" s="40" t="str">
        <f t="shared" ref="D54:D85" si="10">"mm/dd/yyyy"</f>
        <v>mm/dd/yyyy</v>
      </c>
      <c r="E54" s="193"/>
      <c r="F54" s="40" t="str">
        <f t="shared" ref="F54:F85" si="11">"mm/dd/yyyy"</f>
        <v>mm/dd/yyyy</v>
      </c>
      <c r="G54" s="150"/>
      <c r="H54" s="40" t="str">
        <f t="shared" ref="H54:H85" si="12">"N"</f>
        <v>N</v>
      </c>
      <c r="I54" s="30" t="str">
        <f t="shared" si="9"/>
        <v>Cashman, Michael J., USDA, ARS, Regional Plant Introduction Station, Pullman, Washington, United States</v>
      </c>
      <c r="J54" s="40"/>
    </row>
    <row r="55" spans="1:10" x14ac:dyDescent="0.25">
      <c r="A55" s="40"/>
      <c r="B55" s="40" t="str">
        <f>Master[[#This Row],[Accession Prefix (NPGS)]]&amp;" "&amp;Master[[#This Row],[Accession Number -Assigned]]</f>
        <v>W6 59641</v>
      </c>
      <c r="C55" s="40" t="str">
        <f t="shared" si="8"/>
        <v>Seeds of Success</v>
      </c>
      <c r="D55" s="40" t="str">
        <f t="shared" si="10"/>
        <v>mm/dd/yyyy</v>
      </c>
      <c r="E55" s="193"/>
      <c r="F55" s="40" t="str">
        <f t="shared" si="11"/>
        <v>mm/dd/yyyy</v>
      </c>
      <c r="G55" s="150"/>
      <c r="H55" s="40" t="str">
        <f t="shared" si="12"/>
        <v>N</v>
      </c>
      <c r="I55" s="30" t="str">
        <f t="shared" si="9"/>
        <v>Cashman, Michael J., USDA, ARS, Regional Plant Introduction Station, Pullman, Washington, United States</v>
      </c>
      <c r="J55" s="40"/>
    </row>
    <row r="56" spans="1:10" x14ac:dyDescent="0.25">
      <c r="A56" s="40"/>
      <c r="B56" s="40" t="str">
        <f>Master[[#This Row],[Accession Prefix (NPGS)]]&amp;" "&amp;Master[[#This Row],[Accession Number -Assigned]]</f>
        <v>W6 59642</v>
      </c>
      <c r="C56" s="40" t="str">
        <f t="shared" si="8"/>
        <v>Seeds of Success</v>
      </c>
      <c r="D56" s="40" t="str">
        <f t="shared" si="10"/>
        <v>mm/dd/yyyy</v>
      </c>
      <c r="E56" s="193"/>
      <c r="F56" s="40" t="str">
        <f t="shared" si="11"/>
        <v>mm/dd/yyyy</v>
      </c>
      <c r="G56" s="150"/>
      <c r="H56" s="40" t="str">
        <f t="shared" si="12"/>
        <v>N</v>
      </c>
      <c r="I56" s="30" t="str">
        <f t="shared" si="9"/>
        <v>Cashman, Michael J., USDA, ARS, Regional Plant Introduction Station, Pullman, Washington, United States</v>
      </c>
      <c r="J56" s="40"/>
    </row>
    <row r="57" spans="1:10" x14ac:dyDescent="0.25">
      <c r="A57" s="40"/>
      <c r="B57" s="40" t="str">
        <f>Master[[#This Row],[Accession Prefix (NPGS)]]&amp;" "&amp;Master[[#This Row],[Accession Number -Assigned]]</f>
        <v>W6 59643</v>
      </c>
      <c r="C57" s="40" t="str">
        <f t="shared" si="8"/>
        <v>Seeds of Success</v>
      </c>
      <c r="D57" s="40" t="str">
        <f t="shared" si="10"/>
        <v>mm/dd/yyyy</v>
      </c>
      <c r="E57" s="193"/>
      <c r="F57" s="40" t="str">
        <f t="shared" si="11"/>
        <v>mm/dd/yyyy</v>
      </c>
      <c r="G57" s="150"/>
      <c r="H57" s="40" t="str">
        <f t="shared" si="12"/>
        <v>N</v>
      </c>
      <c r="I57" s="30" t="str">
        <f t="shared" si="9"/>
        <v>Cashman, Michael J., USDA, ARS, Regional Plant Introduction Station, Pullman, Washington, United States</v>
      </c>
      <c r="J57" s="40"/>
    </row>
    <row r="58" spans="1:10" x14ac:dyDescent="0.25">
      <c r="A58" s="40"/>
      <c r="B58" s="40" t="str">
        <f>Master[[#This Row],[Accession Prefix (NPGS)]]&amp;" "&amp;Master[[#This Row],[Accession Number -Assigned]]</f>
        <v>W6 59644</v>
      </c>
      <c r="C58" s="40" t="str">
        <f t="shared" si="8"/>
        <v>Seeds of Success</v>
      </c>
      <c r="D58" s="40" t="str">
        <f t="shared" si="10"/>
        <v>mm/dd/yyyy</v>
      </c>
      <c r="E58" s="193"/>
      <c r="F58" s="40" t="str">
        <f t="shared" si="11"/>
        <v>mm/dd/yyyy</v>
      </c>
      <c r="G58" s="150"/>
      <c r="H58" s="40" t="str">
        <f t="shared" si="12"/>
        <v>N</v>
      </c>
      <c r="I58" s="30" t="str">
        <f t="shared" si="9"/>
        <v>Cashman, Michael J., USDA, ARS, Regional Plant Introduction Station, Pullman, Washington, United States</v>
      </c>
      <c r="J58" s="40"/>
    </row>
    <row r="59" spans="1:10" x14ac:dyDescent="0.25">
      <c r="A59" s="40"/>
      <c r="B59" s="40" t="str">
        <f>Master[[#This Row],[Accession Prefix (NPGS)]]&amp;" "&amp;Master[[#This Row],[Accession Number -Assigned]]</f>
        <v>W6 59645</v>
      </c>
      <c r="C59" s="40" t="str">
        <f t="shared" si="8"/>
        <v>Seeds of Success</v>
      </c>
      <c r="D59" s="40" t="str">
        <f t="shared" si="10"/>
        <v>mm/dd/yyyy</v>
      </c>
      <c r="E59" s="193"/>
      <c r="F59" s="40" t="str">
        <f t="shared" si="11"/>
        <v>mm/dd/yyyy</v>
      </c>
      <c r="G59" s="150"/>
      <c r="H59" s="40" t="str">
        <f t="shared" si="12"/>
        <v>N</v>
      </c>
      <c r="I59" s="30" t="str">
        <f t="shared" si="9"/>
        <v>Cashman, Michael J., USDA, ARS, Regional Plant Introduction Station, Pullman, Washington, United States</v>
      </c>
      <c r="J59" s="40"/>
    </row>
    <row r="60" spans="1:10" x14ac:dyDescent="0.25">
      <c r="A60" s="40"/>
      <c r="B60" s="40" t="str">
        <f>Master[[#This Row],[Accession Prefix (NPGS)]]&amp;" "&amp;Master[[#This Row],[Accession Number -Assigned]]</f>
        <v>W6 59646</v>
      </c>
      <c r="C60" s="40" t="str">
        <f t="shared" si="8"/>
        <v>Seeds of Success</v>
      </c>
      <c r="D60" s="40" t="str">
        <f t="shared" si="10"/>
        <v>mm/dd/yyyy</v>
      </c>
      <c r="E60" s="193"/>
      <c r="F60" s="40" t="str">
        <f t="shared" si="11"/>
        <v>mm/dd/yyyy</v>
      </c>
      <c r="G60" s="150"/>
      <c r="H60" s="40" t="str">
        <f t="shared" si="12"/>
        <v>N</v>
      </c>
      <c r="I60" s="30" t="str">
        <f t="shared" si="9"/>
        <v>Cashman, Michael J., USDA, ARS, Regional Plant Introduction Station, Pullman, Washington, United States</v>
      </c>
      <c r="J60" s="40"/>
    </row>
    <row r="61" spans="1:10" x14ac:dyDescent="0.25">
      <c r="A61" s="40"/>
      <c r="B61" s="40" t="str">
        <f>Master[[#This Row],[Accession Prefix (NPGS)]]&amp;" "&amp;Master[[#This Row],[Accession Number -Assigned]]</f>
        <v>W6 59647</v>
      </c>
      <c r="C61" s="40" t="str">
        <f t="shared" si="8"/>
        <v>Seeds of Success</v>
      </c>
      <c r="D61" s="40" t="str">
        <f t="shared" si="10"/>
        <v>mm/dd/yyyy</v>
      </c>
      <c r="E61" s="193"/>
      <c r="F61" s="40" t="str">
        <f t="shared" si="11"/>
        <v>mm/dd/yyyy</v>
      </c>
      <c r="G61" s="150"/>
      <c r="H61" s="40" t="str">
        <f t="shared" si="12"/>
        <v>N</v>
      </c>
      <c r="I61" s="30" t="str">
        <f t="shared" si="9"/>
        <v>Cashman, Michael J., USDA, ARS, Regional Plant Introduction Station, Pullman, Washington, United States</v>
      </c>
      <c r="J61" s="40"/>
    </row>
    <row r="62" spans="1:10" x14ac:dyDescent="0.25">
      <c r="A62" s="40"/>
      <c r="B62" s="40" t="str">
        <f>Master[[#This Row],[Accession Prefix (NPGS)]]&amp;" "&amp;Master[[#This Row],[Accession Number -Assigned]]</f>
        <v>W6 59648</v>
      </c>
      <c r="C62" s="40" t="str">
        <f t="shared" si="8"/>
        <v>Seeds of Success</v>
      </c>
      <c r="D62" s="40" t="str">
        <f t="shared" si="10"/>
        <v>mm/dd/yyyy</v>
      </c>
      <c r="E62" s="193"/>
      <c r="F62" s="40" t="str">
        <f t="shared" si="11"/>
        <v>mm/dd/yyyy</v>
      </c>
      <c r="G62" s="150"/>
      <c r="H62" s="40" t="str">
        <f t="shared" si="12"/>
        <v>N</v>
      </c>
      <c r="I62" s="30" t="str">
        <f t="shared" si="9"/>
        <v>Cashman, Michael J., USDA, ARS, Regional Plant Introduction Station, Pullman, Washington, United States</v>
      </c>
      <c r="J62" s="40"/>
    </row>
    <row r="63" spans="1:10" x14ac:dyDescent="0.25">
      <c r="A63" s="40"/>
      <c r="B63" s="40" t="str">
        <f>Master[[#This Row],[Accession Prefix (NPGS)]]&amp;" "&amp;Master[[#This Row],[Accession Number -Assigned]]</f>
        <v>W6 59649</v>
      </c>
      <c r="C63" s="40" t="str">
        <f t="shared" si="8"/>
        <v>Seeds of Success</v>
      </c>
      <c r="D63" s="40" t="str">
        <f t="shared" si="10"/>
        <v>mm/dd/yyyy</v>
      </c>
      <c r="E63" s="193"/>
      <c r="F63" s="40" t="str">
        <f t="shared" si="11"/>
        <v>mm/dd/yyyy</v>
      </c>
      <c r="G63" s="150"/>
      <c r="H63" s="40" t="str">
        <f t="shared" si="12"/>
        <v>N</v>
      </c>
      <c r="I63" s="30" t="str">
        <f t="shared" si="9"/>
        <v>Cashman, Michael J., USDA, ARS, Regional Plant Introduction Station, Pullman, Washington, United States</v>
      </c>
      <c r="J63" s="40"/>
    </row>
    <row r="64" spans="1:10" x14ac:dyDescent="0.25">
      <c r="A64" s="40"/>
      <c r="B64" s="40" t="str">
        <f>Master[[#This Row],[Accession Prefix (NPGS)]]&amp;" "&amp;Master[[#This Row],[Accession Number -Assigned]]</f>
        <v>W6 59650</v>
      </c>
      <c r="C64" s="40" t="str">
        <f t="shared" si="8"/>
        <v>Seeds of Success</v>
      </c>
      <c r="D64" s="40" t="str">
        <f t="shared" si="10"/>
        <v>mm/dd/yyyy</v>
      </c>
      <c r="E64" s="193"/>
      <c r="F64" s="40" t="str">
        <f t="shared" si="11"/>
        <v>mm/dd/yyyy</v>
      </c>
      <c r="G64" s="150"/>
      <c r="H64" s="40" t="str">
        <f t="shared" si="12"/>
        <v>N</v>
      </c>
      <c r="I64" s="30" t="str">
        <f t="shared" si="9"/>
        <v>Cashman, Michael J., USDA, ARS, Regional Plant Introduction Station, Pullman, Washington, United States</v>
      </c>
      <c r="J64" s="40"/>
    </row>
    <row r="65" spans="1:10" x14ac:dyDescent="0.25">
      <c r="A65" s="40"/>
      <c r="B65" s="40" t="str">
        <f>Master[[#This Row],[Accession Prefix (NPGS)]]&amp;" "&amp;Master[[#This Row],[Accession Number -Assigned]]</f>
        <v>W6 59651</v>
      </c>
      <c r="C65" s="40" t="str">
        <f t="shared" si="8"/>
        <v>Seeds of Success</v>
      </c>
      <c r="D65" s="40" t="str">
        <f t="shared" si="10"/>
        <v>mm/dd/yyyy</v>
      </c>
      <c r="E65" s="193"/>
      <c r="F65" s="40" t="str">
        <f t="shared" si="11"/>
        <v>mm/dd/yyyy</v>
      </c>
      <c r="G65" s="150"/>
      <c r="H65" s="40" t="str">
        <f t="shared" si="12"/>
        <v>N</v>
      </c>
      <c r="I65" s="30" t="str">
        <f t="shared" si="9"/>
        <v>Cashman, Michael J., USDA, ARS, Regional Plant Introduction Station, Pullman, Washington, United States</v>
      </c>
      <c r="J65" s="40"/>
    </row>
    <row r="66" spans="1:10" x14ac:dyDescent="0.25">
      <c r="A66" s="40"/>
      <c r="B66" s="40" t="str">
        <f>Master[[#This Row],[Accession Prefix (NPGS)]]&amp;" "&amp;Master[[#This Row],[Accession Number -Assigned]]</f>
        <v>W6 59652</v>
      </c>
      <c r="C66" s="40" t="str">
        <f t="shared" ref="C66:C97" si="13">"Seeds of Success"</f>
        <v>Seeds of Success</v>
      </c>
      <c r="D66" s="40" t="str">
        <f t="shared" si="10"/>
        <v>mm/dd/yyyy</v>
      </c>
      <c r="E66" s="193"/>
      <c r="F66" s="40" t="str">
        <f t="shared" si="11"/>
        <v>mm/dd/yyyy</v>
      </c>
      <c r="G66" s="150"/>
      <c r="H66" s="40" t="str">
        <f t="shared" si="12"/>
        <v>N</v>
      </c>
      <c r="I66" s="30" t="str">
        <f t="shared" ref="I66:I97" si="14">"Cashman, Michael J., USDA, ARS, Regional Plant Introduction Station, Pullman, Washington, United States"</f>
        <v>Cashman, Michael J., USDA, ARS, Regional Plant Introduction Station, Pullman, Washington, United States</v>
      </c>
      <c r="J66" s="40"/>
    </row>
    <row r="67" spans="1:10" x14ac:dyDescent="0.25">
      <c r="A67" s="40"/>
      <c r="B67" s="40" t="str">
        <f>Master[[#This Row],[Accession Prefix (NPGS)]]&amp;" "&amp;Master[[#This Row],[Accession Number -Assigned]]</f>
        <v>W6 59653</v>
      </c>
      <c r="C67" s="40" t="str">
        <f t="shared" si="13"/>
        <v>Seeds of Success</v>
      </c>
      <c r="D67" s="40" t="str">
        <f t="shared" si="10"/>
        <v>mm/dd/yyyy</v>
      </c>
      <c r="E67" s="193"/>
      <c r="F67" s="40" t="str">
        <f t="shared" si="11"/>
        <v>mm/dd/yyyy</v>
      </c>
      <c r="G67" s="150"/>
      <c r="H67" s="40" t="str">
        <f t="shared" si="12"/>
        <v>N</v>
      </c>
      <c r="I67" s="30" t="str">
        <f t="shared" si="14"/>
        <v>Cashman, Michael J., USDA, ARS, Regional Plant Introduction Station, Pullman, Washington, United States</v>
      </c>
      <c r="J67" s="40"/>
    </row>
    <row r="68" spans="1:10" x14ac:dyDescent="0.25">
      <c r="A68" s="40"/>
      <c r="B68" s="40" t="str">
        <f>Master[[#This Row],[Accession Prefix (NPGS)]]&amp;" "&amp;Master[[#This Row],[Accession Number -Assigned]]</f>
        <v>W6 59654</v>
      </c>
      <c r="C68" s="40" t="str">
        <f t="shared" si="13"/>
        <v>Seeds of Success</v>
      </c>
      <c r="D68" s="40" t="str">
        <f t="shared" si="10"/>
        <v>mm/dd/yyyy</v>
      </c>
      <c r="E68" s="193"/>
      <c r="F68" s="40" t="str">
        <f t="shared" si="11"/>
        <v>mm/dd/yyyy</v>
      </c>
      <c r="G68" s="150"/>
      <c r="H68" s="40" t="str">
        <f t="shared" si="12"/>
        <v>N</v>
      </c>
      <c r="I68" s="30" t="str">
        <f t="shared" si="14"/>
        <v>Cashman, Michael J., USDA, ARS, Regional Plant Introduction Station, Pullman, Washington, United States</v>
      </c>
      <c r="J68" s="40"/>
    </row>
    <row r="69" spans="1:10" x14ac:dyDescent="0.25">
      <c r="A69" s="40"/>
      <c r="B69" s="40" t="str">
        <f>Master[[#This Row],[Accession Prefix (NPGS)]]&amp;" "&amp;Master[[#This Row],[Accession Number -Assigned]]</f>
        <v>W6 59655</v>
      </c>
      <c r="C69" s="40" t="str">
        <f t="shared" si="13"/>
        <v>Seeds of Success</v>
      </c>
      <c r="D69" s="40" t="str">
        <f t="shared" si="10"/>
        <v>mm/dd/yyyy</v>
      </c>
      <c r="E69" s="193"/>
      <c r="F69" s="40" t="str">
        <f t="shared" si="11"/>
        <v>mm/dd/yyyy</v>
      </c>
      <c r="G69" s="150"/>
      <c r="H69" s="40" t="str">
        <f t="shared" si="12"/>
        <v>N</v>
      </c>
      <c r="I69" s="30" t="str">
        <f t="shared" si="14"/>
        <v>Cashman, Michael J., USDA, ARS, Regional Plant Introduction Station, Pullman, Washington, United States</v>
      </c>
      <c r="J69" s="40"/>
    </row>
    <row r="70" spans="1:10" x14ac:dyDescent="0.25">
      <c r="A70" s="40"/>
      <c r="B70" s="40" t="str">
        <f>Master[[#This Row],[Accession Prefix (NPGS)]]&amp;" "&amp;Master[[#This Row],[Accession Number -Assigned]]</f>
        <v>W6 59656</v>
      </c>
      <c r="C70" s="40" t="str">
        <f t="shared" si="13"/>
        <v>Seeds of Success</v>
      </c>
      <c r="D70" s="40" t="str">
        <f t="shared" si="10"/>
        <v>mm/dd/yyyy</v>
      </c>
      <c r="E70" s="193"/>
      <c r="F70" s="40" t="str">
        <f t="shared" si="11"/>
        <v>mm/dd/yyyy</v>
      </c>
      <c r="G70" s="150"/>
      <c r="H70" s="40" t="str">
        <f t="shared" si="12"/>
        <v>N</v>
      </c>
      <c r="I70" s="30" t="str">
        <f t="shared" si="14"/>
        <v>Cashman, Michael J., USDA, ARS, Regional Plant Introduction Station, Pullman, Washington, United States</v>
      </c>
      <c r="J70" s="40"/>
    </row>
    <row r="71" spans="1:10" x14ac:dyDescent="0.25">
      <c r="A71" s="40"/>
      <c r="B71" s="40" t="str">
        <f>Master[[#This Row],[Accession Prefix (NPGS)]]&amp;" "&amp;Master[[#This Row],[Accession Number -Assigned]]</f>
        <v>W6 59657</v>
      </c>
      <c r="C71" s="40" t="str">
        <f t="shared" si="13"/>
        <v>Seeds of Success</v>
      </c>
      <c r="D71" s="40" t="str">
        <f t="shared" si="10"/>
        <v>mm/dd/yyyy</v>
      </c>
      <c r="E71" s="193"/>
      <c r="F71" s="40" t="str">
        <f t="shared" si="11"/>
        <v>mm/dd/yyyy</v>
      </c>
      <c r="G71" s="150"/>
      <c r="H71" s="40" t="str">
        <f t="shared" si="12"/>
        <v>N</v>
      </c>
      <c r="I71" s="30" t="str">
        <f t="shared" si="14"/>
        <v>Cashman, Michael J., USDA, ARS, Regional Plant Introduction Station, Pullman, Washington, United States</v>
      </c>
      <c r="J71" s="40"/>
    </row>
    <row r="72" spans="1:10" x14ac:dyDescent="0.25">
      <c r="A72" s="40"/>
      <c r="B72" s="40" t="str">
        <f>Master[[#This Row],[Accession Prefix (NPGS)]]&amp;" "&amp;Master[[#This Row],[Accession Number -Assigned]]</f>
        <v>W6 59658</v>
      </c>
      <c r="C72" s="40" t="str">
        <f t="shared" si="13"/>
        <v>Seeds of Success</v>
      </c>
      <c r="D72" s="40" t="str">
        <f t="shared" si="10"/>
        <v>mm/dd/yyyy</v>
      </c>
      <c r="E72" s="193"/>
      <c r="F72" s="40" t="str">
        <f t="shared" si="11"/>
        <v>mm/dd/yyyy</v>
      </c>
      <c r="G72" s="150"/>
      <c r="H72" s="40" t="str">
        <f t="shared" si="12"/>
        <v>N</v>
      </c>
      <c r="I72" s="30" t="str">
        <f t="shared" si="14"/>
        <v>Cashman, Michael J., USDA, ARS, Regional Plant Introduction Station, Pullman, Washington, United States</v>
      </c>
      <c r="J72" s="40"/>
    </row>
    <row r="73" spans="1:10" x14ac:dyDescent="0.25">
      <c r="A73" s="40"/>
      <c r="B73" s="40" t="str">
        <f>Master[[#This Row],[Accession Prefix (NPGS)]]&amp;" "&amp;Master[[#This Row],[Accession Number -Assigned]]</f>
        <v>W6 59659</v>
      </c>
      <c r="C73" s="40" t="str">
        <f t="shared" si="13"/>
        <v>Seeds of Success</v>
      </c>
      <c r="D73" s="40" t="str">
        <f t="shared" si="10"/>
        <v>mm/dd/yyyy</v>
      </c>
      <c r="E73" s="193"/>
      <c r="F73" s="40" t="str">
        <f t="shared" si="11"/>
        <v>mm/dd/yyyy</v>
      </c>
      <c r="G73" s="150"/>
      <c r="H73" s="40" t="str">
        <f t="shared" si="12"/>
        <v>N</v>
      </c>
      <c r="I73" s="30" t="str">
        <f t="shared" si="14"/>
        <v>Cashman, Michael J., USDA, ARS, Regional Plant Introduction Station, Pullman, Washington, United States</v>
      </c>
      <c r="J73" s="40"/>
    </row>
    <row r="74" spans="1:10" x14ac:dyDescent="0.25">
      <c r="A74" s="40"/>
      <c r="B74" s="40" t="str">
        <f>Master[[#This Row],[Accession Prefix (NPGS)]]&amp;" "&amp;Master[[#This Row],[Accession Number -Assigned]]</f>
        <v>W6 59660</v>
      </c>
      <c r="C74" s="40" t="str">
        <f t="shared" si="13"/>
        <v>Seeds of Success</v>
      </c>
      <c r="D74" s="40" t="str">
        <f t="shared" si="10"/>
        <v>mm/dd/yyyy</v>
      </c>
      <c r="E74" s="193"/>
      <c r="F74" s="40" t="str">
        <f t="shared" si="11"/>
        <v>mm/dd/yyyy</v>
      </c>
      <c r="G74" s="150"/>
      <c r="H74" s="40" t="str">
        <f t="shared" si="12"/>
        <v>N</v>
      </c>
      <c r="I74" s="30" t="str">
        <f t="shared" si="14"/>
        <v>Cashman, Michael J., USDA, ARS, Regional Plant Introduction Station, Pullman, Washington, United States</v>
      </c>
      <c r="J74" s="40"/>
    </row>
    <row r="75" spans="1:10" x14ac:dyDescent="0.25">
      <c r="A75" s="40"/>
      <c r="B75" s="40" t="str">
        <f>Master[[#This Row],[Accession Prefix (NPGS)]]&amp;" "&amp;Master[[#This Row],[Accession Number -Assigned]]</f>
        <v>W6 59661</v>
      </c>
      <c r="C75" s="40" t="str">
        <f t="shared" si="13"/>
        <v>Seeds of Success</v>
      </c>
      <c r="D75" s="40" t="str">
        <f t="shared" si="10"/>
        <v>mm/dd/yyyy</v>
      </c>
      <c r="E75" s="193"/>
      <c r="F75" s="40" t="str">
        <f t="shared" si="11"/>
        <v>mm/dd/yyyy</v>
      </c>
      <c r="G75" s="150"/>
      <c r="H75" s="40" t="str">
        <f t="shared" si="12"/>
        <v>N</v>
      </c>
      <c r="I75" s="30" t="str">
        <f t="shared" si="14"/>
        <v>Cashman, Michael J., USDA, ARS, Regional Plant Introduction Station, Pullman, Washington, United States</v>
      </c>
      <c r="J75" s="40"/>
    </row>
    <row r="76" spans="1:10" x14ac:dyDescent="0.25">
      <c r="A76" s="40"/>
      <c r="B76" s="40" t="str">
        <f>Master[[#This Row],[Accession Prefix (NPGS)]]&amp;" "&amp;Master[[#This Row],[Accession Number -Assigned]]</f>
        <v>W6 59662</v>
      </c>
      <c r="C76" s="40" t="str">
        <f t="shared" si="13"/>
        <v>Seeds of Success</v>
      </c>
      <c r="D76" s="40" t="str">
        <f t="shared" si="10"/>
        <v>mm/dd/yyyy</v>
      </c>
      <c r="E76" s="193"/>
      <c r="F76" s="40" t="str">
        <f t="shared" si="11"/>
        <v>mm/dd/yyyy</v>
      </c>
      <c r="G76" s="150"/>
      <c r="H76" s="40" t="str">
        <f t="shared" si="12"/>
        <v>N</v>
      </c>
      <c r="I76" s="30" t="str">
        <f t="shared" si="14"/>
        <v>Cashman, Michael J., USDA, ARS, Regional Plant Introduction Station, Pullman, Washington, United States</v>
      </c>
      <c r="J76" s="40"/>
    </row>
    <row r="77" spans="1:10" x14ac:dyDescent="0.25">
      <c r="A77" s="40"/>
      <c r="B77" s="40" t="str">
        <f>Master[[#This Row],[Accession Prefix (NPGS)]]&amp;" "&amp;Master[[#This Row],[Accession Number -Assigned]]</f>
        <v>W6 59663</v>
      </c>
      <c r="C77" s="40" t="str">
        <f t="shared" si="13"/>
        <v>Seeds of Success</v>
      </c>
      <c r="D77" s="40" t="str">
        <f t="shared" si="10"/>
        <v>mm/dd/yyyy</v>
      </c>
      <c r="E77" s="193"/>
      <c r="F77" s="40" t="str">
        <f t="shared" si="11"/>
        <v>mm/dd/yyyy</v>
      </c>
      <c r="G77" s="150"/>
      <c r="H77" s="40" t="str">
        <f t="shared" si="12"/>
        <v>N</v>
      </c>
      <c r="I77" s="30" t="str">
        <f t="shared" si="14"/>
        <v>Cashman, Michael J., USDA, ARS, Regional Plant Introduction Station, Pullman, Washington, United States</v>
      </c>
      <c r="J77" s="40"/>
    </row>
    <row r="78" spans="1:10" x14ac:dyDescent="0.25">
      <c r="A78" s="40"/>
      <c r="B78" s="40" t="str">
        <f>Master[[#This Row],[Accession Prefix (NPGS)]]&amp;" "&amp;Master[[#This Row],[Accession Number -Assigned]]</f>
        <v>W6 59664</v>
      </c>
      <c r="C78" s="40" t="str">
        <f t="shared" si="13"/>
        <v>Seeds of Success</v>
      </c>
      <c r="D78" s="40" t="str">
        <f t="shared" si="10"/>
        <v>mm/dd/yyyy</v>
      </c>
      <c r="E78" s="193"/>
      <c r="F78" s="40" t="str">
        <f t="shared" si="11"/>
        <v>mm/dd/yyyy</v>
      </c>
      <c r="G78" s="150"/>
      <c r="H78" s="40" t="str">
        <f t="shared" si="12"/>
        <v>N</v>
      </c>
      <c r="I78" s="30" t="str">
        <f t="shared" si="14"/>
        <v>Cashman, Michael J., USDA, ARS, Regional Plant Introduction Station, Pullman, Washington, United States</v>
      </c>
      <c r="J78" s="40"/>
    </row>
    <row r="79" spans="1:10" x14ac:dyDescent="0.25">
      <c r="A79" s="40"/>
      <c r="B79" s="40" t="str">
        <f>Master[[#This Row],[Accession Prefix (NPGS)]]&amp;" "&amp;Master[[#This Row],[Accession Number -Assigned]]</f>
        <v>W6 59665</v>
      </c>
      <c r="C79" s="40" t="str">
        <f t="shared" si="13"/>
        <v>Seeds of Success</v>
      </c>
      <c r="D79" s="40" t="str">
        <f t="shared" si="10"/>
        <v>mm/dd/yyyy</v>
      </c>
      <c r="E79" s="193"/>
      <c r="F79" s="40" t="str">
        <f t="shared" si="11"/>
        <v>mm/dd/yyyy</v>
      </c>
      <c r="G79" s="150"/>
      <c r="H79" s="40" t="str">
        <f t="shared" si="12"/>
        <v>N</v>
      </c>
      <c r="I79" s="30" t="str">
        <f t="shared" si="14"/>
        <v>Cashman, Michael J., USDA, ARS, Regional Plant Introduction Station, Pullman, Washington, United States</v>
      </c>
      <c r="J79" s="40"/>
    </row>
    <row r="80" spans="1:10" x14ac:dyDescent="0.25">
      <c r="A80" s="40"/>
      <c r="B80" s="40" t="str">
        <f>Master[[#This Row],[Accession Prefix (NPGS)]]&amp;" "&amp;Master[[#This Row],[Accession Number -Assigned]]</f>
        <v>W6 59666</v>
      </c>
      <c r="C80" s="40" t="str">
        <f t="shared" si="13"/>
        <v>Seeds of Success</v>
      </c>
      <c r="D80" s="40" t="str">
        <f t="shared" si="10"/>
        <v>mm/dd/yyyy</v>
      </c>
      <c r="E80" s="193"/>
      <c r="F80" s="40" t="str">
        <f t="shared" si="11"/>
        <v>mm/dd/yyyy</v>
      </c>
      <c r="G80" s="150"/>
      <c r="H80" s="40" t="str">
        <f t="shared" si="12"/>
        <v>N</v>
      </c>
      <c r="I80" s="30" t="str">
        <f t="shared" si="14"/>
        <v>Cashman, Michael J., USDA, ARS, Regional Plant Introduction Station, Pullman, Washington, United States</v>
      </c>
      <c r="J80" s="40"/>
    </row>
    <row r="81" spans="1:10" x14ac:dyDescent="0.25">
      <c r="A81" s="40"/>
      <c r="B81" s="40" t="str">
        <f>Master[[#This Row],[Accession Prefix (NPGS)]]&amp;" "&amp;Master[[#This Row],[Accession Number -Assigned]]</f>
        <v>W6 59667</v>
      </c>
      <c r="C81" s="40" t="str">
        <f t="shared" si="13"/>
        <v>Seeds of Success</v>
      </c>
      <c r="D81" s="40" t="str">
        <f t="shared" si="10"/>
        <v>mm/dd/yyyy</v>
      </c>
      <c r="E81" s="193"/>
      <c r="F81" s="40" t="str">
        <f t="shared" si="11"/>
        <v>mm/dd/yyyy</v>
      </c>
      <c r="G81" s="150"/>
      <c r="H81" s="40" t="str">
        <f t="shared" si="12"/>
        <v>N</v>
      </c>
      <c r="I81" s="30" t="str">
        <f t="shared" si="14"/>
        <v>Cashman, Michael J., USDA, ARS, Regional Plant Introduction Station, Pullman, Washington, United States</v>
      </c>
      <c r="J81" s="40"/>
    </row>
    <row r="82" spans="1:10" x14ac:dyDescent="0.25">
      <c r="A82" s="40"/>
      <c r="B82" s="40" t="str">
        <f>Master[[#This Row],[Accession Prefix (NPGS)]]&amp;" "&amp;Master[[#This Row],[Accession Number -Assigned]]</f>
        <v>W6 59668</v>
      </c>
      <c r="C82" s="40" t="str">
        <f t="shared" si="13"/>
        <v>Seeds of Success</v>
      </c>
      <c r="D82" s="40" t="str">
        <f t="shared" si="10"/>
        <v>mm/dd/yyyy</v>
      </c>
      <c r="E82" s="193"/>
      <c r="F82" s="40" t="str">
        <f t="shared" si="11"/>
        <v>mm/dd/yyyy</v>
      </c>
      <c r="G82" s="150"/>
      <c r="H82" s="40" t="str">
        <f t="shared" si="12"/>
        <v>N</v>
      </c>
      <c r="I82" s="30" t="str">
        <f t="shared" si="14"/>
        <v>Cashman, Michael J., USDA, ARS, Regional Plant Introduction Station, Pullman, Washington, United States</v>
      </c>
      <c r="J82" s="40"/>
    </row>
    <row r="83" spans="1:10" x14ac:dyDescent="0.25">
      <c r="A83" s="40"/>
      <c r="B83" s="40" t="str">
        <f>Master[[#This Row],[Accession Prefix (NPGS)]]&amp;" "&amp;Master[[#This Row],[Accession Number -Assigned]]</f>
        <v>W6 59669</v>
      </c>
      <c r="C83" s="40" t="str">
        <f t="shared" si="13"/>
        <v>Seeds of Success</v>
      </c>
      <c r="D83" s="40" t="str">
        <f t="shared" si="10"/>
        <v>mm/dd/yyyy</v>
      </c>
      <c r="E83" s="193"/>
      <c r="F83" s="40" t="str">
        <f t="shared" si="11"/>
        <v>mm/dd/yyyy</v>
      </c>
      <c r="G83" s="150"/>
      <c r="H83" s="40" t="str">
        <f t="shared" si="12"/>
        <v>N</v>
      </c>
      <c r="I83" s="30" t="str">
        <f t="shared" si="14"/>
        <v>Cashman, Michael J., USDA, ARS, Regional Plant Introduction Station, Pullman, Washington, United States</v>
      </c>
      <c r="J83" s="40"/>
    </row>
    <row r="84" spans="1:10" x14ac:dyDescent="0.25">
      <c r="A84" s="40"/>
      <c r="B84" s="40" t="str">
        <f>Master[[#This Row],[Accession Prefix (NPGS)]]&amp;" "&amp;Master[[#This Row],[Accession Number -Assigned]]</f>
        <v>W6 59670</v>
      </c>
      <c r="C84" s="40" t="str">
        <f t="shared" si="13"/>
        <v>Seeds of Success</v>
      </c>
      <c r="D84" s="40" t="str">
        <f t="shared" si="10"/>
        <v>mm/dd/yyyy</v>
      </c>
      <c r="E84" s="193"/>
      <c r="F84" s="40" t="str">
        <f t="shared" si="11"/>
        <v>mm/dd/yyyy</v>
      </c>
      <c r="G84" s="150"/>
      <c r="H84" s="40" t="str">
        <f t="shared" si="12"/>
        <v>N</v>
      </c>
      <c r="I84" s="30" t="str">
        <f t="shared" si="14"/>
        <v>Cashman, Michael J., USDA, ARS, Regional Plant Introduction Station, Pullman, Washington, United States</v>
      </c>
      <c r="J84" s="40"/>
    </row>
    <row r="85" spans="1:10" x14ac:dyDescent="0.25">
      <c r="A85" s="40"/>
      <c r="B85" s="40" t="str">
        <f>Master[[#This Row],[Accession Prefix (NPGS)]]&amp;" "&amp;Master[[#This Row],[Accession Number -Assigned]]</f>
        <v>W6 59671</v>
      </c>
      <c r="C85" s="40" t="str">
        <f t="shared" si="13"/>
        <v>Seeds of Success</v>
      </c>
      <c r="D85" s="40" t="str">
        <f t="shared" si="10"/>
        <v>mm/dd/yyyy</v>
      </c>
      <c r="E85" s="193"/>
      <c r="F85" s="40" t="str">
        <f t="shared" si="11"/>
        <v>mm/dd/yyyy</v>
      </c>
      <c r="G85" s="150"/>
      <c r="H85" s="40" t="str">
        <f t="shared" si="12"/>
        <v>N</v>
      </c>
      <c r="I85" s="30" t="str">
        <f t="shared" si="14"/>
        <v>Cashman, Michael J., USDA, ARS, Regional Plant Introduction Station, Pullman, Washington, United States</v>
      </c>
      <c r="J85" s="40"/>
    </row>
    <row r="86" spans="1:10" x14ac:dyDescent="0.25">
      <c r="A86" s="40"/>
      <c r="B86" s="40" t="str">
        <f>Master[[#This Row],[Accession Prefix (NPGS)]]&amp;" "&amp;Master[[#This Row],[Accession Number -Assigned]]</f>
        <v>W6 59672</v>
      </c>
      <c r="C86" s="40" t="str">
        <f t="shared" si="13"/>
        <v>Seeds of Success</v>
      </c>
      <c r="D86" s="40" t="str">
        <f t="shared" ref="D86:D117" si="15">"mm/dd/yyyy"</f>
        <v>mm/dd/yyyy</v>
      </c>
      <c r="E86" s="193"/>
      <c r="F86" s="40" t="str">
        <f t="shared" ref="F86:F117" si="16">"mm/dd/yyyy"</f>
        <v>mm/dd/yyyy</v>
      </c>
      <c r="G86" s="150"/>
      <c r="H86" s="40" t="str">
        <f t="shared" ref="H86:H117" si="17">"N"</f>
        <v>N</v>
      </c>
      <c r="I86" s="30" t="str">
        <f t="shared" si="14"/>
        <v>Cashman, Michael J., USDA, ARS, Regional Plant Introduction Station, Pullman, Washington, United States</v>
      </c>
      <c r="J86" s="40"/>
    </row>
    <row r="87" spans="1:10" x14ac:dyDescent="0.25">
      <c r="A87" s="40"/>
      <c r="B87" s="40" t="str">
        <f>Master[[#This Row],[Accession Prefix (NPGS)]]&amp;" "&amp;Master[[#This Row],[Accession Number -Assigned]]</f>
        <v>W6 59673</v>
      </c>
      <c r="C87" s="40" t="str">
        <f t="shared" si="13"/>
        <v>Seeds of Success</v>
      </c>
      <c r="D87" s="40" t="str">
        <f t="shared" si="15"/>
        <v>mm/dd/yyyy</v>
      </c>
      <c r="E87" s="193"/>
      <c r="F87" s="40" t="str">
        <f t="shared" si="16"/>
        <v>mm/dd/yyyy</v>
      </c>
      <c r="G87" s="150"/>
      <c r="H87" s="40" t="str">
        <f t="shared" si="17"/>
        <v>N</v>
      </c>
      <c r="I87" s="30" t="str">
        <f t="shared" si="14"/>
        <v>Cashman, Michael J., USDA, ARS, Regional Plant Introduction Station, Pullman, Washington, United States</v>
      </c>
      <c r="J87" s="40"/>
    </row>
    <row r="88" spans="1:10" x14ac:dyDescent="0.25">
      <c r="A88" s="40"/>
      <c r="B88" s="40" t="str">
        <f>Master[[#This Row],[Accession Prefix (NPGS)]]&amp;" "&amp;Master[[#This Row],[Accession Number -Assigned]]</f>
        <v>W6 59674</v>
      </c>
      <c r="C88" s="40" t="str">
        <f t="shared" si="13"/>
        <v>Seeds of Success</v>
      </c>
      <c r="D88" s="40" t="str">
        <f t="shared" si="15"/>
        <v>mm/dd/yyyy</v>
      </c>
      <c r="E88" s="193"/>
      <c r="F88" s="40" t="str">
        <f t="shared" si="16"/>
        <v>mm/dd/yyyy</v>
      </c>
      <c r="G88" s="150"/>
      <c r="H88" s="40" t="str">
        <f t="shared" si="17"/>
        <v>N</v>
      </c>
      <c r="I88" s="30" t="str">
        <f t="shared" si="14"/>
        <v>Cashman, Michael J., USDA, ARS, Regional Plant Introduction Station, Pullman, Washington, United States</v>
      </c>
      <c r="J88" s="40"/>
    </row>
    <row r="89" spans="1:10" x14ac:dyDescent="0.25">
      <c r="A89" s="40"/>
      <c r="B89" s="40" t="str">
        <f>Master[[#This Row],[Accession Prefix (NPGS)]]&amp;" "&amp;Master[[#This Row],[Accession Number -Assigned]]</f>
        <v>W6 59675</v>
      </c>
      <c r="C89" s="40" t="str">
        <f t="shared" si="13"/>
        <v>Seeds of Success</v>
      </c>
      <c r="D89" s="40" t="str">
        <f t="shared" si="15"/>
        <v>mm/dd/yyyy</v>
      </c>
      <c r="E89" s="193"/>
      <c r="F89" s="40" t="str">
        <f t="shared" si="16"/>
        <v>mm/dd/yyyy</v>
      </c>
      <c r="G89" s="150"/>
      <c r="H89" s="40" t="str">
        <f t="shared" si="17"/>
        <v>N</v>
      </c>
      <c r="I89" s="30" t="str">
        <f t="shared" si="14"/>
        <v>Cashman, Michael J., USDA, ARS, Regional Plant Introduction Station, Pullman, Washington, United States</v>
      </c>
      <c r="J89" s="40"/>
    </row>
    <row r="90" spans="1:10" x14ac:dyDescent="0.25">
      <c r="A90" s="40"/>
      <c r="B90" s="40" t="str">
        <f>Master[[#This Row],[Accession Prefix (NPGS)]]&amp;" "&amp;Master[[#This Row],[Accession Number -Assigned]]</f>
        <v>W6 59676</v>
      </c>
      <c r="C90" s="40" t="str">
        <f t="shared" si="13"/>
        <v>Seeds of Success</v>
      </c>
      <c r="D90" s="40" t="str">
        <f t="shared" si="15"/>
        <v>mm/dd/yyyy</v>
      </c>
      <c r="E90" s="193"/>
      <c r="F90" s="40" t="str">
        <f t="shared" si="16"/>
        <v>mm/dd/yyyy</v>
      </c>
      <c r="G90" s="150"/>
      <c r="H90" s="40" t="str">
        <f t="shared" si="17"/>
        <v>N</v>
      </c>
      <c r="I90" s="30" t="str">
        <f t="shared" si="14"/>
        <v>Cashman, Michael J., USDA, ARS, Regional Plant Introduction Station, Pullman, Washington, United States</v>
      </c>
      <c r="J90" s="40"/>
    </row>
    <row r="91" spans="1:10" x14ac:dyDescent="0.25">
      <c r="A91" s="40"/>
      <c r="B91" s="40" t="str">
        <f>Master[[#This Row],[Accession Prefix (NPGS)]]&amp;" "&amp;Master[[#This Row],[Accession Number -Assigned]]</f>
        <v>W6 59677</v>
      </c>
      <c r="C91" s="40" t="str">
        <f t="shared" si="13"/>
        <v>Seeds of Success</v>
      </c>
      <c r="D91" s="40" t="str">
        <f t="shared" si="15"/>
        <v>mm/dd/yyyy</v>
      </c>
      <c r="E91" s="193"/>
      <c r="F91" s="40" t="str">
        <f t="shared" si="16"/>
        <v>mm/dd/yyyy</v>
      </c>
      <c r="G91" s="150"/>
      <c r="H91" s="40" t="str">
        <f t="shared" si="17"/>
        <v>N</v>
      </c>
      <c r="I91" s="30" t="str">
        <f t="shared" si="14"/>
        <v>Cashman, Michael J., USDA, ARS, Regional Plant Introduction Station, Pullman, Washington, United States</v>
      </c>
      <c r="J91" s="40"/>
    </row>
    <row r="92" spans="1:10" x14ac:dyDescent="0.25">
      <c r="A92" s="40"/>
      <c r="B92" s="40" t="str">
        <f>Master[[#This Row],[Accession Prefix (NPGS)]]&amp;" "&amp;Master[[#This Row],[Accession Number -Assigned]]</f>
        <v>W6 59678</v>
      </c>
      <c r="C92" s="40" t="str">
        <f t="shared" si="13"/>
        <v>Seeds of Success</v>
      </c>
      <c r="D92" s="40" t="str">
        <f t="shared" si="15"/>
        <v>mm/dd/yyyy</v>
      </c>
      <c r="E92" s="193"/>
      <c r="F92" s="40" t="str">
        <f t="shared" si="16"/>
        <v>mm/dd/yyyy</v>
      </c>
      <c r="G92" s="150"/>
      <c r="H92" s="40" t="str">
        <f t="shared" si="17"/>
        <v>N</v>
      </c>
      <c r="I92" s="30" t="str">
        <f t="shared" si="14"/>
        <v>Cashman, Michael J., USDA, ARS, Regional Plant Introduction Station, Pullman, Washington, United States</v>
      </c>
      <c r="J92" s="40"/>
    </row>
    <row r="93" spans="1:10" x14ac:dyDescent="0.25">
      <c r="A93" s="40"/>
      <c r="B93" s="40" t="str">
        <f>Master[[#This Row],[Accession Prefix (NPGS)]]&amp;" "&amp;Master[[#This Row],[Accession Number -Assigned]]</f>
        <v>W6 59679</v>
      </c>
      <c r="C93" s="40" t="str">
        <f t="shared" si="13"/>
        <v>Seeds of Success</v>
      </c>
      <c r="D93" s="40" t="str">
        <f t="shared" si="15"/>
        <v>mm/dd/yyyy</v>
      </c>
      <c r="E93" s="193"/>
      <c r="F93" s="40" t="str">
        <f t="shared" si="16"/>
        <v>mm/dd/yyyy</v>
      </c>
      <c r="G93" s="150"/>
      <c r="H93" s="40" t="str">
        <f t="shared" si="17"/>
        <v>N</v>
      </c>
      <c r="I93" s="30" t="str">
        <f t="shared" si="14"/>
        <v>Cashman, Michael J., USDA, ARS, Regional Plant Introduction Station, Pullman, Washington, United States</v>
      </c>
      <c r="J93" s="40"/>
    </row>
    <row r="94" spans="1:10" x14ac:dyDescent="0.25">
      <c r="A94" s="40"/>
      <c r="B94" s="40" t="str">
        <f>Master[[#This Row],[Accession Prefix (NPGS)]]&amp;" "&amp;Master[[#This Row],[Accession Number -Assigned]]</f>
        <v>W6 59680</v>
      </c>
      <c r="C94" s="40" t="str">
        <f t="shared" si="13"/>
        <v>Seeds of Success</v>
      </c>
      <c r="D94" s="40" t="str">
        <f t="shared" si="15"/>
        <v>mm/dd/yyyy</v>
      </c>
      <c r="E94" s="193"/>
      <c r="F94" s="40" t="str">
        <f t="shared" si="16"/>
        <v>mm/dd/yyyy</v>
      </c>
      <c r="G94" s="150"/>
      <c r="H94" s="40" t="str">
        <f t="shared" si="17"/>
        <v>N</v>
      </c>
      <c r="I94" s="30" t="str">
        <f t="shared" si="14"/>
        <v>Cashman, Michael J., USDA, ARS, Regional Plant Introduction Station, Pullman, Washington, United States</v>
      </c>
      <c r="J94" s="40"/>
    </row>
    <row r="95" spans="1:10" x14ac:dyDescent="0.25">
      <c r="A95" s="40"/>
      <c r="B95" s="40" t="str">
        <f>Master[[#This Row],[Accession Prefix (NPGS)]]&amp;" "&amp;Master[[#This Row],[Accession Number -Assigned]]</f>
        <v>W6 59681</v>
      </c>
      <c r="C95" s="40" t="str">
        <f t="shared" si="13"/>
        <v>Seeds of Success</v>
      </c>
      <c r="D95" s="40" t="str">
        <f t="shared" si="15"/>
        <v>mm/dd/yyyy</v>
      </c>
      <c r="E95" s="193"/>
      <c r="F95" s="40" t="str">
        <f t="shared" si="16"/>
        <v>mm/dd/yyyy</v>
      </c>
      <c r="G95" s="150"/>
      <c r="H95" s="40" t="str">
        <f t="shared" si="17"/>
        <v>N</v>
      </c>
      <c r="I95" s="30" t="str">
        <f t="shared" si="14"/>
        <v>Cashman, Michael J., USDA, ARS, Regional Plant Introduction Station, Pullman, Washington, United States</v>
      </c>
      <c r="J95" s="40"/>
    </row>
    <row r="96" spans="1:10" x14ac:dyDescent="0.25">
      <c r="A96" s="40"/>
      <c r="B96" s="40" t="str">
        <f>Master[[#This Row],[Accession Prefix (NPGS)]]&amp;" "&amp;Master[[#This Row],[Accession Number -Assigned]]</f>
        <v>W6 59682</v>
      </c>
      <c r="C96" s="40" t="str">
        <f t="shared" si="13"/>
        <v>Seeds of Success</v>
      </c>
      <c r="D96" s="40" t="str">
        <f t="shared" si="15"/>
        <v>mm/dd/yyyy</v>
      </c>
      <c r="E96" s="193"/>
      <c r="F96" s="40" t="str">
        <f t="shared" si="16"/>
        <v>mm/dd/yyyy</v>
      </c>
      <c r="G96" s="150"/>
      <c r="H96" s="40" t="str">
        <f t="shared" si="17"/>
        <v>N</v>
      </c>
      <c r="I96" s="30" t="str">
        <f t="shared" si="14"/>
        <v>Cashman, Michael J., USDA, ARS, Regional Plant Introduction Station, Pullman, Washington, United States</v>
      </c>
      <c r="J96" s="40"/>
    </row>
    <row r="97" spans="1:10" x14ac:dyDescent="0.25">
      <c r="A97" s="40"/>
      <c r="B97" s="40" t="str">
        <f>Master[[#This Row],[Accession Prefix (NPGS)]]&amp;" "&amp;Master[[#This Row],[Accession Number -Assigned]]</f>
        <v>W6 59683</v>
      </c>
      <c r="C97" s="40" t="str">
        <f t="shared" si="13"/>
        <v>Seeds of Success</v>
      </c>
      <c r="D97" s="40" t="str">
        <f t="shared" si="15"/>
        <v>mm/dd/yyyy</v>
      </c>
      <c r="E97" s="193"/>
      <c r="F97" s="40" t="str">
        <f t="shared" si="16"/>
        <v>mm/dd/yyyy</v>
      </c>
      <c r="G97" s="150"/>
      <c r="H97" s="40" t="str">
        <f t="shared" si="17"/>
        <v>N</v>
      </c>
      <c r="I97" s="30" t="str">
        <f t="shared" si="14"/>
        <v>Cashman, Michael J., USDA, ARS, Regional Plant Introduction Station, Pullman, Washington, United States</v>
      </c>
      <c r="J97" s="40"/>
    </row>
    <row r="98" spans="1:10" x14ac:dyDescent="0.25">
      <c r="A98" s="40"/>
      <c r="B98" s="40" t="str">
        <f>Master[[#This Row],[Accession Prefix (NPGS)]]&amp;" "&amp;Master[[#This Row],[Accession Number -Assigned]]</f>
        <v>W6 59684</v>
      </c>
      <c r="C98" s="40" t="str">
        <f t="shared" ref="C98:C129" si="18">"Seeds of Success"</f>
        <v>Seeds of Success</v>
      </c>
      <c r="D98" s="40" t="str">
        <f t="shared" si="15"/>
        <v>mm/dd/yyyy</v>
      </c>
      <c r="E98" s="193"/>
      <c r="F98" s="40" t="str">
        <f t="shared" si="16"/>
        <v>mm/dd/yyyy</v>
      </c>
      <c r="G98" s="150"/>
      <c r="H98" s="40" t="str">
        <f t="shared" si="17"/>
        <v>N</v>
      </c>
      <c r="I98" s="30" t="str">
        <f t="shared" ref="I98:I129" si="19">"Cashman, Michael J., USDA, ARS, Regional Plant Introduction Station, Pullman, Washington, United States"</f>
        <v>Cashman, Michael J., USDA, ARS, Regional Plant Introduction Station, Pullman, Washington, United States</v>
      </c>
      <c r="J98" s="40"/>
    </row>
    <row r="99" spans="1:10" x14ac:dyDescent="0.25">
      <c r="A99" s="40"/>
      <c r="B99" s="40" t="str">
        <f>Master[[#This Row],[Accession Prefix (NPGS)]]&amp;" "&amp;Master[[#This Row],[Accession Number -Assigned]]</f>
        <v>W6 59685</v>
      </c>
      <c r="C99" s="40" t="str">
        <f t="shared" si="18"/>
        <v>Seeds of Success</v>
      </c>
      <c r="D99" s="40" t="str">
        <f t="shared" si="15"/>
        <v>mm/dd/yyyy</v>
      </c>
      <c r="E99" s="193"/>
      <c r="F99" s="40" t="str">
        <f t="shared" si="16"/>
        <v>mm/dd/yyyy</v>
      </c>
      <c r="G99" s="150"/>
      <c r="H99" s="40" t="str">
        <f t="shared" si="17"/>
        <v>N</v>
      </c>
      <c r="I99" s="30" t="str">
        <f t="shared" si="19"/>
        <v>Cashman, Michael J., USDA, ARS, Regional Plant Introduction Station, Pullman, Washington, United States</v>
      </c>
      <c r="J99" s="40"/>
    </row>
    <row r="100" spans="1:10" x14ac:dyDescent="0.25">
      <c r="A100" s="40"/>
      <c r="B100" s="40" t="str">
        <f>Master[[#This Row],[Accession Prefix (NPGS)]]&amp;" "&amp;Master[[#This Row],[Accession Number -Assigned]]</f>
        <v>W6 59686</v>
      </c>
      <c r="C100" s="40" t="str">
        <f t="shared" si="18"/>
        <v>Seeds of Success</v>
      </c>
      <c r="D100" s="40" t="str">
        <f t="shared" si="15"/>
        <v>mm/dd/yyyy</v>
      </c>
      <c r="E100" s="193"/>
      <c r="F100" s="40" t="str">
        <f t="shared" si="16"/>
        <v>mm/dd/yyyy</v>
      </c>
      <c r="G100" s="150"/>
      <c r="H100" s="40" t="str">
        <f t="shared" si="17"/>
        <v>N</v>
      </c>
      <c r="I100" s="30" t="str">
        <f t="shared" si="19"/>
        <v>Cashman, Michael J., USDA, ARS, Regional Plant Introduction Station, Pullman, Washington, United States</v>
      </c>
      <c r="J100" s="40"/>
    </row>
    <row r="101" spans="1:10" x14ac:dyDescent="0.25">
      <c r="A101" s="40"/>
      <c r="B101" s="40" t="str">
        <f>Master[[#This Row],[Accession Prefix (NPGS)]]&amp;" "&amp;Master[[#This Row],[Accession Number -Assigned]]</f>
        <v>W6 59687</v>
      </c>
      <c r="C101" s="40" t="str">
        <f t="shared" si="18"/>
        <v>Seeds of Success</v>
      </c>
      <c r="D101" s="40" t="str">
        <f t="shared" si="15"/>
        <v>mm/dd/yyyy</v>
      </c>
      <c r="E101" s="193"/>
      <c r="F101" s="40" t="str">
        <f t="shared" si="16"/>
        <v>mm/dd/yyyy</v>
      </c>
      <c r="G101" s="150"/>
      <c r="H101" s="40" t="str">
        <f t="shared" si="17"/>
        <v>N</v>
      </c>
      <c r="I101" s="30" t="str">
        <f t="shared" si="19"/>
        <v>Cashman, Michael J., USDA, ARS, Regional Plant Introduction Station, Pullman, Washington, United States</v>
      </c>
      <c r="J101" s="40"/>
    </row>
    <row r="102" spans="1:10" x14ac:dyDescent="0.25">
      <c r="A102" s="40"/>
      <c r="B102" s="40" t="str">
        <f>Master[[#This Row],[Accession Prefix (NPGS)]]&amp;" "&amp;Master[[#This Row],[Accession Number -Assigned]]</f>
        <v>W6 59688</v>
      </c>
      <c r="C102" s="40" t="str">
        <f t="shared" si="18"/>
        <v>Seeds of Success</v>
      </c>
      <c r="D102" s="40" t="str">
        <f t="shared" si="15"/>
        <v>mm/dd/yyyy</v>
      </c>
      <c r="E102" s="193"/>
      <c r="F102" s="40" t="str">
        <f t="shared" si="16"/>
        <v>mm/dd/yyyy</v>
      </c>
      <c r="G102" s="150"/>
      <c r="H102" s="40" t="str">
        <f t="shared" si="17"/>
        <v>N</v>
      </c>
      <c r="I102" s="30" t="str">
        <f t="shared" si="19"/>
        <v>Cashman, Michael J., USDA, ARS, Regional Plant Introduction Station, Pullman, Washington, United States</v>
      </c>
      <c r="J102" s="40"/>
    </row>
    <row r="103" spans="1:10" x14ac:dyDescent="0.25">
      <c r="A103" s="40"/>
      <c r="B103" s="40" t="str">
        <f>Master[[#This Row],[Accession Prefix (NPGS)]]&amp;" "&amp;Master[[#This Row],[Accession Number -Assigned]]</f>
        <v>W6 59689</v>
      </c>
      <c r="C103" s="40" t="str">
        <f t="shared" si="18"/>
        <v>Seeds of Success</v>
      </c>
      <c r="D103" s="40" t="str">
        <f t="shared" si="15"/>
        <v>mm/dd/yyyy</v>
      </c>
      <c r="E103" s="193"/>
      <c r="F103" s="40" t="str">
        <f t="shared" si="16"/>
        <v>mm/dd/yyyy</v>
      </c>
      <c r="G103" s="150"/>
      <c r="H103" s="40" t="str">
        <f t="shared" si="17"/>
        <v>N</v>
      </c>
      <c r="I103" s="30" t="str">
        <f t="shared" si="19"/>
        <v>Cashman, Michael J., USDA, ARS, Regional Plant Introduction Station, Pullman, Washington, United States</v>
      </c>
      <c r="J103" s="40"/>
    </row>
    <row r="104" spans="1:10" x14ac:dyDescent="0.25">
      <c r="A104" s="40"/>
      <c r="B104" s="40" t="str">
        <f>Master[[#This Row],[Accession Prefix (NPGS)]]&amp;" "&amp;Master[[#This Row],[Accession Number -Assigned]]</f>
        <v>W6 59690</v>
      </c>
      <c r="C104" s="40" t="str">
        <f t="shared" si="18"/>
        <v>Seeds of Success</v>
      </c>
      <c r="D104" s="40" t="str">
        <f t="shared" si="15"/>
        <v>mm/dd/yyyy</v>
      </c>
      <c r="E104" s="193"/>
      <c r="F104" s="40" t="str">
        <f t="shared" si="16"/>
        <v>mm/dd/yyyy</v>
      </c>
      <c r="G104" s="150"/>
      <c r="H104" s="40" t="str">
        <f t="shared" si="17"/>
        <v>N</v>
      </c>
      <c r="I104" s="30" t="str">
        <f t="shared" si="19"/>
        <v>Cashman, Michael J., USDA, ARS, Regional Plant Introduction Station, Pullman, Washington, United States</v>
      </c>
      <c r="J104" s="40"/>
    </row>
    <row r="105" spans="1:10" x14ac:dyDescent="0.25">
      <c r="A105" s="40"/>
      <c r="B105" s="40" t="str">
        <f>Master[[#This Row],[Accession Prefix (NPGS)]]&amp;" "&amp;Master[[#This Row],[Accession Number -Assigned]]</f>
        <v>W6 59691</v>
      </c>
      <c r="C105" s="40" t="str">
        <f t="shared" si="18"/>
        <v>Seeds of Success</v>
      </c>
      <c r="D105" s="40" t="str">
        <f t="shared" si="15"/>
        <v>mm/dd/yyyy</v>
      </c>
      <c r="E105" s="193"/>
      <c r="F105" s="40" t="str">
        <f t="shared" si="16"/>
        <v>mm/dd/yyyy</v>
      </c>
      <c r="G105" s="150"/>
      <c r="H105" s="40" t="str">
        <f t="shared" si="17"/>
        <v>N</v>
      </c>
      <c r="I105" s="30" t="str">
        <f t="shared" si="19"/>
        <v>Cashman, Michael J., USDA, ARS, Regional Plant Introduction Station, Pullman, Washington, United States</v>
      </c>
      <c r="J105" s="40"/>
    </row>
    <row r="106" spans="1:10" x14ac:dyDescent="0.25">
      <c r="A106" s="40"/>
      <c r="B106" s="40" t="str">
        <f>Master[[#This Row],[Accession Prefix (NPGS)]]&amp;" "&amp;Master[[#This Row],[Accession Number -Assigned]]</f>
        <v>W6 59692</v>
      </c>
      <c r="C106" s="40" t="str">
        <f t="shared" si="18"/>
        <v>Seeds of Success</v>
      </c>
      <c r="D106" s="40" t="str">
        <f t="shared" si="15"/>
        <v>mm/dd/yyyy</v>
      </c>
      <c r="E106" s="193"/>
      <c r="F106" s="40" t="str">
        <f t="shared" si="16"/>
        <v>mm/dd/yyyy</v>
      </c>
      <c r="G106" s="150"/>
      <c r="H106" s="40" t="str">
        <f t="shared" si="17"/>
        <v>N</v>
      </c>
      <c r="I106" s="30" t="str">
        <f t="shared" si="19"/>
        <v>Cashman, Michael J., USDA, ARS, Regional Plant Introduction Station, Pullman, Washington, United States</v>
      </c>
      <c r="J106" s="40"/>
    </row>
    <row r="107" spans="1:10" x14ac:dyDescent="0.25">
      <c r="A107" s="40"/>
      <c r="B107" s="40" t="str">
        <f>Master[[#This Row],[Accession Prefix (NPGS)]]&amp;" "&amp;Master[[#This Row],[Accession Number -Assigned]]</f>
        <v>W6 59693</v>
      </c>
      <c r="C107" s="40" t="str">
        <f t="shared" si="18"/>
        <v>Seeds of Success</v>
      </c>
      <c r="D107" s="40" t="str">
        <f t="shared" si="15"/>
        <v>mm/dd/yyyy</v>
      </c>
      <c r="E107" s="193"/>
      <c r="F107" s="40" t="str">
        <f t="shared" si="16"/>
        <v>mm/dd/yyyy</v>
      </c>
      <c r="G107" s="150"/>
      <c r="H107" s="40" t="str">
        <f t="shared" si="17"/>
        <v>N</v>
      </c>
      <c r="I107" s="30" t="str">
        <f t="shared" si="19"/>
        <v>Cashman, Michael J., USDA, ARS, Regional Plant Introduction Station, Pullman, Washington, United States</v>
      </c>
      <c r="J107" s="40"/>
    </row>
    <row r="108" spans="1:10" x14ac:dyDescent="0.25">
      <c r="A108" s="40"/>
      <c r="B108" s="40" t="str">
        <f>Master[[#This Row],[Accession Prefix (NPGS)]]&amp;" "&amp;Master[[#This Row],[Accession Number -Assigned]]</f>
        <v>W6 59694</v>
      </c>
      <c r="C108" s="40" t="str">
        <f t="shared" si="18"/>
        <v>Seeds of Success</v>
      </c>
      <c r="D108" s="40" t="str">
        <f t="shared" si="15"/>
        <v>mm/dd/yyyy</v>
      </c>
      <c r="E108" s="193"/>
      <c r="F108" s="40" t="str">
        <f t="shared" si="16"/>
        <v>mm/dd/yyyy</v>
      </c>
      <c r="G108" s="150"/>
      <c r="H108" s="40" t="str">
        <f t="shared" si="17"/>
        <v>N</v>
      </c>
      <c r="I108" s="30" t="str">
        <f t="shared" si="19"/>
        <v>Cashman, Michael J., USDA, ARS, Regional Plant Introduction Station, Pullman, Washington, United States</v>
      </c>
      <c r="J108" s="40"/>
    </row>
    <row r="109" spans="1:10" x14ac:dyDescent="0.25">
      <c r="A109" s="40"/>
      <c r="B109" s="40" t="str">
        <f>Master[[#This Row],[Accession Prefix (NPGS)]]&amp;" "&amp;Master[[#This Row],[Accession Number -Assigned]]</f>
        <v>W6 59695</v>
      </c>
      <c r="C109" s="40" t="str">
        <f t="shared" si="18"/>
        <v>Seeds of Success</v>
      </c>
      <c r="D109" s="40" t="str">
        <f t="shared" si="15"/>
        <v>mm/dd/yyyy</v>
      </c>
      <c r="E109" s="193"/>
      <c r="F109" s="40" t="str">
        <f t="shared" si="16"/>
        <v>mm/dd/yyyy</v>
      </c>
      <c r="G109" s="150"/>
      <c r="H109" s="40" t="str">
        <f t="shared" si="17"/>
        <v>N</v>
      </c>
      <c r="I109" s="30" t="str">
        <f t="shared" si="19"/>
        <v>Cashman, Michael J., USDA, ARS, Regional Plant Introduction Station, Pullman, Washington, United States</v>
      </c>
      <c r="J109" s="40"/>
    </row>
    <row r="110" spans="1:10" x14ac:dyDescent="0.25">
      <c r="A110" s="40"/>
      <c r="B110" s="40" t="str">
        <f>Master[[#This Row],[Accession Prefix (NPGS)]]&amp;" "&amp;Master[[#This Row],[Accession Number -Assigned]]</f>
        <v>W6 59696</v>
      </c>
      <c r="C110" s="40" t="str">
        <f t="shared" si="18"/>
        <v>Seeds of Success</v>
      </c>
      <c r="D110" s="40" t="str">
        <f t="shared" si="15"/>
        <v>mm/dd/yyyy</v>
      </c>
      <c r="E110" s="193"/>
      <c r="F110" s="40" t="str">
        <f t="shared" si="16"/>
        <v>mm/dd/yyyy</v>
      </c>
      <c r="G110" s="150"/>
      <c r="H110" s="40" t="str">
        <f t="shared" si="17"/>
        <v>N</v>
      </c>
      <c r="I110" s="30" t="str">
        <f t="shared" si="19"/>
        <v>Cashman, Michael J., USDA, ARS, Regional Plant Introduction Station, Pullman, Washington, United States</v>
      </c>
      <c r="J110" s="40"/>
    </row>
    <row r="111" spans="1:10" x14ac:dyDescent="0.25">
      <c r="A111" s="40"/>
      <c r="B111" s="40" t="str">
        <f>Master[[#This Row],[Accession Prefix (NPGS)]]&amp;" "&amp;Master[[#This Row],[Accession Number -Assigned]]</f>
        <v>W6 59697</v>
      </c>
      <c r="C111" s="40" t="str">
        <f t="shared" si="18"/>
        <v>Seeds of Success</v>
      </c>
      <c r="D111" s="40" t="str">
        <f t="shared" si="15"/>
        <v>mm/dd/yyyy</v>
      </c>
      <c r="E111" s="193"/>
      <c r="F111" s="40" t="str">
        <f t="shared" si="16"/>
        <v>mm/dd/yyyy</v>
      </c>
      <c r="G111" s="150"/>
      <c r="H111" s="40" t="str">
        <f t="shared" si="17"/>
        <v>N</v>
      </c>
      <c r="I111" s="30" t="str">
        <f t="shared" si="19"/>
        <v>Cashman, Michael J., USDA, ARS, Regional Plant Introduction Station, Pullman, Washington, United States</v>
      </c>
      <c r="J111" s="40"/>
    </row>
    <row r="112" spans="1:10" x14ac:dyDescent="0.25">
      <c r="A112" s="40"/>
      <c r="B112" s="40" t="str">
        <f>Master[[#This Row],[Accession Prefix (NPGS)]]&amp;" "&amp;Master[[#This Row],[Accession Number -Assigned]]</f>
        <v>W6 59698</v>
      </c>
      <c r="C112" s="40" t="str">
        <f t="shared" si="18"/>
        <v>Seeds of Success</v>
      </c>
      <c r="D112" s="40" t="str">
        <f t="shared" si="15"/>
        <v>mm/dd/yyyy</v>
      </c>
      <c r="E112" s="193"/>
      <c r="F112" s="40" t="str">
        <f t="shared" si="16"/>
        <v>mm/dd/yyyy</v>
      </c>
      <c r="G112" s="150"/>
      <c r="H112" s="40" t="str">
        <f t="shared" si="17"/>
        <v>N</v>
      </c>
      <c r="I112" s="30" t="str">
        <f t="shared" si="19"/>
        <v>Cashman, Michael J., USDA, ARS, Regional Plant Introduction Station, Pullman, Washington, United States</v>
      </c>
      <c r="J112" s="40"/>
    </row>
    <row r="113" spans="1:10" x14ac:dyDescent="0.25">
      <c r="A113" s="40"/>
      <c r="B113" s="40" t="str">
        <f>Master[[#This Row],[Accession Prefix (NPGS)]]&amp;" "&amp;Master[[#This Row],[Accession Number -Assigned]]</f>
        <v>W6 59699</v>
      </c>
      <c r="C113" s="40" t="str">
        <f t="shared" si="18"/>
        <v>Seeds of Success</v>
      </c>
      <c r="D113" s="40" t="str">
        <f t="shared" si="15"/>
        <v>mm/dd/yyyy</v>
      </c>
      <c r="E113" s="193"/>
      <c r="F113" s="40" t="str">
        <f t="shared" si="16"/>
        <v>mm/dd/yyyy</v>
      </c>
      <c r="G113" s="150"/>
      <c r="H113" s="40" t="str">
        <f t="shared" si="17"/>
        <v>N</v>
      </c>
      <c r="I113" s="30" t="str">
        <f t="shared" si="19"/>
        <v>Cashman, Michael J., USDA, ARS, Regional Plant Introduction Station, Pullman, Washington, United States</v>
      </c>
      <c r="J113" s="40"/>
    </row>
    <row r="114" spans="1:10" x14ac:dyDescent="0.25">
      <c r="A114" s="40"/>
      <c r="B114" s="40" t="str">
        <f>Master[[#This Row],[Accession Prefix (NPGS)]]&amp;" "&amp;Master[[#This Row],[Accession Number -Assigned]]</f>
        <v>W6 59700</v>
      </c>
      <c r="C114" s="40" t="str">
        <f t="shared" si="18"/>
        <v>Seeds of Success</v>
      </c>
      <c r="D114" s="40" t="str">
        <f t="shared" si="15"/>
        <v>mm/dd/yyyy</v>
      </c>
      <c r="E114" s="193"/>
      <c r="F114" s="40" t="str">
        <f t="shared" si="16"/>
        <v>mm/dd/yyyy</v>
      </c>
      <c r="G114" s="150"/>
      <c r="H114" s="40" t="str">
        <f t="shared" si="17"/>
        <v>N</v>
      </c>
      <c r="I114" s="30" t="str">
        <f t="shared" si="19"/>
        <v>Cashman, Michael J., USDA, ARS, Regional Plant Introduction Station, Pullman, Washington, United States</v>
      </c>
      <c r="J114" s="40"/>
    </row>
    <row r="115" spans="1:10" x14ac:dyDescent="0.25">
      <c r="A115" s="40"/>
      <c r="B115" s="40" t="str">
        <f>Master[[#This Row],[Accession Prefix (NPGS)]]&amp;" "&amp;Master[[#This Row],[Accession Number -Assigned]]</f>
        <v>W6 59701</v>
      </c>
      <c r="C115" s="40" t="str">
        <f t="shared" si="18"/>
        <v>Seeds of Success</v>
      </c>
      <c r="D115" s="40" t="str">
        <f t="shared" si="15"/>
        <v>mm/dd/yyyy</v>
      </c>
      <c r="E115" s="193"/>
      <c r="F115" s="40" t="str">
        <f t="shared" si="16"/>
        <v>mm/dd/yyyy</v>
      </c>
      <c r="G115" s="150"/>
      <c r="H115" s="40" t="str">
        <f t="shared" si="17"/>
        <v>N</v>
      </c>
      <c r="I115" s="30" t="str">
        <f t="shared" si="19"/>
        <v>Cashman, Michael J., USDA, ARS, Regional Plant Introduction Station, Pullman, Washington, United States</v>
      </c>
      <c r="J115" s="40"/>
    </row>
    <row r="116" spans="1:10" x14ac:dyDescent="0.25">
      <c r="A116" s="40"/>
      <c r="B116" s="40" t="str">
        <f>Master[[#This Row],[Accession Prefix (NPGS)]]&amp;" "&amp;Master[[#This Row],[Accession Number -Assigned]]</f>
        <v>W6 59702</v>
      </c>
      <c r="C116" s="40" t="str">
        <f t="shared" si="18"/>
        <v>Seeds of Success</v>
      </c>
      <c r="D116" s="40" t="str">
        <f t="shared" si="15"/>
        <v>mm/dd/yyyy</v>
      </c>
      <c r="E116" s="193"/>
      <c r="F116" s="40" t="str">
        <f t="shared" si="16"/>
        <v>mm/dd/yyyy</v>
      </c>
      <c r="G116" s="150"/>
      <c r="H116" s="40" t="str">
        <f t="shared" si="17"/>
        <v>N</v>
      </c>
      <c r="I116" s="30" t="str">
        <f t="shared" si="19"/>
        <v>Cashman, Michael J., USDA, ARS, Regional Plant Introduction Station, Pullman, Washington, United States</v>
      </c>
      <c r="J116" s="40"/>
    </row>
    <row r="117" spans="1:10" x14ac:dyDescent="0.25">
      <c r="A117" s="40"/>
      <c r="B117" s="40" t="str">
        <f>Master[[#This Row],[Accession Prefix (NPGS)]]&amp;" "&amp;Master[[#This Row],[Accession Number -Assigned]]</f>
        <v>W6 59703</v>
      </c>
      <c r="C117" s="40" t="str">
        <f t="shared" si="18"/>
        <v>Seeds of Success</v>
      </c>
      <c r="D117" s="40" t="str">
        <f t="shared" si="15"/>
        <v>mm/dd/yyyy</v>
      </c>
      <c r="E117" s="193"/>
      <c r="F117" s="40" t="str">
        <f t="shared" si="16"/>
        <v>mm/dd/yyyy</v>
      </c>
      <c r="G117" s="150"/>
      <c r="H117" s="40" t="str">
        <f t="shared" si="17"/>
        <v>N</v>
      </c>
      <c r="I117" s="30" t="str">
        <f t="shared" si="19"/>
        <v>Cashman, Michael J., USDA, ARS, Regional Plant Introduction Station, Pullman, Washington, United States</v>
      </c>
      <c r="J117" s="40"/>
    </row>
    <row r="118" spans="1:10" x14ac:dyDescent="0.25">
      <c r="A118" s="40"/>
      <c r="B118" s="40" t="str">
        <f>Master[[#This Row],[Accession Prefix (NPGS)]]&amp;" "&amp;Master[[#This Row],[Accession Number -Assigned]]</f>
        <v>W6 59704</v>
      </c>
      <c r="C118" s="40" t="str">
        <f t="shared" si="18"/>
        <v>Seeds of Success</v>
      </c>
      <c r="D118" s="40" t="str">
        <f t="shared" ref="D118:D149" si="20">"mm/dd/yyyy"</f>
        <v>mm/dd/yyyy</v>
      </c>
      <c r="E118" s="193"/>
      <c r="F118" s="40" t="str">
        <f t="shared" ref="F118:F149" si="21">"mm/dd/yyyy"</f>
        <v>mm/dd/yyyy</v>
      </c>
      <c r="G118" s="150"/>
      <c r="H118" s="40" t="str">
        <f t="shared" ref="H118:H149" si="22">"N"</f>
        <v>N</v>
      </c>
      <c r="I118" s="30" t="str">
        <f t="shared" si="19"/>
        <v>Cashman, Michael J., USDA, ARS, Regional Plant Introduction Station, Pullman, Washington, United States</v>
      </c>
      <c r="J118" s="40"/>
    </row>
    <row r="119" spans="1:10" x14ac:dyDescent="0.25">
      <c r="A119" s="40"/>
      <c r="B119" s="40" t="str">
        <f>Master[[#This Row],[Accession Prefix (NPGS)]]&amp;" "&amp;Master[[#This Row],[Accession Number -Assigned]]</f>
        <v>W6 59705</v>
      </c>
      <c r="C119" s="40" t="str">
        <f t="shared" si="18"/>
        <v>Seeds of Success</v>
      </c>
      <c r="D119" s="40" t="str">
        <f t="shared" si="20"/>
        <v>mm/dd/yyyy</v>
      </c>
      <c r="E119" s="193"/>
      <c r="F119" s="40" t="str">
        <f t="shared" si="21"/>
        <v>mm/dd/yyyy</v>
      </c>
      <c r="G119" s="150"/>
      <c r="H119" s="40" t="str">
        <f t="shared" si="22"/>
        <v>N</v>
      </c>
      <c r="I119" s="30" t="str">
        <f t="shared" si="19"/>
        <v>Cashman, Michael J., USDA, ARS, Regional Plant Introduction Station, Pullman, Washington, United States</v>
      </c>
      <c r="J119" s="40"/>
    </row>
    <row r="120" spans="1:10" x14ac:dyDescent="0.25">
      <c r="A120" s="40"/>
      <c r="B120" s="40" t="str">
        <f>Master[[#This Row],[Accession Prefix (NPGS)]]&amp;" "&amp;Master[[#This Row],[Accession Number -Assigned]]</f>
        <v>W6 59706</v>
      </c>
      <c r="C120" s="40" t="str">
        <f t="shared" si="18"/>
        <v>Seeds of Success</v>
      </c>
      <c r="D120" s="40" t="str">
        <f t="shared" si="20"/>
        <v>mm/dd/yyyy</v>
      </c>
      <c r="E120" s="193"/>
      <c r="F120" s="40" t="str">
        <f t="shared" si="21"/>
        <v>mm/dd/yyyy</v>
      </c>
      <c r="G120" s="150"/>
      <c r="H120" s="40" t="str">
        <f t="shared" si="22"/>
        <v>N</v>
      </c>
      <c r="I120" s="30" t="str">
        <f t="shared" si="19"/>
        <v>Cashman, Michael J., USDA, ARS, Regional Plant Introduction Station, Pullman, Washington, United States</v>
      </c>
      <c r="J120" s="40"/>
    </row>
    <row r="121" spans="1:10" x14ac:dyDescent="0.25">
      <c r="A121" s="40"/>
      <c r="B121" s="40" t="str">
        <f>Master[[#This Row],[Accession Prefix (NPGS)]]&amp;" "&amp;Master[[#This Row],[Accession Number -Assigned]]</f>
        <v>W6 59707</v>
      </c>
      <c r="C121" s="40" t="str">
        <f t="shared" si="18"/>
        <v>Seeds of Success</v>
      </c>
      <c r="D121" s="40" t="str">
        <f t="shared" si="20"/>
        <v>mm/dd/yyyy</v>
      </c>
      <c r="E121" s="193"/>
      <c r="F121" s="40" t="str">
        <f t="shared" si="21"/>
        <v>mm/dd/yyyy</v>
      </c>
      <c r="G121" s="150"/>
      <c r="H121" s="40" t="str">
        <f t="shared" si="22"/>
        <v>N</v>
      </c>
      <c r="I121" s="30" t="str">
        <f t="shared" si="19"/>
        <v>Cashman, Michael J., USDA, ARS, Regional Plant Introduction Station, Pullman, Washington, United States</v>
      </c>
      <c r="J121" s="40"/>
    </row>
    <row r="122" spans="1:10" x14ac:dyDescent="0.25">
      <c r="A122" s="40"/>
      <c r="B122" s="40" t="str">
        <f>Master[[#This Row],[Accession Prefix (NPGS)]]&amp;" "&amp;Master[[#This Row],[Accession Number -Assigned]]</f>
        <v>W6 59708</v>
      </c>
      <c r="C122" s="40" t="str">
        <f t="shared" si="18"/>
        <v>Seeds of Success</v>
      </c>
      <c r="D122" s="40" t="str">
        <f t="shared" si="20"/>
        <v>mm/dd/yyyy</v>
      </c>
      <c r="E122" s="193"/>
      <c r="F122" s="40" t="str">
        <f t="shared" si="21"/>
        <v>mm/dd/yyyy</v>
      </c>
      <c r="G122" s="150"/>
      <c r="H122" s="40" t="str">
        <f t="shared" si="22"/>
        <v>N</v>
      </c>
      <c r="I122" s="30" t="str">
        <f t="shared" si="19"/>
        <v>Cashman, Michael J., USDA, ARS, Regional Plant Introduction Station, Pullman, Washington, United States</v>
      </c>
      <c r="J122" s="40"/>
    </row>
    <row r="123" spans="1:10" x14ac:dyDescent="0.25">
      <c r="A123" s="40"/>
      <c r="B123" s="40" t="str">
        <f>Master[[#This Row],[Accession Prefix (NPGS)]]&amp;" "&amp;Master[[#This Row],[Accession Number -Assigned]]</f>
        <v>W6 59709</v>
      </c>
      <c r="C123" s="40" t="str">
        <f t="shared" si="18"/>
        <v>Seeds of Success</v>
      </c>
      <c r="D123" s="40" t="str">
        <f t="shared" si="20"/>
        <v>mm/dd/yyyy</v>
      </c>
      <c r="E123" s="193"/>
      <c r="F123" s="40" t="str">
        <f t="shared" si="21"/>
        <v>mm/dd/yyyy</v>
      </c>
      <c r="G123" s="150"/>
      <c r="H123" s="40" t="str">
        <f t="shared" si="22"/>
        <v>N</v>
      </c>
      <c r="I123" s="30" t="str">
        <f t="shared" si="19"/>
        <v>Cashman, Michael J., USDA, ARS, Regional Plant Introduction Station, Pullman, Washington, United States</v>
      </c>
      <c r="J123" s="40"/>
    </row>
    <row r="124" spans="1:10" x14ac:dyDescent="0.25">
      <c r="A124" s="40"/>
      <c r="B124" s="40" t="str">
        <f>Master[[#This Row],[Accession Prefix (NPGS)]]&amp;" "&amp;Master[[#This Row],[Accession Number -Assigned]]</f>
        <v>W6 59710</v>
      </c>
      <c r="C124" s="40" t="str">
        <f t="shared" si="18"/>
        <v>Seeds of Success</v>
      </c>
      <c r="D124" s="40" t="str">
        <f t="shared" si="20"/>
        <v>mm/dd/yyyy</v>
      </c>
      <c r="E124" s="193"/>
      <c r="F124" s="40" t="str">
        <f t="shared" si="21"/>
        <v>mm/dd/yyyy</v>
      </c>
      <c r="G124" s="150"/>
      <c r="H124" s="40" t="str">
        <f t="shared" si="22"/>
        <v>N</v>
      </c>
      <c r="I124" s="30" t="str">
        <f t="shared" si="19"/>
        <v>Cashman, Michael J., USDA, ARS, Regional Plant Introduction Station, Pullman, Washington, United States</v>
      </c>
      <c r="J124" s="40"/>
    </row>
    <row r="125" spans="1:10" x14ac:dyDescent="0.25">
      <c r="A125" s="40"/>
      <c r="B125" s="40" t="str">
        <f>Master[[#This Row],[Accession Prefix (NPGS)]]&amp;" "&amp;Master[[#This Row],[Accession Number -Assigned]]</f>
        <v>W6 59711</v>
      </c>
      <c r="C125" s="40" t="str">
        <f t="shared" si="18"/>
        <v>Seeds of Success</v>
      </c>
      <c r="D125" s="40" t="str">
        <f t="shared" si="20"/>
        <v>mm/dd/yyyy</v>
      </c>
      <c r="E125" s="193"/>
      <c r="F125" s="40" t="str">
        <f t="shared" si="21"/>
        <v>mm/dd/yyyy</v>
      </c>
      <c r="G125" s="150"/>
      <c r="H125" s="40" t="str">
        <f t="shared" si="22"/>
        <v>N</v>
      </c>
      <c r="I125" s="30" t="str">
        <f t="shared" si="19"/>
        <v>Cashman, Michael J., USDA, ARS, Regional Plant Introduction Station, Pullman, Washington, United States</v>
      </c>
      <c r="J125" s="40"/>
    </row>
    <row r="126" spans="1:10" x14ac:dyDescent="0.25">
      <c r="A126" s="40"/>
      <c r="B126" s="40" t="str">
        <f>Master[[#This Row],[Accession Prefix (NPGS)]]&amp;" "&amp;Master[[#This Row],[Accession Number -Assigned]]</f>
        <v>W6 59712</v>
      </c>
      <c r="C126" s="40" t="str">
        <f t="shared" si="18"/>
        <v>Seeds of Success</v>
      </c>
      <c r="D126" s="40" t="str">
        <f t="shared" si="20"/>
        <v>mm/dd/yyyy</v>
      </c>
      <c r="E126" s="193"/>
      <c r="F126" s="40" t="str">
        <f t="shared" si="21"/>
        <v>mm/dd/yyyy</v>
      </c>
      <c r="G126" s="150"/>
      <c r="H126" s="40" t="str">
        <f t="shared" si="22"/>
        <v>N</v>
      </c>
      <c r="I126" s="30" t="str">
        <f t="shared" si="19"/>
        <v>Cashman, Michael J., USDA, ARS, Regional Plant Introduction Station, Pullman, Washington, United States</v>
      </c>
      <c r="J126" s="40"/>
    </row>
    <row r="127" spans="1:10" x14ac:dyDescent="0.25">
      <c r="A127" s="40"/>
      <c r="B127" s="40" t="str">
        <f>Master[[#This Row],[Accession Prefix (NPGS)]]&amp;" "&amp;Master[[#This Row],[Accession Number -Assigned]]</f>
        <v>W6 59713</v>
      </c>
      <c r="C127" s="40" t="str">
        <f t="shared" si="18"/>
        <v>Seeds of Success</v>
      </c>
      <c r="D127" s="40" t="str">
        <f t="shared" si="20"/>
        <v>mm/dd/yyyy</v>
      </c>
      <c r="E127" s="193"/>
      <c r="F127" s="40" t="str">
        <f t="shared" si="21"/>
        <v>mm/dd/yyyy</v>
      </c>
      <c r="G127" s="150"/>
      <c r="H127" s="40" t="str">
        <f t="shared" si="22"/>
        <v>N</v>
      </c>
      <c r="I127" s="30" t="str">
        <f t="shared" si="19"/>
        <v>Cashman, Michael J., USDA, ARS, Regional Plant Introduction Station, Pullman, Washington, United States</v>
      </c>
      <c r="J127" s="40"/>
    </row>
    <row r="128" spans="1:10" x14ac:dyDescent="0.25">
      <c r="A128" s="40"/>
      <c r="B128" s="40" t="str">
        <f>Master[[#This Row],[Accession Prefix (NPGS)]]&amp;" "&amp;Master[[#This Row],[Accession Number -Assigned]]</f>
        <v>W6 59714</v>
      </c>
      <c r="C128" s="40" t="str">
        <f t="shared" si="18"/>
        <v>Seeds of Success</v>
      </c>
      <c r="D128" s="40" t="str">
        <f t="shared" si="20"/>
        <v>mm/dd/yyyy</v>
      </c>
      <c r="E128" s="193"/>
      <c r="F128" s="40" t="str">
        <f t="shared" si="21"/>
        <v>mm/dd/yyyy</v>
      </c>
      <c r="G128" s="150"/>
      <c r="H128" s="40" t="str">
        <f t="shared" si="22"/>
        <v>N</v>
      </c>
      <c r="I128" s="30" t="str">
        <f t="shared" si="19"/>
        <v>Cashman, Michael J., USDA, ARS, Regional Plant Introduction Station, Pullman, Washington, United States</v>
      </c>
      <c r="J128" s="40"/>
    </row>
    <row r="129" spans="1:10" x14ac:dyDescent="0.25">
      <c r="A129" s="40"/>
      <c r="B129" s="40" t="str">
        <f>Master[[#This Row],[Accession Prefix (NPGS)]]&amp;" "&amp;Master[[#This Row],[Accession Number -Assigned]]</f>
        <v>W6 59715</v>
      </c>
      <c r="C129" s="40" t="str">
        <f t="shared" si="18"/>
        <v>Seeds of Success</v>
      </c>
      <c r="D129" s="40" t="str">
        <f t="shared" si="20"/>
        <v>mm/dd/yyyy</v>
      </c>
      <c r="E129" s="193"/>
      <c r="F129" s="40" t="str">
        <f t="shared" si="21"/>
        <v>mm/dd/yyyy</v>
      </c>
      <c r="G129" s="150"/>
      <c r="H129" s="40" t="str">
        <f t="shared" si="22"/>
        <v>N</v>
      </c>
      <c r="I129" s="30" t="str">
        <f t="shared" si="19"/>
        <v>Cashman, Michael J., USDA, ARS, Regional Plant Introduction Station, Pullman, Washington, United States</v>
      </c>
      <c r="J129" s="40"/>
    </row>
    <row r="130" spans="1:10" x14ac:dyDescent="0.25">
      <c r="A130" s="40"/>
      <c r="B130" s="40" t="str">
        <f>Master[[#This Row],[Accession Prefix (NPGS)]]&amp;" "&amp;Master[[#This Row],[Accession Number -Assigned]]</f>
        <v>W6 59716</v>
      </c>
      <c r="C130" s="40" t="str">
        <f t="shared" ref="C130:C161" si="23">"Seeds of Success"</f>
        <v>Seeds of Success</v>
      </c>
      <c r="D130" s="40" t="str">
        <f t="shared" si="20"/>
        <v>mm/dd/yyyy</v>
      </c>
      <c r="E130" s="193"/>
      <c r="F130" s="40" t="str">
        <f t="shared" si="21"/>
        <v>mm/dd/yyyy</v>
      </c>
      <c r="G130" s="150"/>
      <c r="H130" s="40" t="str">
        <f t="shared" si="22"/>
        <v>N</v>
      </c>
      <c r="I130" s="30" t="str">
        <f t="shared" ref="I130:I161" si="24">"Cashman, Michael J., USDA, ARS, Regional Plant Introduction Station, Pullman, Washington, United States"</f>
        <v>Cashman, Michael J., USDA, ARS, Regional Plant Introduction Station, Pullman, Washington, United States</v>
      </c>
      <c r="J130" s="40"/>
    </row>
    <row r="131" spans="1:10" x14ac:dyDescent="0.25">
      <c r="A131" s="40"/>
      <c r="B131" s="40" t="str">
        <f>Master[[#This Row],[Accession Prefix (NPGS)]]&amp;" "&amp;Master[[#This Row],[Accession Number -Assigned]]</f>
        <v>W6 59717</v>
      </c>
      <c r="C131" s="40" t="str">
        <f t="shared" si="23"/>
        <v>Seeds of Success</v>
      </c>
      <c r="D131" s="40" t="str">
        <f t="shared" si="20"/>
        <v>mm/dd/yyyy</v>
      </c>
      <c r="E131" s="193"/>
      <c r="F131" s="40" t="str">
        <f t="shared" si="21"/>
        <v>mm/dd/yyyy</v>
      </c>
      <c r="G131" s="150"/>
      <c r="H131" s="40" t="str">
        <f t="shared" si="22"/>
        <v>N</v>
      </c>
      <c r="I131" s="30" t="str">
        <f t="shared" si="24"/>
        <v>Cashman, Michael J., USDA, ARS, Regional Plant Introduction Station, Pullman, Washington, United States</v>
      </c>
      <c r="J131" s="40"/>
    </row>
    <row r="132" spans="1:10" x14ac:dyDescent="0.25">
      <c r="A132" s="40"/>
      <c r="B132" s="40" t="str">
        <f>Master[[#This Row],[Accession Prefix (NPGS)]]&amp;" "&amp;Master[[#This Row],[Accession Number -Assigned]]</f>
        <v>W6 59718</v>
      </c>
      <c r="C132" s="40" t="str">
        <f t="shared" si="23"/>
        <v>Seeds of Success</v>
      </c>
      <c r="D132" s="40" t="str">
        <f t="shared" si="20"/>
        <v>mm/dd/yyyy</v>
      </c>
      <c r="E132" s="193"/>
      <c r="F132" s="40" t="str">
        <f t="shared" si="21"/>
        <v>mm/dd/yyyy</v>
      </c>
      <c r="G132" s="150"/>
      <c r="H132" s="40" t="str">
        <f t="shared" si="22"/>
        <v>N</v>
      </c>
      <c r="I132" s="30" t="str">
        <f t="shared" si="24"/>
        <v>Cashman, Michael J., USDA, ARS, Regional Plant Introduction Station, Pullman, Washington, United States</v>
      </c>
      <c r="J132" s="40"/>
    </row>
    <row r="133" spans="1:10" x14ac:dyDescent="0.25">
      <c r="A133" s="40"/>
      <c r="B133" s="40" t="str">
        <f>Master[[#This Row],[Accession Prefix (NPGS)]]&amp;" "&amp;Master[[#This Row],[Accession Number -Assigned]]</f>
        <v>W6 59719</v>
      </c>
      <c r="C133" s="40" t="str">
        <f t="shared" si="23"/>
        <v>Seeds of Success</v>
      </c>
      <c r="D133" s="40" t="str">
        <f t="shared" si="20"/>
        <v>mm/dd/yyyy</v>
      </c>
      <c r="E133" s="193"/>
      <c r="F133" s="40" t="str">
        <f t="shared" si="21"/>
        <v>mm/dd/yyyy</v>
      </c>
      <c r="G133" s="150"/>
      <c r="H133" s="40" t="str">
        <f t="shared" si="22"/>
        <v>N</v>
      </c>
      <c r="I133" s="30" t="str">
        <f t="shared" si="24"/>
        <v>Cashman, Michael J., USDA, ARS, Regional Plant Introduction Station, Pullman, Washington, United States</v>
      </c>
      <c r="J133" s="40"/>
    </row>
    <row r="134" spans="1:10" x14ac:dyDescent="0.25">
      <c r="A134" s="40"/>
      <c r="B134" s="40" t="str">
        <f>Master[[#This Row],[Accession Prefix (NPGS)]]&amp;" "&amp;Master[[#This Row],[Accession Number -Assigned]]</f>
        <v>W6 59720</v>
      </c>
      <c r="C134" s="40" t="str">
        <f t="shared" si="23"/>
        <v>Seeds of Success</v>
      </c>
      <c r="D134" s="40" t="str">
        <f t="shared" si="20"/>
        <v>mm/dd/yyyy</v>
      </c>
      <c r="E134" s="193"/>
      <c r="F134" s="40" t="str">
        <f t="shared" si="21"/>
        <v>mm/dd/yyyy</v>
      </c>
      <c r="G134" s="150"/>
      <c r="H134" s="40" t="str">
        <f t="shared" si="22"/>
        <v>N</v>
      </c>
      <c r="I134" s="30" t="str">
        <f t="shared" si="24"/>
        <v>Cashman, Michael J., USDA, ARS, Regional Plant Introduction Station, Pullman, Washington, United States</v>
      </c>
      <c r="J134" s="40"/>
    </row>
    <row r="135" spans="1:10" x14ac:dyDescent="0.25">
      <c r="A135" s="40"/>
      <c r="B135" s="40" t="str">
        <f>Master[[#This Row],[Accession Prefix (NPGS)]]&amp;" "&amp;Master[[#This Row],[Accession Number -Assigned]]</f>
        <v>W6 59721</v>
      </c>
      <c r="C135" s="40" t="str">
        <f t="shared" si="23"/>
        <v>Seeds of Success</v>
      </c>
      <c r="D135" s="40" t="str">
        <f t="shared" si="20"/>
        <v>mm/dd/yyyy</v>
      </c>
      <c r="E135" s="194"/>
      <c r="F135" s="40" t="str">
        <f t="shared" si="21"/>
        <v>mm/dd/yyyy</v>
      </c>
      <c r="G135" s="150"/>
      <c r="H135" s="40" t="str">
        <f t="shared" si="22"/>
        <v>N</v>
      </c>
      <c r="I135" s="30" t="str">
        <f t="shared" si="24"/>
        <v>Cashman, Michael J., USDA, ARS, Regional Plant Introduction Station, Pullman, Washington, United States</v>
      </c>
      <c r="J135" s="40"/>
    </row>
    <row r="136" spans="1:10" x14ac:dyDescent="0.25">
      <c r="A136" s="40"/>
      <c r="B136" s="40" t="str">
        <f>Master[[#This Row],[Accession Prefix (NPGS)]]&amp;" "&amp;Master[[#This Row],[Accession Number -Assigned]]</f>
        <v>W6 59722</v>
      </c>
      <c r="C136" s="40" t="str">
        <f t="shared" si="23"/>
        <v>Seeds of Success</v>
      </c>
      <c r="D136" s="40" t="str">
        <f t="shared" si="20"/>
        <v>mm/dd/yyyy</v>
      </c>
      <c r="E136" s="194"/>
      <c r="F136" s="40" t="str">
        <f t="shared" si="21"/>
        <v>mm/dd/yyyy</v>
      </c>
      <c r="G136" s="150"/>
      <c r="H136" s="40" t="str">
        <f t="shared" si="22"/>
        <v>N</v>
      </c>
      <c r="I136" s="30" t="str">
        <f t="shared" si="24"/>
        <v>Cashman, Michael J., USDA, ARS, Regional Plant Introduction Station, Pullman, Washington, United States</v>
      </c>
      <c r="J136" s="40"/>
    </row>
    <row r="137" spans="1:10" x14ac:dyDescent="0.25">
      <c r="A137" s="40"/>
      <c r="B137" s="40" t="str">
        <f>Master[[#This Row],[Accession Prefix (NPGS)]]&amp;" "&amp;Master[[#This Row],[Accession Number -Assigned]]</f>
        <v>W6 59723</v>
      </c>
      <c r="C137" s="40" t="str">
        <f t="shared" si="23"/>
        <v>Seeds of Success</v>
      </c>
      <c r="D137" s="40" t="str">
        <f t="shared" si="20"/>
        <v>mm/dd/yyyy</v>
      </c>
      <c r="E137" s="194"/>
      <c r="F137" s="40" t="str">
        <f t="shared" si="21"/>
        <v>mm/dd/yyyy</v>
      </c>
      <c r="G137" s="150"/>
      <c r="H137" s="40" t="str">
        <f t="shared" si="22"/>
        <v>N</v>
      </c>
      <c r="I137" s="30" t="str">
        <f t="shared" si="24"/>
        <v>Cashman, Michael J., USDA, ARS, Regional Plant Introduction Station, Pullman, Washington, United States</v>
      </c>
      <c r="J137" s="40"/>
    </row>
    <row r="138" spans="1:10" x14ac:dyDescent="0.25">
      <c r="A138" s="40"/>
      <c r="B138" s="40" t="str">
        <f>Master[[#This Row],[Accession Prefix (NPGS)]]&amp;" "&amp;Master[[#This Row],[Accession Number -Assigned]]</f>
        <v>W6 59724</v>
      </c>
      <c r="C138" s="40" t="str">
        <f t="shared" si="23"/>
        <v>Seeds of Success</v>
      </c>
      <c r="D138" s="40" t="str">
        <f t="shared" si="20"/>
        <v>mm/dd/yyyy</v>
      </c>
      <c r="E138" s="194"/>
      <c r="F138" s="40" t="str">
        <f t="shared" si="21"/>
        <v>mm/dd/yyyy</v>
      </c>
      <c r="G138" s="150"/>
      <c r="H138" s="40" t="str">
        <f t="shared" si="22"/>
        <v>N</v>
      </c>
      <c r="I138" s="30" t="str">
        <f t="shared" si="24"/>
        <v>Cashman, Michael J., USDA, ARS, Regional Plant Introduction Station, Pullman, Washington, United States</v>
      </c>
      <c r="J138" s="40"/>
    </row>
    <row r="139" spans="1:10" x14ac:dyDescent="0.25">
      <c r="A139" s="40"/>
      <c r="B139" s="40" t="str">
        <f>Master[[#This Row],[Accession Prefix (NPGS)]]&amp;" "&amp;Master[[#This Row],[Accession Number -Assigned]]</f>
        <v>W6 59725</v>
      </c>
      <c r="C139" s="40" t="str">
        <f t="shared" si="23"/>
        <v>Seeds of Success</v>
      </c>
      <c r="D139" s="40" t="str">
        <f t="shared" si="20"/>
        <v>mm/dd/yyyy</v>
      </c>
      <c r="E139" s="194"/>
      <c r="F139" s="40" t="str">
        <f t="shared" si="21"/>
        <v>mm/dd/yyyy</v>
      </c>
      <c r="G139" s="150"/>
      <c r="H139" s="40" t="str">
        <f t="shared" si="22"/>
        <v>N</v>
      </c>
      <c r="I139" s="30" t="str">
        <f t="shared" si="24"/>
        <v>Cashman, Michael J., USDA, ARS, Regional Plant Introduction Station, Pullman, Washington, United States</v>
      </c>
      <c r="J139" s="40"/>
    </row>
    <row r="140" spans="1:10" x14ac:dyDescent="0.25">
      <c r="A140" s="40"/>
      <c r="B140" s="40" t="str">
        <f>Master[[#This Row],[Accession Prefix (NPGS)]]&amp;" "&amp;Master[[#This Row],[Accession Number -Assigned]]</f>
        <v>W6 59726</v>
      </c>
      <c r="C140" s="40" t="str">
        <f t="shared" si="23"/>
        <v>Seeds of Success</v>
      </c>
      <c r="D140" s="40" t="str">
        <f t="shared" si="20"/>
        <v>mm/dd/yyyy</v>
      </c>
      <c r="E140" s="194"/>
      <c r="F140" s="40" t="str">
        <f t="shared" si="21"/>
        <v>mm/dd/yyyy</v>
      </c>
      <c r="G140" s="150"/>
      <c r="H140" s="40" t="str">
        <f t="shared" si="22"/>
        <v>N</v>
      </c>
      <c r="I140" s="30" t="str">
        <f t="shared" si="24"/>
        <v>Cashman, Michael J., USDA, ARS, Regional Plant Introduction Station, Pullman, Washington, United States</v>
      </c>
      <c r="J140" s="40"/>
    </row>
    <row r="141" spans="1:10" x14ac:dyDescent="0.25">
      <c r="A141" s="40"/>
      <c r="B141" s="40" t="str">
        <f>Master[[#This Row],[Accession Prefix (NPGS)]]&amp;" "&amp;Master[[#This Row],[Accession Number -Assigned]]</f>
        <v>W6 59727</v>
      </c>
      <c r="C141" s="40" t="str">
        <f t="shared" si="23"/>
        <v>Seeds of Success</v>
      </c>
      <c r="D141" s="40" t="str">
        <f t="shared" si="20"/>
        <v>mm/dd/yyyy</v>
      </c>
      <c r="E141" s="194"/>
      <c r="F141" s="40" t="str">
        <f t="shared" si="21"/>
        <v>mm/dd/yyyy</v>
      </c>
      <c r="G141" s="150"/>
      <c r="H141" s="40" t="str">
        <f t="shared" si="22"/>
        <v>N</v>
      </c>
      <c r="I141" s="30" t="str">
        <f t="shared" si="24"/>
        <v>Cashman, Michael J., USDA, ARS, Regional Plant Introduction Station, Pullman, Washington, United States</v>
      </c>
      <c r="J141" s="40"/>
    </row>
    <row r="142" spans="1:10" x14ac:dyDescent="0.25">
      <c r="A142" s="40"/>
      <c r="B142" s="40" t="str">
        <f>Master[[#This Row],[Accession Prefix (NPGS)]]&amp;" "&amp;Master[[#This Row],[Accession Number -Assigned]]</f>
        <v>W6 59728</v>
      </c>
      <c r="C142" s="40" t="str">
        <f t="shared" si="23"/>
        <v>Seeds of Success</v>
      </c>
      <c r="D142" s="40" t="str">
        <f t="shared" si="20"/>
        <v>mm/dd/yyyy</v>
      </c>
      <c r="E142" s="194"/>
      <c r="F142" s="40" t="str">
        <f t="shared" si="21"/>
        <v>mm/dd/yyyy</v>
      </c>
      <c r="G142" s="150"/>
      <c r="H142" s="40" t="str">
        <f t="shared" si="22"/>
        <v>N</v>
      </c>
      <c r="I142" s="30" t="str">
        <f t="shared" si="24"/>
        <v>Cashman, Michael J., USDA, ARS, Regional Plant Introduction Station, Pullman, Washington, United States</v>
      </c>
      <c r="J142" s="40"/>
    </row>
    <row r="143" spans="1:10" x14ac:dyDescent="0.25">
      <c r="A143" s="40"/>
      <c r="B143" s="40" t="str">
        <f>Master[[#This Row],[Accession Prefix (NPGS)]]&amp;" "&amp;Master[[#This Row],[Accession Number -Assigned]]</f>
        <v>W6 59729</v>
      </c>
      <c r="C143" s="40" t="str">
        <f t="shared" si="23"/>
        <v>Seeds of Success</v>
      </c>
      <c r="D143" s="40" t="str">
        <f t="shared" si="20"/>
        <v>mm/dd/yyyy</v>
      </c>
      <c r="E143" s="194"/>
      <c r="F143" s="40" t="str">
        <f t="shared" si="21"/>
        <v>mm/dd/yyyy</v>
      </c>
      <c r="G143" s="150"/>
      <c r="H143" s="40" t="str">
        <f t="shared" si="22"/>
        <v>N</v>
      </c>
      <c r="I143" s="30" t="str">
        <f t="shared" si="24"/>
        <v>Cashman, Michael J., USDA, ARS, Regional Plant Introduction Station, Pullman, Washington, United States</v>
      </c>
      <c r="J143" s="40"/>
    </row>
    <row r="144" spans="1:10" x14ac:dyDescent="0.25">
      <c r="A144" s="40"/>
      <c r="B144" s="40" t="str">
        <f>Master[[#This Row],[Accession Prefix (NPGS)]]&amp;" "&amp;Master[[#This Row],[Accession Number -Assigned]]</f>
        <v>W6 59730</v>
      </c>
      <c r="C144" s="40" t="str">
        <f t="shared" si="23"/>
        <v>Seeds of Success</v>
      </c>
      <c r="D144" s="40" t="str">
        <f t="shared" si="20"/>
        <v>mm/dd/yyyy</v>
      </c>
      <c r="E144" s="194"/>
      <c r="F144" s="40" t="str">
        <f t="shared" si="21"/>
        <v>mm/dd/yyyy</v>
      </c>
      <c r="G144" s="150"/>
      <c r="H144" s="40" t="str">
        <f t="shared" si="22"/>
        <v>N</v>
      </c>
      <c r="I144" s="30" t="str">
        <f t="shared" si="24"/>
        <v>Cashman, Michael J., USDA, ARS, Regional Plant Introduction Station, Pullman, Washington, United States</v>
      </c>
      <c r="J144" s="40"/>
    </row>
    <row r="145" spans="1:10" x14ac:dyDescent="0.25">
      <c r="A145" s="40"/>
      <c r="B145" s="40" t="str">
        <f>Master[[#This Row],[Accession Prefix (NPGS)]]&amp;" "&amp;Master[[#This Row],[Accession Number -Assigned]]</f>
        <v>W6 59731</v>
      </c>
      <c r="C145" s="40" t="str">
        <f t="shared" si="23"/>
        <v>Seeds of Success</v>
      </c>
      <c r="D145" s="40" t="str">
        <f t="shared" si="20"/>
        <v>mm/dd/yyyy</v>
      </c>
      <c r="E145" s="194"/>
      <c r="F145" s="40" t="str">
        <f t="shared" si="21"/>
        <v>mm/dd/yyyy</v>
      </c>
      <c r="G145" s="150"/>
      <c r="H145" s="40" t="str">
        <f t="shared" si="22"/>
        <v>N</v>
      </c>
      <c r="I145" s="30" t="str">
        <f t="shared" si="24"/>
        <v>Cashman, Michael J., USDA, ARS, Regional Plant Introduction Station, Pullman, Washington, United States</v>
      </c>
      <c r="J145" s="40"/>
    </row>
    <row r="146" spans="1:10" x14ac:dyDescent="0.25">
      <c r="A146" s="40"/>
      <c r="B146" s="40" t="str">
        <f>Master[[#This Row],[Accession Prefix (NPGS)]]&amp;" "&amp;Master[[#This Row],[Accession Number -Assigned]]</f>
        <v>W6 59732</v>
      </c>
      <c r="C146" s="40" t="str">
        <f t="shared" si="23"/>
        <v>Seeds of Success</v>
      </c>
      <c r="D146" s="40" t="str">
        <f t="shared" si="20"/>
        <v>mm/dd/yyyy</v>
      </c>
      <c r="E146" s="194"/>
      <c r="F146" s="40" t="str">
        <f t="shared" si="21"/>
        <v>mm/dd/yyyy</v>
      </c>
      <c r="G146" s="150"/>
      <c r="H146" s="40" t="str">
        <f t="shared" si="22"/>
        <v>N</v>
      </c>
      <c r="I146" s="30" t="str">
        <f t="shared" si="24"/>
        <v>Cashman, Michael J., USDA, ARS, Regional Plant Introduction Station, Pullman, Washington, United States</v>
      </c>
      <c r="J146" s="40"/>
    </row>
    <row r="147" spans="1:10" x14ac:dyDescent="0.25">
      <c r="A147" s="40"/>
      <c r="B147" s="40" t="str">
        <f>Master[[#This Row],[Accession Prefix (NPGS)]]&amp;" "&amp;Master[[#This Row],[Accession Number -Assigned]]</f>
        <v>W6 59733</v>
      </c>
      <c r="C147" s="40" t="str">
        <f t="shared" si="23"/>
        <v>Seeds of Success</v>
      </c>
      <c r="D147" s="40" t="str">
        <f t="shared" si="20"/>
        <v>mm/dd/yyyy</v>
      </c>
      <c r="E147" s="194"/>
      <c r="F147" s="40" t="str">
        <f t="shared" si="21"/>
        <v>mm/dd/yyyy</v>
      </c>
      <c r="G147" s="150"/>
      <c r="H147" s="40" t="str">
        <f t="shared" si="22"/>
        <v>N</v>
      </c>
      <c r="I147" s="30" t="str">
        <f t="shared" si="24"/>
        <v>Cashman, Michael J., USDA, ARS, Regional Plant Introduction Station, Pullman, Washington, United States</v>
      </c>
      <c r="J147" s="40"/>
    </row>
    <row r="148" spans="1:10" x14ac:dyDescent="0.25">
      <c r="A148" s="40"/>
      <c r="B148" s="40" t="str">
        <f>Master[[#This Row],[Accession Prefix (NPGS)]]&amp;" "&amp;Master[[#This Row],[Accession Number -Assigned]]</f>
        <v>W6 59734</v>
      </c>
      <c r="C148" s="40" t="str">
        <f t="shared" si="23"/>
        <v>Seeds of Success</v>
      </c>
      <c r="D148" s="40" t="str">
        <f t="shared" si="20"/>
        <v>mm/dd/yyyy</v>
      </c>
      <c r="E148" s="194"/>
      <c r="F148" s="40" t="str">
        <f t="shared" si="21"/>
        <v>mm/dd/yyyy</v>
      </c>
      <c r="G148" s="150"/>
      <c r="H148" s="40" t="str">
        <f t="shared" si="22"/>
        <v>N</v>
      </c>
      <c r="I148" s="30" t="str">
        <f t="shared" si="24"/>
        <v>Cashman, Michael J., USDA, ARS, Regional Plant Introduction Station, Pullman, Washington, United States</v>
      </c>
      <c r="J148" s="40"/>
    </row>
    <row r="149" spans="1:10" x14ac:dyDescent="0.25">
      <c r="A149" s="40"/>
      <c r="B149" s="40" t="str">
        <f>Master[[#This Row],[Accession Prefix (NPGS)]]&amp;" "&amp;Master[[#This Row],[Accession Number -Assigned]]</f>
        <v>W6 59735</v>
      </c>
      <c r="C149" s="40" t="str">
        <f t="shared" si="23"/>
        <v>Seeds of Success</v>
      </c>
      <c r="D149" s="40" t="str">
        <f t="shared" si="20"/>
        <v>mm/dd/yyyy</v>
      </c>
      <c r="E149" s="194"/>
      <c r="F149" s="40" t="str">
        <f t="shared" si="21"/>
        <v>mm/dd/yyyy</v>
      </c>
      <c r="G149" s="150"/>
      <c r="H149" s="40" t="str">
        <f t="shared" si="22"/>
        <v>N</v>
      </c>
      <c r="I149" s="30" t="str">
        <f t="shared" si="24"/>
        <v>Cashman, Michael J., USDA, ARS, Regional Plant Introduction Station, Pullman, Washington, United States</v>
      </c>
      <c r="J149" s="40"/>
    </row>
    <row r="150" spans="1:10" x14ac:dyDescent="0.25">
      <c r="A150" s="40"/>
      <c r="B150" s="40" t="str">
        <f>Master[[#This Row],[Accession Prefix (NPGS)]]&amp;" "&amp;Master[[#This Row],[Accession Number -Assigned]]</f>
        <v>W6 59736</v>
      </c>
      <c r="C150" s="40" t="str">
        <f t="shared" si="23"/>
        <v>Seeds of Success</v>
      </c>
      <c r="D150" s="40" t="str">
        <f t="shared" ref="D150:D181" si="25">"mm/dd/yyyy"</f>
        <v>mm/dd/yyyy</v>
      </c>
      <c r="E150" s="194"/>
      <c r="F150" s="40" t="str">
        <f t="shared" ref="F150:F181" si="26">"mm/dd/yyyy"</f>
        <v>mm/dd/yyyy</v>
      </c>
      <c r="G150" s="150"/>
      <c r="H150" s="40" t="str">
        <f t="shared" ref="H150:H181" si="27">"N"</f>
        <v>N</v>
      </c>
      <c r="I150" s="30" t="str">
        <f t="shared" si="24"/>
        <v>Cashman, Michael J., USDA, ARS, Regional Plant Introduction Station, Pullman, Washington, United States</v>
      </c>
      <c r="J150" s="40"/>
    </row>
    <row r="151" spans="1:10" x14ac:dyDescent="0.25">
      <c r="A151" s="40"/>
      <c r="B151" s="40" t="str">
        <f>Master[[#This Row],[Accession Prefix (NPGS)]]&amp;" "&amp;Master[[#This Row],[Accession Number -Assigned]]</f>
        <v>W6 59737</v>
      </c>
      <c r="C151" s="40" t="str">
        <f t="shared" si="23"/>
        <v>Seeds of Success</v>
      </c>
      <c r="D151" s="40" t="str">
        <f t="shared" si="25"/>
        <v>mm/dd/yyyy</v>
      </c>
      <c r="E151" s="194"/>
      <c r="F151" s="40" t="str">
        <f t="shared" si="26"/>
        <v>mm/dd/yyyy</v>
      </c>
      <c r="G151" s="150"/>
      <c r="H151" s="40" t="str">
        <f t="shared" si="27"/>
        <v>N</v>
      </c>
      <c r="I151" s="30" t="str">
        <f t="shared" si="24"/>
        <v>Cashman, Michael J., USDA, ARS, Regional Plant Introduction Station, Pullman, Washington, United States</v>
      </c>
      <c r="J151" s="40"/>
    </row>
    <row r="152" spans="1:10" x14ac:dyDescent="0.25">
      <c r="A152" s="40"/>
      <c r="B152" s="40" t="str">
        <f>Master[[#This Row],[Accession Prefix (NPGS)]]&amp;" "&amp;Master[[#This Row],[Accession Number -Assigned]]</f>
        <v xml:space="preserve"> </v>
      </c>
      <c r="C152" s="40" t="str">
        <f t="shared" si="23"/>
        <v>Seeds of Success</v>
      </c>
      <c r="D152" s="40" t="str">
        <f t="shared" si="25"/>
        <v>mm/dd/yyyy</v>
      </c>
      <c r="E152" s="194"/>
      <c r="F152" s="40" t="str">
        <f t="shared" si="26"/>
        <v>mm/dd/yyyy</v>
      </c>
      <c r="G152" s="150"/>
      <c r="H152" s="40" t="str">
        <f t="shared" si="27"/>
        <v>N</v>
      </c>
      <c r="I152" s="30" t="str">
        <f t="shared" si="24"/>
        <v>Cashman, Michael J., USDA, ARS, Regional Plant Introduction Station, Pullman, Washington, United States</v>
      </c>
      <c r="J152" s="40"/>
    </row>
    <row r="153" spans="1:10" x14ac:dyDescent="0.25">
      <c r="A153" s="40"/>
      <c r="B153" s="40" t="str">
        <f>Master[[#This Row],[Accession Prefix (NPGS)]]&amp;" "&amp;Master[[#This Row],[Accession Number -Assigned]]</f>
        <v xml:space="preserve"> </v>
      </c>
      <c r="C153" s="40" t="str">
        <f t="shared" si="23"/>
        <v>Seeds of Success</v>
      </c>
      <c r="D153" s="40" t="str">
        <f t="shared" si="25"/>
        <v>mm/dd/yyyy</v>
      </c>
      <c r="E153" s="194"/>
      <c r="F153" s="40" t="str">
        <f t="shared" si="26"/>
        <v>mm/dd/yyyy</v>
      </c>
      <c r="G153" s="150"/>
      <c r="H153" s="40" t="str">
        <f t="shared" si="27"/>
        <v>N</v>
      </c>
      <c r="I153" s="30" t="str">
        <f t="shared" si="24"/>
        <v>Cashman, Michael J., USDA, ARS, Regional Plant Introduction Station, Pullman, Washington, United States</v>
      </c>
      <c r="J153" s="40"/>
    </row>
    <row r="154" spans="1:10" x14ac:dyDescent="0.25">
      <c r="A154" s="40"/>
      <c r="B154" s="40" t="str">
        <f>Master[[#This Row],[Accession Prefix (NPGS)]]&amp;" "&amp;Master[[#This Row],[Accession Number -Assigned]]</f>
        <v xml:space="preserve"> </v>
      </c>
      <c r="C154" s="40" t="str">
        <f t="shared" si="23"/>
        <v>Seeds of Success</v>
      </c>
      <c r="D154" s="40" t="str">
        <f t="shared" si="25"/>
        <v>mm/dd/yyyy</v>
      </c>
      <c r="E154" s="194"/>
      <c r="F154" s="40" t="str">
        <f t="shared" si="26"/>
        <v>mm/dd/yyyy</v>
      </c>
      <c r="G154" s="150"/>
      <c r="H154" s="40" t="str">
        <f t="shared" si="27"/>
        <v>N</v>
      </c>
      <c r="I154" s="30" t="str">
        <f t="shared" si="24"/>
        <v>Cashman, Michael J., USDA, ARS, Regional Plant Introduction Station, Pullman, Washington, United States</v>
      </c>
      <c r="J154" s="40"/>
    </row>
    <row r="155" spans="1:10" x14ac:dyDescent="0.25">
      <c r="A155" s="40"/>
      <c r="B155" s="40" t="str">
        <f>Master[[#This Row],[Accession Prefix (NPGS)]]&amp;" "&amp;Master[[#This Row],[Accession Number -Assigned]]</f>
        <v xml:space="preserve"> </v>
      </c>
      <c r="C155" s="40" t="str">
        <f t="shared" si="23"/>
        <v>Seeds of Success</v>
      </c>
      <c r="D155" s="40" t="str">
        <f t="shared" si="25"/>
        <v>mm/dd/yyyy</v>
      </c>
      <c r="E155" s="194"/>
      <c r="F155" s="40" t="str">
        <f t="shared" si="26"/>
        <v>mm/dd/yyyy</v>
      </c>
      <c r="G155" s="150"/>
      <c r="H155" s="40" t="str">
        <f t="shared" si="27"/>
        <v>N</v>
      </c>
      <c r="I155" s="30" t="str">
        <f t="shared" si="24"/>
        <v>Cashman, Michael J., USDA, ARS, Regional Plant Introduction Station, Pullman, Washington, United States</v>
      </c>
      <c r="J155" s="40"/>
    </row>
    <row r="156" spans="1:10" x14ac:dyDescent="0.25">
      <c r="A156" s="40"/>
      <c r="B156" s="40" t="str">
        <f>Master[[#This Row],[Accession Prefix (NPGS)]]&amp;" "&amp;Master[[#This Row],[Accession Number -Assigned]]</f>
        <v xml:space="preserve"> </v>
      </c>
      <c r="C156" s="40" t="str">
        <f t="shared" si="23"/>
        <v>Seeds of Success</v>
      </c>
      <c r="D156" s="40" t="str">
        <f t="shared" si="25"/>
        <v>mm/dd/yyyy</v>
      </c>
      <c r="E156" s="194"/>
      <c r="F156" s="40" t="str">
        <f t="shared" si="26"/>
        <v>mm/dd/yyyy</v>
      </c>
      <c r="G156" s="150"/>
      <c r="H156" s="40" t="str">
        <f t="shared" si="27"/>
        <v>N</v>
      </c>
      <c r="I156" s="30" t="str">
        <f t="shared" si="24"/>
        <v>Cashman, Michael J., USDA, ARS, Regional Plant Introduction Station, Pullman, Washington, United States</v>
      </c>
      <c r="J156" s="40"/>
    </row>
    <row r="157" spans="1:10" x14ac:dyDescent="0.25">
      <c r="A157" s="40"/>
      <c r="B157" s="40" t="str">
        <f>Master[[#This Row],[Accession Prefix (NPGS)]]&amp;" "&amp;Master[[#This Row],[Accession Number -Assigned]]</f>
        <v xml:space="preserve"> </v>
      </c>
      <c r="C157" s="40" t="str">
        <f t="shared" si="23"/>
        <v>Seeds of Success</v>
      </c>
      <c r="D157" s="40" t="str">
        <f t="shared" si="25"/>
        <v>mm/dd/yyyy</v>
      </c>
      <c r="E157" s="194"/>
      <c r="F157" s="40" t="str">
        <f t="shared" si="26"/>
        <v>mm/dd/yyyy</v>
      </c>
      <c r="G157" s="150"/>
      <c r="H157" s="40" t="str">
        <f t="shared" si="27"/>
        <v>N</v>
      </c>
      <c r="I157" s="30" t="str">
        <f t="shared" si="24"/>
        <v>Cashman, Michael J., USDA, ARS, Regional Plant Introduction Station, Pullman, Washington, United States</v>
      </c>
      <c r="J157" s="40"/>
    </row>
    <row r="158" spans="1:10" x14ac:dyDescent="0.25">
      <c r="A158" s="40"/>
      <c r="B158" s="40" t="str">
        <f>Master[[#This Row],[Accession Prefix (NPGS)]]&amp;" "&amp;Master[[#This Row],[Accession Number -Assigned]]</f>
        <v xml:space="preserve"> </v>
      </c>
      <c r="C158" s="40" t="str">
        <f t="shared" si="23"/>
        <v>Seeds of Success</v>
      </c>
      <c r="D158" s="40" t="str">
        <f t="shared" si="25"/>
        <v>mm/dd/yyyy</v>
      </c>
      <c r="E158" s="194"/>
      <c r="F158" s="40" t="str">
        <f t="shared" si="26"/>
        <v>mm/dd/yyyy</v>
      </c>
      <c r="G158" s="150"/>
      <c r="H158" s="40" t="str">
        <f t="shared" si="27"/>
        <v>N</v>
      </c>
      <c r="I158" s="30" t="str">
        <f t="shared" si="24"/>
        <v>Cashman, Michael J., USDA, ARS, Regional Plant Introduction Station, Pullman, Washington, United States</v>
      </c>
      <c r="J158" s="40"/>
    </row>
    <row r="159" spans="1:10" x14ac:dyDescent="0.25">
      <c r="A159" s="40"/>
      <c r="B159" s="40" t="str">
        <f>Master[[#This Row],[Accession Prefix (NPGS)]]&amp;" "&amp;Master[[#This Row],[Accession Number -Assigned]]</f>
        <v xml:space="preserve"> </v>
      </c>
      <c r="C159" s="40" t="str">
        <f t="shared" si="23"/>
        <v>Seeds of Success</v>
      </c>
      <c r="D159" s="40" t="str">
        <f t="shared" si="25"/>
        <v>mm/dd/yyyy</v>
      </c>
      <c r="E159" s="194"/>
      <c r="F159" s="40" t="str">
        <f t="shared" si="26"/>
        <v>mm/dd/yyyy</v>
      </c>
      <c r="G159" s="150"/>
      <c r="H159" s="40" t="str">
        <f t="shared" si="27"/>
        <v>N</v>
      </c>
      <c r="I159" s="30" t="str">
        <f t="shared" si="24"/>
        <v>Cashman, Michael J., USDA, ARS, Regional Plant Introduction Station, Pullman, Washington, United States</v>
      </c>
      <c r="J159" s="40"/>
    </row>
    <row r="160" spans="1:10" x14ac:dyDescent="0.25">
      <c r="A160" s="40"/>
      <c r="B160" s="40" t="str">
        <f>Master[[#This Row],[Accession Prefix (NPGS)]]&amp;" "&amp;Master[[#This Row],[Accession Number -Assigned]]</f>
        <v xml:space="preserve"> </v>
      </c>
      <c r="C160" s="40" t="str">
        <f t="shared" si="23"/>
        <v>Seeds of Success</v>
      </c>
      <c r="D160" s="40" t="str">
        <f t="shared" si="25"/>
        <v>mm/dd/yyyy</v>
      </c>
      <c r="E160" s="194"/>
      <c r="F160" s="40" t="str">
        <f t="shared" si="26"/>
        <v>mm/dd/yyyy</v>
      </c>
      <c r="G160" s="150"/>
      <c r="H160" s="40" t="str">
        <f t="shared" si="27"/>
        <v>N</v>
      </c>
      <c r="I160" s="30" t="str">
        <f t="shared" si="24"/>
        <v>Cashman, Michael J., USDA, ARS, Regional Plant Introduction Station, Pullman, Washington, United States</v>
      </c>
      <c r="J160" s="40"/>
    </row>
    <row r="161" spans="1:10" x14ac:dyDescent="0.25">
      <c r="A161" s="40"/>
      <c r="B161" s="40" t="str">
        <f>Master[[#This Row],[Accession Prefix (NPGS)]]&amp;" "&amp;Master[[#This Row],[Accession Number -Assigned]]</f>
        <v xml:space="preserve"> </v>
      </c>
      <c r="C161" s="40" t="str">
        <f t="shared" si="23"/>
        <v>Seeds of Success</v>
      </c>
      <c r="D161" s="40" t="str">
        <f t="shared" si="25"/>
        <v>mm/dd/yyyy</v>
      </c>
      <c r="E161" s="194"/>
      <c r="F161" s="40" t="str">
        <f t="shared" si="26"/>
        <v>mm/dd/yyyy</v>
      </c>
      <c r="G161" s="150"/>
      <c r="H161" s="40" t="str">
        <f t="shared" si="27"/>
        <v>N</v>
      </c>
      <c r="I161" s="30" t="str">
        <f t="shared" si="24"/>
        <v>Cashman, Michael J., USDA, ARS, Regional Plant Introduction Station, Pullman, Washington, United States</v>
      </c>
      <c r="J161" s="40"/>
    </row>
    <row r="162" spans="1:10" x14ac:dyDescent="0.25">
      <c r="A162" s="40"/>
      <c r="B162" s="40" t="str">
        <f>Master[[#This Row],[Accession Prefix (NPGS)]]&amp;" "&amp;Master[[#This Row],[Accession Number -Assigned]]</f>
        <v xml:space="preserve"> </v>
      </c>
      <c r="C162" s="40" t="str">
        <f t="shared" ref="C162:C193" si="28">"Seeds of Success"</f>
        <v>Seeds of Success</v>
      </c>
      <c r="D162" s="40" t="str">
        <f t="shared" si="25"/>
        <v>mm/dd/yyyy</v>
      </c>
      <c r="E162" s="194"/>
      <c r="F162" s="40" t="str">
        <f t="shared" si="26"/>
        <v>mm/dd/yyyy</v>
      </c>
      <c r="G162" s="150"/>
      <c r="H162" s="40" t="str">
        <f t="shared" si="27"/>
        <v>N</v>
      </c>
      <c r="I162" s="30" t="str">
        <f t="shared" ref="I162:I193" si="29">"Cashman, Michael J., USDA, ARS, Regional Plant Introduction Station, Pullman, Washington, United States"</f>
        <v>Cashman, Michael J., USDA, ARS, Regional Plant Introduction Station, Pullman, Washington, United States</v>
      </c>
      <c r="J162" s="40"/>
    </row>
    <row r="163" spans="1:10" x14ac:dyDescent="0.25">
      <c r="A163" s="40"/>
      <c r="B163" s="40" t="str">
        <f>Master[[#This Row],[Accession Prefix (NPGS)]]&amp;" "&amp;Master[[#This Row],[Accession Number -Assigned]]</f>
        <v xml:space="preserve"> </v>
      </c>
      <c r="C163" s="40" t="str">
        <f t="shared" si="28"/>
        <v>Seeds of Success</v>
      </c>
      <c r="D163" s="40" t="str">
        <f t="shared" si="25"/>
        <v>mm/dd/yyyy</v>
      </c>
      <c r="E163" s="194"/>
      <c r="F163" s="40" t="str">
        <f t="shared" si="26"/>
        <v>mm/dd/yyyy</v>
      </c>
      <c r="G163" s="150"/>
      <c r="H163" s="40" t="str">
        <f t="shared" si="27"/>
        <v>N</v>
      </c>
      <c r="I163" s="30" t="str">
        <f t="shared" si="29"/>
        <v>Cashman, Michael J., USDA, ARS, Regional Plant Introduction Station, Pullman, Washington, United States</v>
      </c>
      <c r="J163" s="40"/>
    </row>
    <row r="164" spans="1:10" x14ac:dyDescent="0.25">
      <c r="A164" s="40"/>
      <c r="B164" s="40" t="str">
        <f>Master[[#This Row],[Accession Prefix (NPGS)]]&amp;" "&amp;Master[[#This Row],[Accession Number -Assigned]]</f>
        <v xml:space="preserve"> </v>
      </c>
      <c r="C164" s="40" t="str">
        <f t="shared" si="28"/>
        <v>Seeds of Success</v>
      </c>
      <c r="D164" s="40" t="str">
        <f t="shared" si="25"/>
        <v>mm/dd/yyyy</v>
      </c>
      <c r="E164" s="194"/>
      <c r="F164" s="40" t="str">
        <f t="shared" si="26"/>
        <v>mm/dd/yyyy</v>
      </c>
      <c r="G164" s="150"/>
      <c r="H164" s="40" t="str">
        <f t="shared" si="27"/>
        <v>N</v>
      </c>
      <c r="I164" s="30" t="str">
        <f t="shared" si="29"/>
        <v>Cashman, Michael J., USDA, ARS, Regional Plant Introduction Station, Pullman, Washington, United States</v>
      </c>
      <c r="J164" s="40"/>
    </row>
    <row r="165" spans="1:10" x14ac:dyDescent="0.25">
      <c r="A165" s="40"/>
      <c r="B165" s="40" t="str">
        <f>Master[[#This Row],[Accession Prefix (NPGS)]]&amp;" "&amp;Master[[#This Row],[Accession Number -Assigned]]</f>
        <v xml:space="preserve"> </v>
      </c>
      <c r="C165" s="40" t="str">
        <f t="shared" si="28"/>
        <v>Seeds of Success</v>
      </c>
      <c r="D165" s="40" t="str">
        <f t="shared" si="25"/>
        <v>mm/dd/yyyy</v>
      </c>
      <c r="E165" s="194"/>
      <c r="F165" s="40" t="str">
        <f t="shared" si="26"/>
        <v>mm/dd/yyyy</v>
      </c>
      <c r="G165" s="150"/>
      <c r="H165" s="40" t="str">
        <f t="shared" si="27"/>
        <v>N</v>
      </c>
      <c r="I165" s="30" t="str">
        <f t="shared" si="29"/>
        <v>Cashman, Michael J., USDA, ARS, Regional Plant Introduction Station, Pullman, Washington, United States</v>
      </c>
      <c r="J165" s="40"/>
    </row>
    <row r="166" spans="1:10" x14ac:dyDescent="0.25">
      <c r="A166" s="40"/>
      <c r="B166" s="40" t="str">
        <f>Master[[#This Row],[Accession Prefix (NPGS)]]&amp;" "&amp;Master[[#This Row],[Accession Number -Assigned]]</f>
        <v xml:space="preserve"> </v>
      </c>
      <c r="C166" s="40" t="str">
        <f t="shared" si="28"/>
        <v>Seeds of Success</v>
      </c>
      <c r="D166" s="40" t="str">
        <f t="shared" si="25"/>
        <v>mm/dd/yyyy</v>
      </c>
      <c r="E166" s="194"/>
      <c r="F166" s="40" t="str">
        <f t="shared" si="26"/>
        <v>mm/dd/yyyy</v>
      </c>
      <c r="G166" s="150"/>
      <c r="H166" s="40" t="str">
        <f t="shared" si="27"/>
        <v>N</v>
      </c>
      <c r="I166" s="30" t="str">
        <f t="shared" si="29"/>
        <v>Cashman, Michael J., USDA, ARS, Regional Plant Introduction Station, Pullman, Washington, United States</v>
      </c>
      <c r="J166" s="40"/>
    </row>
    <row r="167" spans="1:10" x14ac:dyDescent="0.25">
      <c r="A167" s="40"/>
      <c r="B167" s="40" t="str">
        <f>Master[[#This Row],[Accession Prefix (NPGS)]]&amp;" "&amp;Master[[#This Row],[Accession Number -Assigned]]</f>
        <v xml:space="preserve"> </v>
      </c>
      <c r="C167" s="40" t="str">
        <f t="shared" si="28"/>
        <v>Seeds of Success</v>
      </c>
      <c r="D167" s="40" t="str">
        <f t="shared" si="25"/>
        <v>mm/dd/yyyy</v>
      </c>
      <c r="E167" s="194"/>
      <c r="F167" s="40" t="str">
        <f t="shared" si="26"/>
        <v>mm/dd/yyyy</v>
      </c>
      <c r="G167" s="150"/>
      <c r="H167" s="40" t="str">
        <f t="shared" si="27"/>
        <v>N</v>
      </c>
      <c r="I167" s="30" t="str">
        <f t="shared" si="29"/>
        <v>Cashman, Michael J., USDA, ARS, Regional Plant Introduction Station, Pullman, Washington, United States</v>
      </c>
      <c r="J167" s="40"/>
    </row>
    <row r="168" spans="1:10" x14ac:dyDescent="0.25">
      <c r="A168" s="40"/>
      <c r="B168" s="40" t="str">
        <f>Master[[#This Row],[Accession Prefix (NPGS)]]&amp;" "&amp;Master[[#This Row],[Accession Number -Assigned]]</f>
        <v xml:space="preserve"> </v>
      </c>
      <c r="C168" s="40" t="str">
        <f t="shared" si="28"/>
        <v>Seeds of Success</v>
      </c>
      <c r="D168" s="40" t="str">
        <f t="shared" si="25"/>
        <v>mm/dd/yyyy</v>
      </c>
      <c r="E168" s="194"/>
      <c r="F168" s="40" t="str">
        <f t="shared" si="26"/>
        <v>mm/dd/yyyy</v>
      </c>
      <c r="G168" s="150"/>
      <c r="H168" s="40" t="str">
        <f t="shared" si="27"/>
        <v>N</v>
      </c>
      <c r="I168" s="30" t="str">
        <f t="shared" si="29"/>
        <v>Cashman, Michael J., USDA, ARS, Regional Plant Introduction Station, Pullman, Washington, United States</v>
      </c>
      <c r="J168" s="40"/>
    </row>
    <row r="169" spans="1:10" x14ac:dyDescent="0.25">
      <c r="A169" s="40"/>
      <c r="B169" s="40" t="str">
        <f>Master[[#This Row],[Accession Prefix (NPGS)]]&amp;" "&amp;Master[[#This Row],[Accession Number -Assigned]]</f>
        <v xml:space="preserve"> </v>
      </c>
      <c r="C169" s="40" t="str">
        <f t="shared" si="28"/>
        <v>Seeds of Success</v>
      </c>
      <c r="D169" s="40" t="str">
        <f t="shared" si="25"/>
        <v>mm/dd/yyyy</v>
      </c>
      <c r="E169" s="194"/>
      <c r="F169" s="40" t="str">
        <f t="shared" si="26"/>
        <v>mm/dd/yyyy</v>
      </c>
      <c r="G169" s="150"/>
      <c r="H169" s="40" t="str">
        <f t="shared" si="27"/>
        <v>N</v>
      </c>
      <c r="I169" s="30" t="str">
        <f t="shared" si="29"/>
        <v>Cashman, Michael J., USDA, ARS, Regional Plant Introduction Station, Pullman, Washington, United States</v>
      </c>
      <c r="J169" s="40"/>
    </row>
    <row r="170" spans="1:10" x14ac:dyDescent="0.25">
      <c r="A170" s="40"/>
      <c r="B170" s="40" t="str">
        <f>Master[[#This Row],[Accession Prefix (NPGS)]]&amp;" "&amp;Master[[#This Row],[Accession Number -Assigned]]</f>
        <v xml:space="preserve"> </v>
      </c>
      <c r="C170" s="40" t="str">
        <f t="shared" si="28"/>
        <v>Seeds of Success</v>
      </c>
      <c r="D170" s="40" t="str">
        <f t="shared" si="25"/>
        <v>mm/dd/yyyy</v>
      </c>
      <c r="E170" s="194"/>
      <c r="F170" s="40" t="str">
        <f t="shared" si="26"/>
        <v>mm/dd/yyyy</v>
      </c>
      <c r="G170" s="150"/>
      <c r="H170" s="40" t="str">
        <f t="shared" si="27"/>
        <v>N</v>
      </c>
      <c r="I170" s="30" t="str">
        <f t="shared" si="29"/>
        <v>Cashman, Michael J., USDA, ARS, Regional Plant Introduction Station, Pullman, Washington, United States</v>
      </c>
      <c r="J170" s="40"/>
    </row>
    <row r="171" spans="1:10" x14ac:dyDescent="0.25">
      <c r="A171" s="40"/>
      <c r="B171" s="40" t="str">
        <f>Master[[#This Row],[Accession Prefix (NPGS)]]&amp;" "&amp;Master[[#This Row],[Accession Number -Assigned]]</f>
        <v xml:space="preserve"> </v>
      </c>
      <c r="C171" s="40" t="str">
        <f t="shared" si="28"/>
        <v>Seeds of Success</v>
      </c>
      <c r="D171" s="40" t="str">
        <f t="shared" si="25"/>
        <v>mm/dd/yyyy</v>
      </c>
      <c r="E171" s="194"/>
      <c r="F171" s="40" t="str">
        <f t="shared" si="26"/>
        <v>mm/dd/yyyy</v>
      </c>
      <c r="G171" s="150"/>
      <c r="H171" s="40" t="str">
        <f t="shared" si="27"/>
        <v>N</v>
      </c>
      <c r="I171" s="30" t="str">
        <f t="shared" si="29"/>
        <v>Cashman, Michael J., USDA, ARS, Regional Plant Introduction Station, Pullman, Washington, United States</v>
      </c>
      <c r="J171" s="40"/>
    </row>
    <row r="172" spans="1:10" x14ac:dyDescent="0.25">
      <c r="A172" s="40"/>
      <c r="B172" s="40" t="str">
        <f>Master[[#This Row],[Accession Prefix (NPGS)]]&amp;" "&amp;Master[[#This Row],[Accession Number -Assigned]]</f>
        <v xml:space="preserve"> </v>
      </c>
      <c r="C172" s="40" t="str">
        <f t="shared" si="28"/>
        <v>Seeds of Success</v>
      </c>
      <c r="D172" s="40" t="str">
        <f t="shared" si="25"/>
        <v>mm/dd/yyyy</v>
      </c>
      <c r="E172" s="194"/>
      <c r="F172" s="40" t="str">
        <f t="shared" si="26"/>
        <v>mm/dd/yyyy</v>
      </c>
      <c r="G172" s="150"/>
      <c r="H172" s="40" t="str">
        <f t="shared" si="27"/>
        <v>N</v>
      </c>
      <c r="I172" s="30" t="str">
        <f t="shared" si="29"/>
        <v>Cashman, Michael J., USDA, ARS, Regional Plant Introduction Station, Pullman, Washington, United States</v>
      </c>
      <c r="J172" s="40"/>
    </row>
    <row r="173" spans="1:10" x14ac:dyDescent="0.25">
      <c r="A173" s="40"/>
      <c r="B173" s="40" t="str">
        <f>Master[[#This Row],[Accession Prefix (NPGS)]]&amp;" "&amp;Master[[#This Row],[Accession Number -Assigned]]</f>
        <v xml:space="preserve"> </v>
      </c>
      <c r="C173" s="40" t="str">
        <f t="shared" si="28"/>
        <v>Seeds of Success</v>
      </c>
      <c r="D173" s="40" t="str">
        <f t="shared" si="25"/>
        <v>mm/dd/yyyy</v>
      </c>
      <c r="E173" s="194"/>
      <c r="F173" s="40" t="str">
        <f t="shared" si="26"/>
        <v>mm/dd/yyyy</v>
      </c>
      <c r="G173" s="150"/>
      <c r="H173" s="40" t="str">
        <f t="shared" si="27"/>
        <v>N</v>
      </c>
      <c r="I173" s="30" t="str">
        <f t="shared" si="29"/>
        <v>Cashman, Michael J., USDA, ARS, Regional Plant Introduction Station, Pullman, Washington, United States</v>
      </c>
      <c r="J173" s="40"/>
    </row>
    <row r="174" spans="1:10" x14ac:dyDescent="0.25">
      <c r="A174" s="40"/>
      <c r="B174" s="40" t="str">
        <f>Master[[#This Row],[Accession Prefix (NPGS)]]&amp;" "&amp;Master[[#This Row],[Accession Number -Assigned]]</f>
        <v xml:space="preserve"> </v>
      </c>
      <c r="C174" s="40" t="str">
        <f t="shared" si="28"/>
        <v>Seeds of Success</v>
      </c>
      <c r="D174" s="40" t="str">
        <f t="shared" si="25"/>
        <v>mm/dd/yyyy</v>
      </c>
      <c r="E174" s="194"/>
      <c r="F174" s="40" t="str">
        <f t="shared" si="26"/>
        <v>mm/dd/yyyy</v>
      </c>
      <c r="G174" s="150"/>
      <c r="H174" s="40" t="str">
        <f t="shared" si="27"/>
        <v>N</v>
      </c>
      <c r="I174" s="30" t="str">
        <f t="shared" si="29"/>
        <v>Cashman, Michael J., USDA, ARS, Regional Plant Introduction Station, Pullman, Washington, United States</v>
      </c>
      <c r="J174" s="40"/>
    </row>
    <row r="175" spans="1:10" x14ac:dyDescent="0.25">
      <c r="A175" s="40"/>
      <c r="B175" s="40" t="str">
        <f>Master[[#This Row],[Accession Prefix (NPGS)]]&amp;" "&amp;Master[[#This Row],[Accession Number -Assigned]]</f>
        <v xml:space="preserve"> </v>
      </c>
      <c r="C175" s="40" t="str">
        <f t="shared" si="28"/>
        <v>Seeds of Success</v>
      </c>
      <c r="D175" s="40" t="str">
        <f t="shared" si="25"/>
        <v>mm/dd/yyyy</v>
      </c>
      <c r="E175" s="194"/>
      <c r="F175" s="40" t="str">
        <f t="shared" si="26"/>
        <v>mm/dd/yyyy</v>
      </c>
      <c r="G175" s="150"/>
      <c r="H175" s="40" t="str">
        <f t="shared" si="27"/>
        <v>N</v>
      </c>
      <c r="I175" s="30" t="str">
        <f t="shared" si="29"/>
        <v>Cashman, Michael J., USDA, ARS, Regional Plant Introduction Station, Pullman, Washington, United States</v>
      </c>
      <c r="J175" s="40"/>
    </row>
    <row r="176" spans="1:10" x14ac:dyDescent="0.25">
      <c r="A176" s="40"/>
      <c r="B176" s="40" t="str">
        <f>Master[[#This Row],[Accession Prefix (NPGS)]]&amp;" "&amp;Master[[#This Row],[Accession Number -Assigned]]</f>
        <v xml:space="preserve"> </v>
      </c>
      <c r="C176" s="40" t="str">
        <f t="shared" si="28"/>
        <v>Seeds of Success</v>
      </c>
      <c r="D176" s="40" t="str">
        <f t="shared" si="25"/>
        <v>mm/dd/yyyy</v>
      </c>
      <c r="E176" s="194"/>
      <c r="F176" s="40" t="str">
        <f t="shared" si="26"/>
        <v>mm/dd/yyyy</v>
      </c>
      <c r="G176" s="150"/>
      <c r="H176" s="40" t="str">
        <f t="shared" si="27"/>
        <v>N</v>
      </c>
      <c r="I176" s="30" t="str">
        <f t="shared" si="29"/>
        <v>Cashman, Michael J., USDA, ARS, Regional Plant Introduction Station, Pullman, Washington, United States</v>
      </c>
      <c r="J176" s="40"/>
    </row>
    <row r="177" spans="1:10" x14ac:dyDescent="0.25">
      <c r="A177" s="40"/>
      <c r="B177" s="40" t="str">
        <f>Master[[#This Row],[Accession Prefix (NPGS)]]&amp;" "&amp;Master[[#This Row],[Accession Number -Assigned]]</f>
        <v xml:space="preserve"> </v>
      </c>
      <c r="C177" s="40" t="str">
        <f t="shared" si="28"/>
        <v>Seeds of Success</v>
      </c>
      <c r="D177" s="40" t="str">
        <f t="shared" si="25"/>
        <v>mm/dd/yyyy</v>
      </c>
      <c r="E177" s="194"/>
      <c r="F177" s="40" t="str">
        <f t="shared" si="26"/>
        <v>mm/dd/yyyy</v>
      </c>
      <c r="G177" s="150"/>
      <c r="H177" s="40" t="str">
        <f t="shared" si="27"/>
        <v>N</v>
      </c>
      <c r="I177" s="30" t="str">
        <f t="shared" si="29"/>
        <v>Cashman, Michael J., USDA, ARS, Regional Plant Introduction Station, Pullman, Washington, United States</v>
      </c>
      <c r="J177" s="40"/>
    </row>
    <row r="178" spans="1:10" x14ac:dyDescent="0.25">
      <c r="A178" s="40"/>
      <c r="B178" s="40" t="str">
        <f>Master[[#This Row],[Accession Prefix (NPGS)]]&amp;" "&amp;Master[[#This Row],[Accession Number -Assigned]]</f>
        <v xml:space="preserve"> </v>
      </c>
      <c r="C178" s="40" t="str">
        <f t="shared" si="28"/>
        <v>Seeds of Success</v>
      </c>
      <c r="D178" s="40" t="str">
        <f t="shared" si="25"/>
        <v>mm/dd/yyyy</v>
      </c>
      <c r="E178" s="194"/>
      <c r="F178" s="40" t="str">
        <f t="shared" si="26"/>
        <v>mm/dd/yyyy</v>
      </c>
      <c r="G178" s="150"/>
      <c r="H178" s="40" t="str">
        <f t="shared" si="27"/>
        <v>N</v>
      </c>
      <c r="I178" s="30" t="str">
        <f t="shared" si="29"/>
        <v>Cashman, Michael J., USDA, ARS, Regional Plant Introduction Station, Pullman, Washington, United States</v>
      </c>
      <c r="J178" s="40"/>
    </row>
    <row r="179" spans="1:10" x14ac:dyDescent="0.25">
      <c r="A179" s="40"/>
      <c r="B179" s="40" t="str">
        <f>Master[[#This Row],[Accession Prefix (NPGS)]]&amp;" "&amp;Master[[#This Row],[Accession Number -Assigned]]</f>
        <v xml:space="preserve"> </v>
      </c>
      <c r="C179" s="40" t="str">
        <f t="shared" si="28"/>
        <v>Seeds of Success</v>
      </c>
      <c r="D179" s="40" t="str">
        <f t="shared" si="25"/>
        <v>mm/dd/yyyy</v>
      </c>
      <c r="E179" s="194"/>
      <c r="F179" s="40" t="str">
        <f t="shared" si="26"/>
        <v>mm/dd/yyyy</v>
      </c>
      <c r="G179" s="150"/>
      <c r="H179" s="40" t="str">
        <f t="shared" si="27"/>
        <v>N</v>
      </c>
      <c r="I179" s="30" t="str">
        <f t="shared" si="29"/>
        <v>Cashman, Michael J., USDA, ARS, Regional Plant Introduction Station, Pullman, Washington, United States</v>
      </c>
      <c r="J179" s="40"/>
    </row>
    <row r="180" spans="1:10" x14ac:dyDescent="0.25">
      <c r="A180" s="40"/>
      <c r="B180" s="40" t="str">
        <f>Master[[#This Row],[Accession Prefix (NPGS)]]&amp;" "&amp;Master[[#This Row],[Accession Number -Assigned]]</f>
        <v xml:space="preserve"> </v>
      </c>
      <c r="C180" s="40" t="str">
        <f t="shared" si="28"/>
        <v>Seeds of Success</v>
      </c>
      <c r="D180" s="40" t="str">
        <f t="shared" si="25"/>
        <v>mm/dd/yyyy</v>
      </c>
      <c r="E180" s="194"/>
      <c r="F180" s="40" t="str">
        <f t="shared" si="26"/>
        <v>mm/dd/yyyy</v>
      </c>
      <c r="G180" s="150"/>
      <c r="H180" s="40" t="str">
        <f t="shared" si="27"/>
        <v>N</v>
      </c>
      <c r="I180" s="30" t="str">
        <f t="shared" si="29"/>
        <v>Cashman, Michael J., USDA, ARS, Regional Plant Introduction Station, Pullman, Washington, United States</v>
      </c>
      <c r="J180" s="40"/>
    </row>
    <row r="181" spans="1:10" x14ac:dyDescent="0.25">
      <c r="A181" s="40"/>
      <c r="B181" s="40" t="str">
        <f>Master[[#This Row],[Accession Prefix (NPGS)]]&amp;" "&amp;Master[[#This Row],[Accession Number -Assigned]]</f>
        <v xml:space="preserve"> </v>
      </c>
      <c r="C181" s="40" t="str">
        <f t="shared" si="28"/>
        <v>Seeds of Success</v>
      </c>
      <c r="D181" s="40" t="str">
        <f t="shared" si="25"/>
        <v>mm/dd/yyyy</v>
      </c>
      <c r="E181" s="194"/>
      <c r="F181" s="40" t="str">
        <f t="shared" si="26"/>
        <v>mm/dd/yyyy</v>
      </c>
      <c r="G181" s="150"/>
      <c r="H181" s="40" t="str">
        <f t="shared" si="27"/>
        <v>N</v>
      </c>
      <c r="I181" s="30" t="str">
        <f t="shared" si="29"/>
        <v>Cashman, Michael J., USDA, ARS, Regional Plant Introduction Station, Pullman, Washington, United States</v>
      </c>
      <c r="J181" s="40"/>
    </row>
    <row r="182" spans="1:10" x14ac:dyDescent="0.25">
      <c r="A182" s="40"/>
      <c r="B182" s="40" t="str">
        <f>Master[[#This Row],[Accession Prefix (NPGS)]]&amp;" "&amp;Master[[#This Row],[Accession Number -Assigned]]</f>
        <v xml:space="preserve"> </v>
      </c>
      <c r="C182" s="40" t="str">
        <f t="shared" si="28"/>
        <v>Seeds of Success</v>
      </c>
      <c r="D182" s="40" t="str">
        <f t="shared" ref="D182:D201" si="30">"mm/dd/yyyy"</f>
        <v>mm/dd/yyyy</v>
      </c>
      <c r="E182" s="194"/>
      <c r="F182" s="40" t="str">
        <f t="shared" ref="F182:F201" si="31">"mm/dd/yyyy"</f>
        <v>mm/dd/yyyy</v>
      </c>
      <c r="G182" s="150"/>
      <c r="H182" s="40" t="str">
        <f t="shared" ref="H182:H201" si="32">"N"</f>
        <v>N</v>
      </c>
      <c r="I182" s="30" t="str">
        <f t="shared" si="29"/>
        <v>Cashman, Michael J., USDA, ARS, Regional Plant Introduction Station, Pullman, Washington, United States</v>
      </c>
      <c r="J182" s="40"/>
    </row>
    <row r="183" spans="1:10" x14ac:dyDescent="0.25">
      <c r="A183" s="40"/>
      <c r="B183" s="40" t="str">
        <f>Master[[#This Row],[Accession Prefix (NPGS)]]&amp;" "&amp;Master[[#This Row],[Accession Number -Assigned]]</f>
        <v xml:space="preserve"> </v>
      </c>
      <c r="C183" s="40" t="str">
        <f t="shared" si="28"/>
        <v>Seeds of Success</v>
      </c>
      <c r="D183" s="40" t="str">
        <f t="shared" si="30"/>
        <v>mm/dd/yyyy</v>
      </c>
      <c r="E183" s="194"/>
      <c r="F183" s="40" t="str">
        <f t="shared" si="31"/>
        <v>mm/dd/yyyy</v>
      </c>
      <c r="G183" s="150"/>
      <c r="H183" s="40" t="str">
        <f t="shared" si="32"/>
        <v>N</v>
      </c>
      <c r="I183" s="30" t="str">
        <f t="shared" si="29"/>
        <v>Cashman, Michael J., USDA, ARS, Regional Plant Introduction Station, Pullman, Washington, United States</v>
      </c>
      <c r="J183" s="40"/>
    </row>
    <row r="184" spans="1:10" x14ac:dyDescent="0.25">
      <c r="A184" s="40"/>
      <c r="B184" s="40" t="str">
        <f>Master[[#This Row],[Accession Prefix (NPGS)]]&amp;" "&amp;Master[[#This Row],[Accession Number -Assigned]]</f>
        <v xml:space="preserve"> </v>
      </c>
      <c r="C184" s="40" t="str">
        <f t="shared" si="28"/>
        <v>Seeds of Success</v>
      </c>
      <c r="D184" s="40" t="str">
        <f t="shared" si="30"/>
        <v>mm/dd/yyyy</v>
      </c>
      <c r="E184" s="194"/>
      <c r="F184" s="40" t="str">
        <f t="shared" si="31"/>
        <v>mm/dd/yyyy</v>
      </c>
      <c r="G184" s="150"/>
      <c r="H184" s="40" t="str">
        <f t="shared" si="32"/>
        <v>N</v>
      </c>
      <c r="I184" s="30" t="str">
        <f t="shared" si="29"/>
        <v>Cashman, Michael J., USDA, ARS, Regional Plant Introduction Station, Pullman, Washington, United States</v>
      </c>
      <c r="J184" s="40"/>
    </row>
    <row r="185" spans="1:10" x14ac:dyDescent="0.25">
      <c r="A185" s="40"/>
      <c r="B185" s="40" t="str">
        <f>Master[[#This Row],[Accession Prefix (NPGS)]]&amp;" "&amp;Master[[#This Row],[Accession Number -Assigned]]</f>
        <v xml:space="preserve"> </v>
      </c>
      <c r="C185" s="40" t="str">
        <f t="shared" si="28"/>
        <v>Seeds of Success</v>
      </c>
      <c r="D185" s="40" t="str">
        <f t="shared" si="30"/>
        <v>mm/dd/yyyy</v>
      </c>
      <c r="E185" s="194"/>
      <c r="F185" s="40" t="str">
        <f t="shared" si="31"/>
        <v>mm/dd/yyyy</v>
      </c>
      <c r="G185" s="150"/>
      <c r="H185" s="40" t="str">
        <f t="shared" si="32"/>
        <v>N</v>
      </c>
      <c r="I185" s="30" t="str">
        <f t="shared" si="29"/>
        <v>Cashman, Michael J., USDA, ARS, Regional Plant Introduction Station, Pullman, Washington, United States</v>
      </c>
      <c r="J185" s="40"/>
    </row>
    <row r="186" spans="1:10" x14ac:dyDescent="0.25">
      <c r="A186" s="40"/>
      <c r="B186" s="40" t="str">
        <f>Master[[#This Row],[Accession Prefix (NPGS)]]&amp;" "&amp;Master[[#This Row],[Accession Number -Assigned]]</f>
        <v xml:space="preserve"> </v>
      </c>
      <c r="C186" s="40" t="str">
        <f t="shared" si="28"/>
        <v>Seeds of Success</v>
      </c>
      <c r="D186" s="40" t="str">
        <f t="shared" si="30"/>
        <v>mm/dd/yyyy</v>
      </c>
      <c r="E186" s="194"/>
      <c r="F186" s="40" t="str">
        <f t="shared" si="31"/>
        <v>mm/dd/yyyy</v>
      </c>
      <c r="G186" s="150"/>
      <c r="H186" s="40" t="str">
        <f t="shared" si="32"/>
        <v>N</v>
      </c>
      <c r="I186" s="30" t="str">
        <f t="shared" si="29"/>
        <v>Cashman, Michael J., USDA, ARS, Regional Plant Introduction Station, Pullman, Washington, United States</v>
      </c>
      <c r="J186" s="40"/>
    </row>
    <row r="187" spans="1:10" x14ac:dyDescent="0.25">
      <c r="A187" s="40"/>
      <c r="B187" s="40" t="str">
        <f>Master[[#This Row],[Accession Prefix (NPGS)]]&amp;" "&amp;Master[[#This Row],[Accession Number -Assigned]]</f>
        <v xml:space="preserve"> </v>
      </c>
      <c r="C187" s="40" t="str">
        <f t="shared" si="28"/>
        <v>Seeds of Success</v>
      </c>
      <c r="D187" s="40" t="str">
        <f t="shared" si="30"/>
        <v>mm/dd/yyyy</v>
      </c>
      <c r="E187" s="194"/>
      <c r="F187" s="40" t="str">
        <f t="shared" si="31"/>
        <v>mm/dd/yyyy</v>
      </c>
      <c r="G187" s="150"/>
      <c r="H187" s="40" t="str">
        <f t="shared" si="32"/>
        <v>N</v>
      </c>
      <c r="I187" s="30" t="str">
        <f t="shared" si="29"/>
        <v>Cashman, Michael J., USDA, ARS, Regional Plant Introduction Station, Pullman, Washington, United States</v>
      </c>
      <c r="J187" s="40"/>
    </row>
    <row r="188" spans="1:10" x14ac:dyDescent="0.25">
      <c r="A188" s="40"/>
      <c r="B188" s="40" t="str">
        <f>Master[[#This Row],[Accession Prefix (NPGS)]]&amp;" "&amp;Master[[#This Row],[Accession Number -Assigned]]</f>
        <v xml:space="preserve"> </v>
      </c>
      <c r="C188" s="40" t="str">
        <f t="shared" si="28"/>
        <v>Seeds of Success</v>
      </c>
      <c r="D188" s="40" t="str">
        <f t="shared" si="30"/>
        <v>mm/dd/yyyy</v>
      </c>
      <c r="E188" s="194"/>
      <c r="F188" s="40" t="str">
        <f t="shared" si="31"/>
        <v>mm/dd/yyyy</v>
      </c>
      <c r="G188" s="150"/>
      <c r="H188" s="40" t="str">
        <f t="shared" si="32"/>
        <v>N</v>
      </c>
      <c r="I188" s="30" t="str">
        <f t="shared" si="29"/>
        <v>Cashman, Michael J., USDA, ARS, Regional Plant Introduction Station, Pullman, Washington, United States</v>
      </c>
      <c r="J188" s="40"/>
    </row>
    <row r="189" spans="1:10" x14ac:dyDescent="0.25">
      <c r="A189" s="40"/>
      <c r="B189" s="40" t="str">
        <f>Master[[#This Row],[Accession Prefix (NPGS)]]&amp;" "&amp;Master[[#This Row],[Accession Number -Assigned]]</f>
        <v xml:space="preserve"> </v>
      </c>
      <c r="C189" s="40" t="str">
        <f t="shared" si="28"/>
        <v>Seeds of Success</v>
      </c>
      <c r="D189" s="40" t="str">
        <f t="shared" si="30"/>
        <v>mm/dd/yyyy</v>
      </c>
      <c r="E189" s="194"/>
      <c r="F189" s="40" t="str">
        <f t="shared" si="31"/>
        <v>mm/dd/yyyy</v>
      </c>
      <c r="G189" s="150"/>
      <c r="H189" s="40" t="str">
        <f t="shared" si="32"/>
        <v>N</v>
      </c>
      <c r="I189" s="30" t="str">
        <f t="shared" si="29"/>
        <v>Cashman, Michael J., USDA, ARS, Regional Plant Introduction Station, Pullman, Washington, United States</v>
      </c>
      <c r="J189" s="40"/>
    </row>
    <row r="190" spans="1:10" x14ac:dyDescent="0.25">
      <c r="A190" s="40"/>
      <c r="B190" s="40" t="str">
        <f>Master[[#This Row],[Accession Prefix (NPGS)]]&amp;" "&amp;Master[[#This Row],[Accession Number -Assigned]]</f>
        <v xml:space="preserve"> </v>
      </c>
      <c r="C190" s="40" t="str">
        <f t="shared" si="28"/>
        <v>Seeds of Success</v>
      </c>
      <c r="D190" s="40" t="str">
        <f t="shared" si="30"/>
        <v>mm/dd/yyyy</v>
      </c>
      <c r="E190" s="194"/>
      <c r="F190" s="40" t="str">
        <f t="shared" si="31"/>
        <v>mm/dd/yyyy</v>
      </c>
      <c r="G190" s="150"/>
      <c r="H190" s="40" t="str">
        <f t="shared" si="32"/>
        <v>N</v>
      </c>
      <c r="I190" s="30" t="str">
        <f t="shared" si="29"/>
        <v>Cashman, Michael J., USDA, ARS, Regional Plant Introduction Station, Pullman, Washington, United States</v>
      </c>
      <c r="J190" s="40"/>
    </row>
    <row r="191" spans="1:10" x14ac:dyDescent="0.25">
      <c r="A191" s="40"/>
      <c r="B191" s="40" t="str">
        <f>Master[[#This Row],[Accession Prefix (NPGS)]]&amp;" "&amp;Master[[#This Row],[Accession Number -Assigned]]</f>
        <v xml:space="preserve"> </v>
      </c>
      <c r="C191" s="40" t="str">
        <f t="shared" si="28"/>
        <v>Seeds of Success</v>
      </c>
      <c r="D191" s="40" t="str">
        <f t="shared" si="30"/>
        <v>mm/dd/yyyy</v>
      </c>
      <c r="E191" s="194"/>
      <c r="F191" s="40" t="str">
        <f t="shared" si="31"/>
        <v>mm/dd/yyyy</v>
      </c>
      <c r="G191" s="150"/>
      <c r="H191" s="40" t="str">
        <f t="shared" si="32"/>
        <v>N</v>
      </c>
      <c r="I191" s="30" t="str">
        <f t="shared" si="29"/>
        <v>Cashman, Michael J., USDA, ARS, Regional Plant Introduction Station, Pullman, Washington, United States</v>
      </c>
      <c r="J191" s="40"/>
    </row>
    <row r="192" spans="1:10" x14ac:dyDescent="0.25">
      <c r="A192" s="40"/>
      <c r="B192" s="40" t="str">
        <f>Master[[#This Row],[Accession Prefix (NPGS)]]&amp;" "&amp;Master[[#This Row],[Accession Number -Assigned]]</f>
        <v xml:space="preserve"> </v>
      </c>
      <c r="C192" s="40" t="str">
        <f t="shared" si="28"/>
        <v>Seeds of Success</v>
      </c>
      <c r="D192" s="40" t="str">
        <f t="shared" si="30"/>
        <v>mm/dd/yyyy</v>
      </c>
      <c r="E192" s="194"/>
      <c r="F192" s="40" t="str">
        <f t="shared" si="31"/>
        <v>mm/dd/yyyy</v>
      </c>
      <c r="G192" s="150"/>
      <c r="H192" s="40" t="str">
        <f t="shared" si="32"/>
        <v>N</v>
      </c>
      <c r="I192" s="30" t="str">
        <f t="shared" si="29"/>
        <v>Cashman, Michael J., USDA, ARS, Regional Plant Introduction Station, Pullman, Washington, United States</v>
      </c>
      <c r="J192" s="40"/>
    </row>
    <row r="193" spans="1:10" x14ac:dyDescent="0.25">
      <c r="A193" s="40"/>
      <c r="B193" s="40" t="str">
        <f>Master[[#This Row],[Accession Prefix (NPGS)]]&amp;" "&amp;Master[[#This Row],[Accession Number -Assigned]]</f>
        <v xml:space="preserve"> </v>
      </c>
      <c r="C193" s="40" t="str">
        <f t="shared" si="28"/>
        <v>Seeds of Success</v>
      </c>
      <c r="D193" s="40" t="str">
        <f t="shared" si="30"/>
        <v>mm/dd/yyyy</v>
      </c>
      <c r="E193" s="194"/>
      <c r="F193" s="40" t="str">
        <f t="shared" si="31"/>
        <v>mm/dd/yyyy</v>
      </c>
      <c r="G193" s="150"/>
      <c r="H193" s="40" t="str">
        <f t="shared" si="32"/>
        <v>N</v>
      </c>
      <c r="I193" s="30" t="str">
        <f t="shared" si="29"/>
        <v>Cashman, Michael J., USDA, ARS, Regional Plant Introduction Station, Pullman, Washington, United States</v>
      </c>
      <c r="J193" s="40"/>
    </row>
    <row r="194" spans="1:10" x14ac:dyDescent="0.25">
      <c r="A194" s="40"/>
      <c r="B194" s="40" t="str">
        <f>Master[[#This Row],[Accession Prefix (NPGS)]]&amp;" "&amp;Master[[#This Row],[Accession Number -Assigned]]</f>
        <v xml:space="preserve"> </v>
      </c>
      <c r="C194" s="40" t="str">
        <f t="shared" ref="C194:C201" si="33">"Seeds of Success"</f>
        <v>Seeds of Success</v>
      </c>
      <c r="D194" s="40" t="str">
        <f t="shared" si="30"/>
        <v>mm/dd/yyyy</v>
      </c>
      <c r="E194" s="194"/>
      <c r="F194" s="40" t="str">
        <f t="shared" si="31"/>
        <v>mm/dd/yyyy</v>
      </c>
      <c r="G194" s="150"/>
      <c r="H194" s="40" t="str">
        <f t="shared" si="32"/>
        <v>N</v>
      </c>
      <c r="I194" s="30" t="str">
        <f t="shared" ref="I194:I201" si="34">"Cashman, Michael J., USDA, ARS, Regional Plant Introduction Station, Pullman, Washington, United States"</f>
        <v>Cashman, Michael J., USDA, ARS, Regional Plant Introduction Station, Pullman, Washington, United States</v>
      </c>
      <c r="J194" s="40"/>
    </row>
    <row r="195" spans="1:10" x14ac:dyDescent="0.25">
      <c r="A195" s="40"/>
      <c r="B195" s="40" t="str">
        <f>Master[[#This Row],[Accession Prefix (NPGS)]]&amp;" "&amp;Master[[#This Row],[Accession Number -Assigned]]</f>
        <v xml:space="preserve"> </v>
      </c>
      <c r="C195" s="40" t="str">
        <f t="shared" si="33"/>
        <v>Seeds of Success</v>
      </c>
      <c r="D195" s="40" t="str">
        <f t="shared" si="30"/>
        <v>mm/dd/yyyy</v>
      </c>
      <c r="E195" s="194"/>
      <c r="F195" s="40" t="str">
        <f t="shared" si="31"/>
        <v>mm/dd/yyyy</v>
      </c>
      <c r="G195" s="150"/>
      <c r="H195" s="40" t="str">
        <f t="shared" si="32"/>
        <v>N</v>
      </c>
      <c r="I195" s="30" t="str">
        <f t="shared" si="34"/>
        <v>Cashman, Michael J., USDA, ARS, Regional Plant Introduction Station, Pullman, Washington, United States</v>
      </c>
      <c r="J195" s="40"/>
    </row>
    <row r="196" spans="1:10" x14ac:dyDescent="0.25">
      <c r="A196" s="40"/>
      <c r="B196" s="40" t="str">
        <f>Master[[#This Row],[Accession Prefix (NPGS)]]&amp;" "&amp;Master[[#This Row],[Accession Number -Assigned]]</f>
        <v xml:space="preserve"> </v>
      </c>
      <c r="C196" s="40" t="str">
        <f t="shared" si="33"/>
        <v>Seeds of Success</v>
      </c>
      <c r="D196" s="40" t="str">
        <f t="shared" si="30"/>
        <v>mm/dd/yyyy</v>
      </c>
      <c r="E196" s="194"/>
      <c r="F196" s="40" t="str">
        <f t="shared" si="31"/>
        <v>mm/dd/yyyy</v>
      </c>
      <c r="G196" s="150"/>
      <c r="H196" s="40" t="str">
        <f t="shared" si="32"/>
        <v>N</v>
      </c>
      <c r="I196" s="30" t="str">
        <f t="shared" si="34"/>
        <v>Cashman, Michael J., USDA, ARS, Regional Plant Introduction Station, Pullman, Washington, United States</v>
      </c>
      <c r="J196" s="40"/>
    </row>
    <row r="197" spans="1:10" x14ac:dyDescent="0.25">
      <c r="A197" s="40"/>
      <c r="B197" s="40" t="str">
        <f>Master[[#This Row],[Accession Prefix (NPGS)]]&amp;" "&amp;Master[[#This Row],[Accession Number -Assigned]]</f>
        <v xml:space="preserve"> </v>
      </c>
      <c r="C197" s="40" t="str">
        <f t="shared" si="33"/>
        <v>Seeds of Success</v>
      </c>
      <c r="D197" s="40" t="str">
        <f t="shared" si="30"/>
        <v>mm/dd/yyyy</v>
      </c>
      <c r="E197" s="194"/>
      <c r="F197" s="40" t="str">
        <f t="shared" si="31"/>
        <v>mm/dd/yyyy</v>
      </c>
      <c r="G197" s="150"/>
      <c r="H197" s="40" t="str">
        <f t="shared" si="32"/>
        <v>N</v>
      </c>
      <c r="I197" s="30" t="str">
        <f t="shared" si="34"/>
        <v>Cashman, Michael J., USDA, ARS, Regional Plant Introduction Station, Pullman, Washington, United States</v>
      </c>
      <c r="J197" s="40"/>
    </row>
    <row r="198" spans="1:10" x14ac:dyDescent="0.25">
      <c r="A198" s="40"/>
      <c r="B198" s="40" t="str">
        <f>Master[[#This Row],[Accession Prefix (NPGS)]]&amp;" "&amp;Master[[#This Row],[Accession Number -Assigned]]</f>
        <v xml:space="preserve"> </v>
      </c>
      <c r="C198" s="40" t="str">
        <f t="shared" si="33"/>
        <v>Seeds of Success</v>
      </c>
      <c r="D198" s="40" t="str">
        <f t="shared" si="30"/>
        <v>mm/dd/yyyy</v>
      </c>
      <c r="E198" s="194"/>
      <c r="F198" s="40" t="str">
        <f t="shared" si="31"/>
        <v>mm/dd/yyyy</v>
      </c>
      <c r="G198" s="150"/>
      <c r="H198" s="40" t="str">
        <f t="shared" si="32"/>
        <v>N</v>
      </c>
      <c r="I198" s="30" t="str">
        <f t="shared" si="34"/>
        <v>Cashman, Michael J., USDA, ARS, Regional Plant Introduction Station, Pullman, Washington, United States</v>
      </c>
      <c r="J198" s="40"/>
    </row>
    <row r="199" spans="1:10" x14ac:dyDescent="0.25">
      <c r="A199" s="40"/>
      <c r="B199" s="40" t="str">
        <f>Master[[#This Row],[Accession Prefix (NPGS)]]&amp;" "&amp;Master[[#This Row],[Accession Number -Assigned]]</f>
        <v xml:space="preserve"> </v>
      </c>
      <c r="C199" s="40" t="str">
        <f t="shared" si="33"/>
        <v>Seeds of Success</v>
      </c>
      <c r="D199" s="40" t="str">
        <f t="shared" si="30"/>
        <v>mm/dd/yyyy</v>
      </c>
      <c r="E199" s="194"/>
      <c r="F199" s="40" t="str">
        <f t="shared" si="31"/>
        <v>mm/dd/yyyy</v>
      </c>
      <c r="G199" s="150"/>
      <c r="H199" s="40" t="str">
        <f t="shared" si="32"/>
        <v>N</v>
      </c>
      <c r="I199" s="30" t="str">
        <f t="shared" si="34"/>
        <v>Cashman, Michael J., USDA, ARS, Regional Plant Introduction Station, Pullman, Washington, United States</v>
      </c>
      <c r="J199" s="40"/>
    </row>
    <row r="200" spans="1:10" x14ac:dyDescent="0.25">
      <c r="A200" s="40"/>
      <c r="B200" s="40" t="str">
        <f>Master[[#This Row],[Accession Prefix (NPGS)]]&amp;" "&amp;Master[[#This Row],[Accession Number -Assigned]]</f>
        <v xml:space="preserve"> </v>
      </c>
      <c r="C200" s="40" t="str">
        <f t="shared" si="33"/>
        <v>Seeds of Success</v>
      </c>
      <c r="D200" s="40" t="str">
        <f t="shared" si="30"/>
        <v>mm/dd/yyyy</v>
      </c>
      <c r="E200" s="194"/>
      <c r="F200" s="40" t="str">
        <f t="shared" si="31"/>
        <v>mm/dd/yyyy</v>
      </c>
      <c r="G200" s="150"/>
      <c r="H200" s="40" t="str">
        <f t="shared" si="32"/>
        <v>N</v>
      </c>
      <c r="I200" s="30" t="str">
        <f t="shared" si="34"/>
        <v>Cashman, Michael J., USDA, ARS, Regional Plant Introduction Station, Pullman, Washington, United States</v>
      </c>
      <c r="J200" s="40"/>
    </row>
    <row r="201" spans="1:10" x14ac:dyDescent="0.25">
      <c r="A201" s="40"/>
      <c r="B201" s="40"/>
      <c r="C201" s="40" t="str">
        <f t="shared" si="33"/>
        <v>Seeds of Success</v>
      </c>
      <c r="D201" s="40" t="str">
        <f t="shared" si="30"/>
        <v>mm/dd/yyyy</v>
      </c>
      <c r="E201" s="194"/>
      <c r="F201" s="40" t="str">
        <f t="shared" si="31"/>
        <v>mm/dd/yyyy</v>
      </c>
      <c r="G201" s="150"/>
      <c r="H201" s="40" t="str">
        <f t="shared" si="32"/>
        <v>N</v>
      </c>
      <c r="I201" s="30" t="str">
        <f t="shared" si="34"/>
        <v>Cashman, Michael J., USDA, ARS, Regional Plant Introduction Station, Pullman, Washington, United States</v>
      </c>
      <c r="J201" s="40"/>
    </row>
    <row r="202" spans="1:10" x14ac:dyDescent="0.25">
      <c r="A202" s="40" t="s">
        <v>788</v>
      </c>
      <c r="B202" s="40"/>
      <c r="C202" s="40"/>
      <c r="D202" s="40"/>
      <c r="E202" s="208"/>
      <c r="F202" s="40"/>
      <c r="G202" s="40"/>
      <c r="H202" s="40"/>
      <c r="I202" s="40"/>
      <c r="J202" s="40">
        <f>SUBTOTAL(103,AccAction[Note])</f>
        <v>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K201"/>
  <sheetViews>
    <sheetView workbookViewId="0">
      <selection activeCell="A2" sqref="A2"/>
    </sheetView>
  </sheetViews>
  <sheetFormatPr defaultColWidth="9.140625" defaultRowHeight="15" x14ac:dyDescent="0.25"/>
  <cols>
    <col min="1" max="1" width="9.85546875" style="141" customWidth="1"/>
    <col min="2" max="2" width="12.85546875" style="141" bestFit="1" customWidth="1"/>
    <col min="3" max="3" width="19.85546875" style="141" bestFit="1" customWidth="1"/>
    <col min="4" max="4" width="13.42578125" style="141" customWidth="1"/>
    <col min="5" max="5" width="12.5703125" style="9" customWidth="1"/>
    <col min="6" max="6" width="13.85546875" style="9" customWidth="1"/>
    <col min="7" max="7" width="11.28515625" style="9" customWidth="1"/>
    <col min="8" max="8" width="7.5703125" style="9" customWidth="1"/>
    <col min="9" max="9" width="78" style="9" bestFit="1" customWidth="1"/>
    <col min="10" max="10" width="21.28515625" style="9" customWidth="1"/>
    <col min="11" max="16384" width="9.140625" style="141"/>
  </cols>
  <sheetData>
    <row r="1" spans="1:11" s="116" customFormat="1" ht="45" x14ac:dyDescent="0.25">
      <c r="A1" s="124" t="s">
        <v>48</v>
      </c>
      <c r="B1" s="125" t="s">
        <v>10</v>
      </c>
      <c r="C1" s="125" t="s">
        <v>49</v>
      </c>
      <c r="D1" s="124" t="s">
        <v>50</v>
      </c>
      <c r="E1" s="124" t="s">
        <v>51</v>
      </c>
      <c r="F1" s="124" t="s">
        <v>52</v>
      </c>
      <c r="G1" s="124" t="s">
        <v>53</v>
      </c>
      <c r="H1" s="124" t="s">
        <v>54</v>
      </c>
      <c r="I1" s="124" t="s">
        <v>55</v>
      </c>
      <c r="J1" s="124" t="s">
        <v>486</v>
      </c>
      <c r="K1" s="131" t="s">
        <v>9</v>
      </c>
    </row>
    <row r="2" spans="1:11" ht="15.75" x14ac:dyDescent="0.25">
      <c r="A2" s="1"/>
      <c r="B2" s="30" t="str">
        <f>Master[[#This Row],[Accession Prefix (NPGS)]]&amp;" "&amp;Master[[#This Row],[Accession Number -Assigned]]</f>
        <v>W6 57036</v>
      </c>
      <c r="C2" s="30" t="str">
        <f t="shared" ref="C2:C33" si="0">"Historic documents"</f>
        <v>Historic documents</v>
      </c>
      <c r="D2" s="30" t="str">
        <f>"mm/dd/yyyy"</f>
        <v>mm/dd/yyyy</v>
      </c>
      <c r="E2" s="154">
        <f>IF(Master[[#This Row],[Received Date -received by site]]="","",Master[[#This Row],[Received Date -received by site]])</f>
        <v>43734</v>
      </c>
      <c r="F2" s="30" t="str">
        <f>"mm/dd/yyyy"</f>
        <v>mm/dd/yyyy</v>
      </c>
      <c r="G2" s="39">
        <f ca="1">IF(AccAction26[[#This Row],[Started Date]]&lt;&gt;"",NOW(),"")</f>
        <v>44473.688311342594</v>
      </c>
      <c r="H2" s="30" t="str">
        <f>"N"</f>
        <v>N</v>
      </c>
      <c r="I2" s="30" t="str">
        <f t="shared" ref="I2" si="1">"Estrada, Stacey, USDA, ARS, NCRPIS, Iowa State University, Ames, Iowa, United States"</f>
        <v>Estrada, Stacey, USDA, ARS, NCRPIS, Iowa State University, Ames, Iowa, United States</v>
      </c>
      <c r="J2" s="30" t="str">
        <f t="shared" ref="J2:J33" si="2">"NC7.DOC.PASSPORT"</f>
        <v>NC7.DOC.PASSPORT</v>
      </c>
      <c r="K2" s="40"/>
    </row>
    <row r="3" spans="1:11" x14ac:dyDescent="0.25">
      <c r="A3" s="30"/>
      <c r="B3" s="58" t="str">
        <f>Master[[#This Row],[Accession Prefix (NPGS)]]&amp;" "&amp;Master[[#This Row],[Accession Number -Assigned]]</f>
        <v xml:space="preserve">W6 </v>
      </c>
      <c r="C3" s="58" t="str">
        <f t="shared" si="0"/>
        <v>Historic documents</v>
      </c>
      <c r="D3" s="58" t="str">
        <f t="shared" ref="D3:D66" si="3">"mm/dd/yyyy"</f>
        <v>mm/dd/yyyy</v>
      </c>
      <c r="E3" s="155" t="str">
        <f>IF(Master[[#This Row],[Received Date -received by site]]="","",Master[[#This Row],[Received Date -received by site]])</f>
        <v/>
      </c>
      <c r="F3" s="58" t="str">
        <f t="shared" ref="F3:F66" si="4">"mm/dd/yyyy"</f>
        <v>mm/dd/yyyy</v>
      </c>
      <c r="G3" s="61" t="str">
        <f ca="1">IF(AccAction26[[#This Row],[Started Date]]&lt;&gt;"",NOW(),"")</f>
        <v/>
      </c>
      <c r="H3" s="58" t="str">
        <f t="shared" ref="H3:H66" si="5">"N"</f>
        <v>N</v>
      </c>
      <c r="I3" s="58"/>
      <c r="J3" s="58" t="str">
        <f t="shared" si="2"/>
        <v>NC7.DOC.PASSPORT</v>
      </c>
      <c r="K3" s="62"/>
    </row>
    <row r="4" spans="1:11" x14ac:dyDescent="0.25">
      <c r="A4" s="30"/>
      <c r="B4" s="58" t="str">
        <f>Master[[#This Row],[Accession Prefix (NPGS)]]&amp;" "&amp;Master[[#This Row],[Accession Number -Assigned]]</f>
        <v>W6 59590</v>
      </c>
      <c r="C4" s="58" t="str">
        <f t="shared" si="0"/>
        <v>Historic documents</v>
      </c>
      <c r="D4" s="58" t="str">
        <f t="shared" si="3"/>
        <v>mm/dd/yyyy</v>
      </c>
      <c r="E4" s="155">
        <f>IF(Master[[#This Row],[Received Date -received by site]]="","",Master[[#This Row],[Received Date -received by site]])</f>
        <v>44466</v>
      </c>
      <c r="F4" s="58" t="str">
        <f t="shared" si="4"/>
        <v>mm/dd/yyyy</v>
      </c>
      <c r="G4" s="61">
        <f ca="1">IF(AccAction26[[#This Row],[Started Date]]&lt;&gt;"",NOW(),"")</f>
        <v>44473.688311342594</v>
      </c>
      <c r="H4" s="58" t="str">
        <f t="shared" si="5"/>
        <v>N</v>
      </c>
      <c r="I4" s="58"/>
      <c r="J4" s="58" t="str">
        <f t="shared" si="2"/>
        <v>NC7.DOC.PASSPORT</v>
      </c>
      <c r="K4" s="62"/>
    </row>
    <row r="5" spans="1:11" x14ac:dyDescent="0.25">
      <c r="A5" s="30"/>
      <c r="B5" s="58" t="str">
        <f>Master[[#This Row],[Accession Prefix (NPGS)]]&amp;" "&amp;Master[[#This Row],[Accession Number -Assigned]]</f>
        <v>W6 59591</v>
      </c>
      <c r="C5" s="58" t="str">
        <f t="shared" si="0"/>
        <v>Historic documents</v>
      </c>
      <c r="D5" s="58" t="str">
        <f t="shared" si="3"/>
        <v>mm/dd/yyyy</v>
      </c>
      <c r="E5" s="155">
        <f>IF(Master[[#This Row],[Received Date -received by site]]="","",Master[[#This Row],[Received Date -received by site]])</f>
        <v>44466</v>
      </c>
      <c r="F5" s="58" t="str">
        <f t="shared" si="4"/>
        <v>mm/dd/yyyy</v>
      </c>
      <c r="G5" s="61">
        <f ca="1">IF(AccAction26[[#This Row],[Started Date]]&lt;&gt;"",NOW(),"")</f>
        <v>44473.688311342594</v>
      </c>
      <c r="H5" s="58" t="str">
        <f t="shared" si="5"/>
        <v>N</v>
      </c>
      <c r="I5" s="58"/>
      <c r="J5" s="58" t="str">
        <f t="shared" si="2"/>
        <v>NC7.DOC.PASSPORT</v>
      </c>
      <c r="K5" s="62"/>
    </row>
    <row r="6" spans="1:11" x14ac:dyDescent="0.25">
      <c r="A6" s="30"/>
      <c r="B6" s="58" t="str">
        <f>Master[[#This Row],[Accession Prefix (NPGS)]]&amp;" "&amp;Master[[#This Row],[Accession Number -Assigned]]</f>
        <v>W6 59592</v>
      </c>
      <c r="C6" s="58" t="str">
        <f t="shared" si="0"/>
        <v>Historic documents</v>
      </c>
      <c r="D6" s="58" t="str">
        <f t="shared" si="3"/>
        <v>mm/dd/yyyy</v>
      </c>
      <c r="E6" s="155">
        <f>IF(Master[[#This Row],[Received Date -received by site]]="","",Master[[#This Row],[Received Date -received by site]])</f>
        <v>44466</v>
      </c>
      <c r="F6" s="58" t="str">
        <f t="shared" si="4"/>
        <v>mm/dd/yyyy</v>
      </c>
      <c r="G6" s="61">
        <f ca="1">IF(AccAction26[[#This Row],[Started Date]]&lt;&gt;"",NOW(),"")</f>
        <v>44473.688311342594</v>
      </c>
      <c r="H6" s="58" t="str">
        <f t="shared" si="5"/>
        <v>N</v>
      </c>
      <c r="I6" s="58"/>
      <c r="J6" s="58" t="str">
        <f t="shared" si="2"/>
        <v>NC7.DOC.PASSPORT</v>
      </c>
      <c r="K6" s="62"/>
    </row>
    <row r="7" spans="1:11" x14ac:dyDescent="0.25">
      <c r="A7" s="30"/>
      <c r="B7" s="58" t="str">
        <f>Master[[#This Row],[Accession Prefix (NPGS)]]&amp;" "&amp;Master[[#This Row],[Accession Number -Assigned]]</f>
        <v>W6 59593</v>
      </c>
      <c r="C7" s="58" t="str">
        <f t="shared" si="0"/>
        <v>Historic documents</v>
      </c>
      <c r="D7" s="58" t="str">
        <f t="shared" si="3"/>
        <v>mm/dd/yyyy</v>
      </c>
      <c r="E7" s="155">
        <f>IF(Master[[#This Row],[Received Date -received by site]]="","",Master[[#This Row],[Received Date -received by site]])</f>
        <v>44466</v>
      </c>
      <c r="F7" s="58" t="str">
        <f t="shared" si="4"/>
        <v>mm/dd/yyyy</v>
      </c>
      <c r="G7" s="61">
        <f ca="1">IF(AccAction26[[#This Row],[Started Date]]&lt;&gt;"",NOW(),"")</f>
        <v>44473.688311342594</v>
      </c>
      <c r="H7" s="58" t="str">
        <f t="shared" si="5"/>
        <v>N</v>
      </c>
      <c r="I7" s="58"/>
      <c r="J7" s="58" t="str">
        <f t="shared" si="2"/>
        <v>NC7.DOC.PASSPORT</v>
      </c>
      <c r="K7" s="62"/>
    </row>
    <row r="8" spans="1:11" x14ac:dyDescent="0.25">
      <c r="A8" s="30"/>
      <c r="B8" s="58" t="str">
        <f>Master[[#This Row],[Accession Prefix (NPGS)]]&amp;" "&amp;Master[[#This Row],[Accession Number -Assigned]]</f>
        <v>W6 59594</v>
      </c>
      <c r="C8" s="58" t="str">
        <f t="shared" si="0"/>
        <v>Historic documents</v>
      </c>
      <c r="D8" s="58" t="str">
        <f t="shared" si="3"/>
        <v>mm/dd/yyyy</v>
      </c>
      <c r="E8" s="155">
        <f>IF(Master[[#This Row],[Received Date -received by site]]="","",Master[[#This Row],[Received Date -received by site]])</f>
        <v>44466</v>
      </c>
      <c r="F8" s="58" t="str">
        <f t="shared" si="4"/>
        <v>mm/dd/yyyy</v>
      </c>
      <c r="G8" s="61">
        <f ca="1">IF(AccAction26[[#This Row],[Started Date]]&lt;&gt;"",NOW(),"")</f>
        <v>44473.688311342594</v>
      </c>
      <c r="H8" s="58" t="str">
        <f t="shared" si="5"/>
        <v>N</v>
      </c>
      <c r="I8" s="58"/>
      <c r="J8" s="58" t="str">
        <f t="shared" si="2"/>
        <v>NC7.DOC.PASSPORT</v>
      </c>
      <c r="K8" s="62"/>
    </row>
    <row r="9" spans="1:11" x14ac:dyDescent="0.25">
      <c r="A9" s="30"/>
      <c r="B9" s="58" t="str">
        <f>Master[[#This Row],[Accession Prefix (NPGS)]]&amp;" "&amp;Master[[#This Row],[Accession Number -Assigned]]</f>
        <v>W6 59595</v>
      </c>
      <c r="C9" s="58" t="str">
        <f t="shared" si="0"/>
        <v>Historic documents</v>
      </c>
      <c r="D9" s="58" t="str">
        <f t="shared" si="3"/>
        <v>mm/dd/yyyy</v>
      </c>
      <c r="E9" s="155">
        <f>IF(Master[[#This Row],[Received Date -received by site]]="","",Master[[#This Row],[Received Date -received by site]])</f>
        <v>44466</v>
      </c>
      <c r="F9" s="58" t="str">
        <f t="shared" si="4"/>
        <v>mm/dd/yyyy</v>
      </c>
      <c r="G9" s="61">
        <f ca="1">IF(AccAction26[[#This Row],[Started Date]]&lt;&gt;"",NOW(),"")</f>
        <v>44473.688311342594</v>
      </c>
      <c r="H9" s="58" t="str">
        <f t="shared" si="5"/>
        <v>N</v>
      </c>
      <c r="I9" s="58"/>
      <c r="J9" s="58" t="str">
        <f t="shared" si="2"/>
        <v>NC7.DOC.PASSPORT</v>
      </c>
      <c r="K9" s="62"/>
    </row>
    <row r="10" spans="1:11" x14ac:dyDescent="0.25">
      <c r="A10" s="30"/>
      <c r="B10" s="58" t="str">
        <f>Master[[#This Row],[Accession Prefix (NPGS)]]&amp;" "&amp;Master[[#This Row],[Accession Number -Assigned]]</f>
        <v>W6 59596</v>
      </c>
      <c r="C10" s="58" t="str">
        <f t="shared" si="0"/>
        <v>Historic documents</v>
      </c>
      <c r="D10" s="58" t="str">
        <f t="shared" si="3"/>
        <v>mm/dd/yyyy</v>
      </c>
      <c r="E10" s="155">
        <f>IF(Master[[#This Row],[Received Date -received by site]]="","",Master[[#This Row],[Received Date -received by site]])</f>
        <v>44466</v>
      </c>
      <c r="F10" s="58" t="str">
        <f t="shared" si="4"/>
        <v>mm/dd/yyyy</v>
      </c>
      <c r="G10" s="61">
        <f ca="1">IF(AccAction26[[#This Row],[Started Date]]&lt;&gt;"",NOW(),"")</f>
        <v>44473.688311342594</v>
      </c>
      <c r="H10" s="58" t="str">
        <f t="shared" si="5"/>
        <v>N</v>
      </c>
      <c r="I10" s="58"/>
      <c r="J10" s="58" t="str">
        <f t="shared" si="2"/>
        <v>NC7.DOC.PASSPORT</v>
      </c>
      <c r="K10" s="62"/>
    </row>
    <row r="11" spans="1:11" x14ac:dyDescent="0.25">
      <c r="A11" s="30"/>
      <c r="B11" s="58" t="str">
        <f>Master[[#This Row],[Accession Prefix (NPGS)]]&amp;" "&amp;Master[[#This Row],[Accession Number -Assigned]]</f>
        <v>W6 59597</v>
      </c>
      <c r="C11" s="58" t="str">
        <f t="shared" si="0"/>
        <v>Historic documents</v>
      </c>
      <c r="D11" s="58" t="str">
        <f t="shared" si="3"/>
        <v>mm/dd/yyyy</v>
      </c>
      <c r="E11" s="155">
        <f>IF(Master[[#This Row],[Received Date -received by site]]="","",Master[[#This Row],[Received Date -received by site]])</f>
        <v>44466</v>
      </c>
      <c r="F11" s="58" t="str">
        <f t="shared" si="4"/>
        <v>mm/dd/yyyy</v>
      </c>
      <c r="G11" s="61">
        <f ca="1">IF(AccAction26[[#This Row],[Started Date]]&lt;&gt;"",NOW(),"")</f>
        <v>44473.688311342594</v>
      </c>
      <c r="H11" s="58" t="str">
        <f t="shared" si="5"/>
        <v>N</v>
      </c>
      <c r="I11" s="58"/>
      <c r="J11" s="58" t="str">
        <f t="shared" si="2"/>
        <v>NC7.DOC.PASSPORT</v>
      </c>
      <c r="K11" s="62"/>
    </row>
    <row r="12" spans="1:11" x14ac:dyDescent="0.25">
      <c r="A12" s="30"/>
      <c r="B12" s="58" t="str">
        <f>Master[[#This Row],[Accession Prefix (NPGS)]]&amp;" "&amp;Master[[#This Row],[Accession Number -Assigned]]</f>
        <v>W6 59598</v>
      </c>
      <c r="C12" s="58" t="str">
        <f t="shared" si="0"/>
        <v>Historic documents</v>
      </c>
      <c r="D12" s="58" t="str">
        <f t="shared" si="3"/>
        <v>mm/dd/yyyy</v>
      </c>
      <c r="E12" s="155">
        <f>IF(Master[[#This Row],[Received Date -received by site]]="","",Master[[#This Row],[Received Date -received by site]])</f>
        <v>44466</v>
      </c>
      <c r="F12" s="58" t="str">
        <f t="shared" si="4"/>
        <v>mm/dd/yyyy</v>
      </c>
      <c r="G12" s="61">
        <f ca="1">IF(AccAction26[[#This Row],[Started Date]]&lt;&gt;"",NOW(),"")</f>
        <v>44473.688311342594</v>
      </c>
      <c r="H12" s="58" t="str">
        <f t="shared" si="5"/>
        <v>N</v>
      </c>
      <c r="I12" s="58"/>
      <c r="J12" s="58" t="str">
        <f t="shared" si="2"/>
        <v>NC7.DOC.PASSPORT</v>
      </c>
      <c r="K12" s="62"/>
    </row>
    <row r="13" spans="1:11" x14ac:dyDescent="0.25">
      <c r="A13" s="30"/>
      <c r="B13" s="58" t="str">
        <f>Master[[#This Row],[Accession Prefix (NPGS)]]&amp;" "&amp;Master[[#This Row],[Accession Number -Assigned]]</f>
        <v>W6 59599</v>
      </c>
      <c r="C13" s="58" t="str">
        <f t="shared" si="0"/>
        <v>Historic documents</v>
      </c>
      <c r="D13" s="58" t="str">
        <f t="shared" si="3"/>
        <v>mm/dd/yyyy</v>
      </c>
      <c r="E13" s="155">
        <f>IF(Master[[#This Row],[Received Date -received by site]]="","",Master[[#This Row],[Received Date -received by site]])</f>
        <v>44466</v>
      </c>
      <c r="F13" s="58" t="str">
        <f t="shared" si="4"/>
        <v>mm/dd/yyyy</v>
      </c>
      <c r="G13" s="61">
        <f ca="1">IF(AccAction26[[#This Row],[Started Date]]&lt;&gt;"",NOW(),"")</f>
        <v>44473.688311342594</v>
      </c>
      <c r="H13" s="58" t="str">
        <f t="shared" si="5"/>
        <v>N</v>
      </c>
      <c r="I13" s="58"/>
      <c r="J13" s="58" t="str">
        <f t="shared" si="2"/>
        <v>NC7.DOC.PASSPORT</v>
      </c>
      <c r="K13" s="62"/>
    </row>
    <row r="14" spans="1:11" x14ac:dyDescent="0.25">
      <c r="A14" s="30"/>
      <c r="B14" s="58" t="str">
        <f>Master[[#This Row],[Accession Prefix (NPGS)]]&amp;" "&amp;Master[[#This Row],[Accession Number -Assigned]]</f>
        <v>W6 59600</v>
      </c>
      <c r="C14" s="58" t="str">
        <f t="shared" si="0"/>
        <v>Historic documents</v>
      </c>
      <c r="D14" s="58" t="str">
        <f t="shared" si="3"/>
        <v>mm/dd/yyyy</v>
      </c>
      <c r="E14" s="155">
        <f>IF(Master[[#This Row],[Received Date -received by site]]="","",Master[[#This Row],[Received Date -received by site]])</f>
        <v>44466</v>
      </c>
      <c r="F14" s="58" t="str">
        <f t="shared" si="4"/>
        <v>mm/dd/yyyy</v>
      </c>
      <c r="G14" s="61">
        <f ca="1">IF(AccAction26[[#This Row],[Started Date]]&lt;&gt;"",NOW(),"")</f>
        <v>44473.688311342594</v>
      </c>
      <c r="H14" s="58" t="str">
        <f t="shared" si="5"/>
        <v>N</v>
      </c>
      <c r="I14" s="58"/>
      <c r="J14" s="58" t="str">
        <f t="shared" si="2"/>
        <v>NC7.DOC.PASSPORT</v>
      </c>
      <c r="K14" s="62"/>
    </row>
    <row r="15" spans="1:11" x14ac:dyDescent="0.25">
      <c r="A15" s="30"/>
      <c r="B15" s="58" t="str">
        <f>Master[[#This Row],[Accession Prefix (NPGS)]]&amp;" "&amp;Master[[#This Row],[Accession Number -Assigned]]</f>
        <v>W6 59601</v>
      </c>
      <c r="C15" s="58" t="str">
        <f t="shared" si="0"/>
        <v>Historic documents</v>
      </c>
      <c r="D15" s="58" t="str">
        <f t="shared" si="3"/>
        <v>mm/dd/yyyy</v>
      </c>
      <c r="E15" s="155">
        <f>IF(Master[[#This Row],[Received Date -received by site]]="","",Master[[#This Row],[Received Date -received by site]])</f>
        <v>44466</v>
      </c>
      <c r="F15" s="58" t="str">
        <f t="shared" si="4"/>
        <v>mm/dd/yyyy</v>
      </c>
      <c r="G15" s="61">
        <f ca="1">IF(AccAction26[[#This Row],[Started Date]]&lt;&gt;"",NOW(),"")</f>
        <v>44473.688311342594</v>
      </c>
      <c r="H15" s="58" t="str">
        <f t="shared" si="5"/>
        <v>N</v>
      </c>
      <c r="I15" s="58"/>
      <c r="J15" s="58" t="str">
        <f t="shared" si="2"/>
        <v>NC7.DOC.PASSPORT</v>
      </c>
      <c r="K15" s="62"/>
    </row>
    <row r="16" spans="1:11" x14ac:dyDescent="0.25">
      <c r="A16" s="30"/>
      <c r="B16" s="58" t="str">
        <f>Master[[#This Row],[Accession Prefix (NPGS)]]&amp;" "&amp;Master[[#This Row],[Accession Number -Assigned]]</f>
        <v>W6 59602</v>
      </c>
      <c r="C16" s="58" t="str">
        <f t="shared" si="0"/>
        <v>Historic documents</v>
      </c>
      <c r="D16" s="58" t="str">
        <f t="shared" si="3"/>
        <v>mm/dd/yyyy</v>
      </c>
      <c r="E16" s="155">
        <f>IF(Master[[#This Row],[Received Date -received by site]]="","",Master[[#This Row],[Received Date -received by site]])</f>
        <v>44466</v>
      </c>
      <c r="F16" s="58" t="str">
        <f t="shared" si="4"/>
        <v>mm/dd/yyyy</v>
      </c>
      <c r="G16" s="61">
        <f ca="1">IF(AccAction26[[#This Row],[Started Date]]&lt;&gt;"",NOW(),"")</f>
        <v>44473.688311342594</v>
      </c>
      <c r="H16" s="58" t="str">
        <f t="shared" si="5"/>
        <v>N</v>
      </c>
      <c r="I16" s="58"/>
      <c r="J16" s="58" t="str">
        <f t="shared" si="2"/>
        <v>NC7.DOC.PASSPORT</v>
      </c>
      <c r="K16" s="62"/>
    </row>
    <row r="17" spans="1:11" x14ac:dyDescent="0.25">
      <c r="A17" s="30"/>
      <c r="B17" s="58" t="str">
        <f>Master[[#This Row],[Accession Prefix (NPGS)]]&amp;" "&amp;Master[[#This Row],[Accession Number -Assigned]]</f>
        <v>W6 59603</v>
      </c>
      <c r="C17" s="58" t="str">
        <f t="shared" si="0"/>
        <v>Historic documents</v>
      </c>
      <c r="D17" s="58" t="str">
        <f t="shared" si="3"/>
        <v>mm/dd/yyyy</v>
      </c>
      <c r="E17" s="155">
        <f>IF(Master[[#This Row],[Received Date -received by site]]="","",Master[[#This Row],[Received Date -received by site]])</f>
        <v>44466</v>
      </c>
      <c r="F17" s="58" t="str">
        <f t="shared" si="4"/>
        <v>mm/dd/yyyy</v>
      </c>
      <c r="G17" s="61">
        <f ca="1">IF(AccAction26[[#This Row],[Started Date]]&lt;&gt;"",NOW(),"")</f>
        <v>44473.688311342594</v>
      </c>
      <c r="H17" s="58" t="str">
        <f t="shared" si="5"/>
        <v>N</v>
      </c>
      <c r="I17" s="58"/>
      <c r="J17" s="58" t="str">
        <f t="shared" si="2"/>
        <v>NC7.DOC.PASSPORT</v>
      </c>
      <c r="K17" s="62"/>
    </row>
    <row r="18" spans="1:11" x14ac:dyDescent="0.25">
      <c r="A18" s="30"/>
      <c r="B18" s="58" t="str">
        <f>Master[[#This Row],[Accession Prefix (NPGS)]]&amp;" "&amp;Master[[#This Row],[Accession Number -Assigned]]</f>
        <v>W6 59604</v>
      </c>
      <c r="C18" s="58" t="str">
        <f t="shared" si="0"/>
        <v>Historic documents</v>
      </c>
      <c r="D18" s="58" t="str">
        <f t="shared" si="3"/>
        <v>mm/dd/yyyy</v>
      </c>
      <c r="E18" s="155">
        <f>IF(Master[[#This Row],[Received Date -received by site]]="","",Master[[#This Row],[Received Date -received by site]])</f>
        <v>44466</v>
      </c>
      <c r="F18" s="58" t="str">
        <f t="shared" si="4"/>
        <v>mm/dd/yyyy</v>
      </c>
      <c r="G18" s="61">
        <f ca="1">IF(AccAction26[[#This Row],[Started Date]]&lt;&gt;"",NOW(),"")</f>
        <v>44473.688311342594</v>
      </c>
      <c r="H18" s="58" t="str">
        <f t="shared" si="5"/>
        <v>N</v>
      </c>
      <c r="I18" s="58"/>
      <c r="J18" s="58" t="str">
        <f t="shared" si="2"/>
        <v>NC7.DOC.PASSPORT</v>
      </c>
      <c r="K18" s="62"/>
    </row>
    <row r="19" spans="1:11" x14ac:dyDescent="0.25">
      <c r="A19" s="30"/>
      <c r="B19" s="58" t="str">
        <f>Master[[#This Row],[Accession Prefix (NPGS)]]&amp;" "&amp;Master[[#This Row],[Accession Number -Assigned]]</f>
        <v>W6 59605</v>
      </c>
      <c r="C19" s="58" t="str">
        <f t="shared" si="0"/>
        <v>Historic documents</v>
      </c>
      <c r="D19" s="58" t="str">
        <f t="shared" si="3"/>
        <v>mm/dd/yyyy</v>
      </c>
      <c r="E19" s="155">
        <f>IF(Master[[#This Row],[Received Date -received by site]]="","",Master[[#This Row],[Received Date -received by site]])</f>
        <v>44466</v>
      </c>
      <c r="F19" s="58" t="str">
        <f t="shared" si="4"/>
        <v>mm/dd/yyyy</v>
      </c>
      <c r="G19" s="61">
        <f ca="1">IF(AccAction26[[#This Row],[Started Date]]&lt;&gt;"",NOW(),"")</f>
        <v>44473.688311342594</v>
      </c>
      <c r="H19" s="58" t="str">
        <f t="shared" si="5"/>
        <v>N</v>
      </c>
      <c r="I19" s="58"/>
      <c r="J19" s="58" t="str">
        <f t="shared" si="2"/>
        <v>NC7.DOC.PASSPORT</v>
      </c>
      <c r="K19" s="62"/>
    </row>
    <row r="20" spans="1:11" x14ac:dyDescent="0.25">
      <c r="A20" s="30"/>
      <c r="B20" s="58" t="str">
        <f>Master[[#This Row],[Accession Prefix (NPGS)]]&amp;" "&amp;Master[[#This Row],[Accession Number -Assigned]]</f>
        <v>W6 59606</v>
      </c>
      <c r="C20" s="58" t="str">
        <f t="shared" si="0"/>
        <v>Historic documents</v>
      </c>
      <c r="D20" s="58" t="str">
        <f t="shared" si="3"/>
        <v>mm/dd/yyyy</v>
      </c>
      <c r="E20" s="155">
        <f>IF(Master[[#This Row],[Received Date -received by site]]="","",Master[[#This Row],[Received Date -received by site]])</f>
        <v>44466</v>
      </c>
      <c r="F20" s="58" t="str">
        <f t="shared" si="4"/>
        <v>mm/dd/yyyy</v>
      </c>
      <c r="G20" s="61">
        <f ca="1">IF(AccAction26[[#This Row],[Started Date]]&lt;&gt;"",NOW(),"")</f>
        <v>44473.688311342594</v>
      </c>
      <c r="H20" s="58" t="str">
        <f t="shared" si="5"/>
        <v>N</v>
      </c>
      <c r="I20" s="58"/>
      <c r="J20" s="58" t="str">
        <f t="shared" si="2"/>
        <v>NC7.DOC.PASSPORT</v>
      </c>
      <c r="K20" s="62"/>
    </row>
    <row r="21" spans="1:11" x14ac:dyDescent="0.25">
      <c r="A21" s="30"/>
      <c r="B21" s="58" t="str">
        <f>Master[[#This Row],[Accession Prefix (NPGS)]]&amp;" "&amp;Master[[#This Row],[Accession Number -Assigned]]</f>
        <v>W6 59607</v>
      </c>
      <c r="C21" s="58" t="str">
        <f t="shared" si="0"/>
        <v>Historic documents</v>
      </c>
      <c r="D21" s="58" t="str">
        <f t="shared" si="3"/>
        <v>mm/dd/yyyy</v>
      </c>
      <c r="E21" s="155">
        <f>IF(Master[[#This Row],[Received Date -received by site]]="","",Master[[#This Row],[Received Date -received by site]])</f>
        <v>44466</v>
      </c>
      <c r="F21" s="58" t="str">
        <f t="shared" si="4"/>
        <v>mm/dd/yyyy</v>
      </c>
      <c r="G21" s="61">
        <f ca="1">IF(AccAction26[[#This Row],[Started Date]]&lt;&gt;"",NOW(),"")</f>
        <v>44473.688311342594</v>
      </c>
      <c r="H21" s="58" t="str">
        <f t="shared" si="5"/>
        <v>N</v>
      </c>
      <c r="I21" s="58"/>
      <c r="J21" s="58" t="str">
        <f t="shared" si="2"/>
        <v>NC7.DOC.PASSPORT</v>
      </c>
      <c r="K21" s="62"/>
    </row>
    <row r="22" spans="1:11" x14ac:dyDescent="0.25">
      <c r="A22" s="30"/>
      <c r="B22" s="30" t="str">
        <f>Master[[#This Row],[Accession Prefix (NPGS)]]&amp;" "&amp;Master[[#This Row],[Accession Number -Assigned]]</f>
        <v>W6 59608</v>
      </c>
      <c r="C22" s="30" t="str">
        <f t="shared" si="0"/>
        <v>Historic documents</v>
      </c>
      <c r="D22" s="30" t="str">
        <f t="shared" si="3"/>
        <v>mm/dd/yyyy</v>
      </c>
      <c r="E22" s="154">
        <f>IF(Master[[#This Row],[Received Date -received by site]]="","",Master[[#This Row],[Received Date -received by site]])</f>
        <v>44466</v>
      </c>
      <c r="F22" s="30" t="str">
        <f t="shared" si="4"/>
        <v>mm/dd/yyyy</v>
      </c>
      <c r="G22" s="39">
        <f ca="1">IF(AccAction26[[#This Row],[Started Date]]&lt;&gt;"",NOW(),"")</f>
        <v>44473.688311342594</v>
      </c>
      <c r="H22" s="30" t="str">
        <f t="shared" si="5"/>
        <v>N</v>
      </c>
      <c r="I22" s="30"/>
      <c r="J22" s="30" t="str">
        <f t="shared" si="2"/>
        <v>NC7.DOC.PASSPORT</v>
      </c>
      <c r="K22" s="40"/>
    </row>
    <row r="23" spans="1:11" x14ac:dyDescent="0.25">
      <c r="A23" s="30"/>
      <c r="B23" s="30" t="str">
        <f>Master[[#This Row],[Accession Prefix (NPGS)]]&amp;" "&amp;Master[[#This Row],[Accession Number -Assigned]]</f>
        <v>W6 59609</v>
      </c>
      <c r="C23" s="30" t="str">
        <f t="shared" si="0"/>
        <v>Historic documents</v>
      </c>
      <c r="D23" s="30" t="str">
        <f t="shared" si="3"/>
        <v>mm/dd/yyyy</v>
      </c>
      <c r="E23" s="154">
        <f>IF(Master[[#This Row],[Received Date -received by site]]="","",Master[[#This Row],[Received Date -received by site]])</f>
        <v>44466</v>
      </c>
      <c r="F23" s="30" t="str">
        <f t="shared" si="4"/>
        <v>mm/dd/yyyy</v>
      </c>
      <c r="G23" s="39">
        <f ca="1">IF(AccAction26[[#This Row],[Started Date]]&lt;&gt;"",NOW(),"")</f>
        <v>44473.688311342594</v>
      </c>
      <c r="H23" s="30" t="str">
        <f t="shared" si="5"/>
        <v>N</v>
      </c>
      <c r="I23" s="30"/>
      <c r="J23" s="30" t="str">
        <f t="shared" si="2"/>
        <v>NC7.DOC.PASSPORT</v>
      </c>
      <c r="K23" s="40"/>
    </row>
    <row r="24" spans="1:11" x14ac:dyDescent="0.25">
      <c r="A24" s="30"/>
      <c r="B24" s="30" t="str">
        <f>Master[[#This Row],[Accession Prefix (NPGS)]]&amp;" "&amp;Master[[#This Row],[Accession Number -Assigned]]</f>
        <v>W6 59610</v>
      </c>
      <c r="C24" s="30" t="str">
        <f t="shared" si="0"/>
        <v>Historic documents</v>
      </c>
      <c r="D24" s="30" t="str">
        <f t="shared" si="3"/>
        <v>mm/dd/yyyy</v>
      </c>
      <c r="E24" s="154">
        <f>IF(Master[[#This Row],[Received Date -received by site]]="","",Master[[#This Row],[Received Date -received by site]])</f>
        <v>44466</v>
      </c>
      <c r="F24" s="30" t="str">
        <f t="shared" si="4"/>
        <v>mm/dd/yyyy</v>
      </c>
      <c r="G24" s="39">
        <f ca="1">IF(AccAction26[[#This Row],[Started Date]]&lt;&gt;"",NOW(),"")</f>
        <v>44473.688311342594</v>
      </c>
      <c r="H24" s="30" t="str">
        <f t="shared" si="5"/>
        <v>N</v>
      </c>
      <c r="I24" s="30"/>
      <c r="J24" s="30" t="str">
        <f t="shared" si="2"/>
        <v>NC7.DOC.PASSPORT</v>
      </c>
      <c r="K24" s="40"/>
    </row>
    <row r="25" spans="1:11" x14ac:dyDescent="0.25">
      <c r="A25" s="30"/>
      <c r="B25" s="30" t="str">
        <f>Master[[#This Row],[Accession Prefix (NPGS)]]&amp;" "&amp;Master[[#This Row],[Accession Number -Assigned]]</f>
        <v>W6 59611</v>
      </c>
      <c r="C25" s="30" t="str">
        <f t="shared" si="0"/>
        <v>Historic documents</v>
      </c>
      <c r="D25" s="30" t="str">
        <f t="shared" si="3"/>
        <v>mm/dd/yyyy</v>
      </c>
      <c r="E25" s="154">
        <f>IF(Master[[#This Row],[Received Date -received by site]]="","",Master[[#This Row],[Received Date -received by site]])</f>
        <v>44466</v>
      </c>
      <c r="F25" s="30" t="str">
        <f t="shared" si="4"/>
        <v>mm/dd/yyyy</v>
      </c>
      <c r="G25" s="39">
        <f ca="1">IF(AccAction26[[#This Row],[Started Date]]&lt;&gt;"",NOW(),"")</f>
        <v>44473.688311342594</v>
      </c>
      <c r="H25" s="30" t="str">
        <f t="shared" si="5"/>
        <v>N</v>
      </c>
      <c r="I25" s="30"/>
      <c r="J25" s="30" t="str">
        <f t="shared" si="2"/>
        <v>NC7.DOC.PASSPORT</v>
      </c>
      <c r="K25" s="40"/>
    </row>
    <row r="26" spans="1:11" x14ac:dyDescent="0.25">
      <c r="A26" s="30"/>
      <c r="B26" s="30" t="str">
        <f>Master[[#This Row],[Accession Prefix (NPGS)]]&amp;" "&amp;Master[[#This Row],[Accession Number -Assigned]]</f>
        <v>W6 59612</v>
      </c>
      <c r="C26" s="30" t="str">
        <f t="shared" si="0"/>
        <v>Historic documents</v>
      </c>
      <c r="D26" s="30" t="str">
        <f t="shared" si="3"/>
        <v>mm/dd/yyyy</v>
      </c>
      <c r="E26" s="154">
        <f>IF(Master[[#This Row],[Received Date -received by site]]="","",Master[[#This Row],[Received Date -received by site]])</f>
        <v>44466</v>
      </c>
      <c r="F26" s="30" t="str">
        <f t="shared" si="4"/>
        <v>mm/dd/yyyy</v>
      </c>
      <c r="G26" s="39">
        <f ca="1">IF(AccAction26[[#This Row],[Started Date]]&lt;&gt;"",NOW(),"")</f>
        <v>44473.688311342594</v>
      </c>
      <c r="H26" s="30" t="str">
        <f t="shared" si="5"/>
        <v>N</v>
      </c>
      <c r="I26" s="30"/>
      <c r="J26" s="30" t="str">
        <f t="shared" si="2"/>
        <v>NC7.DOC.PASSPORT</v>
      </c>
      <c r="K26" s="40"/>
    </row>
    <row r="27" spans="1:11" x14ac:dyDescent="0.25">
      <c r="A27" s="40"/>
      <c r="B27" s="40" t="str">
        <f>Master[[#This Row],[Accession Prefix (NPGS)]]&amp;" "&amp;Master[[#This Row],[Accession Number -Assigned]]</f>
        <v>W6 59613</v>
      </c>
      <c r="C27" s="40" t="str">
        <f t="shared" si="0"/>
        <v>Historic documents</v>
      </c>
      <c r="D27" s="40" t="str">
        <f t="shared" si="3"/>
        <v>mm/dd/yyyy</v>
      </c>
      <c r="E27" s="156">
        <f>IF(Master[[#This Row],[Received Date -received by site]]="","",Master[[#This Row],[Received Date -received by site]])</f>
        <v>44466</v>
      </c>
      <c r="F27" s="40" t="str">
        <f t="shared" si="4"/>
        <v>mm/dd/yyyy</v>
      </c>
      <c r="G27" s="150">
        <f ca="1">IF(AccAction26[[#This Row],[Started Date]]&lt;&gt;"",NOW(),"")</f>
        <v>44473.688311342594</v>
      </c>
      <c r="H27" s="40" t="str">
        <f t="shared" si="5"/>
        <v>N</v>
      </c>
      <c r="I27" s="40"/>
      <c r="J27" s="40" t="str">
        <f t="shared" si="2"/>
        <v>NC7.DOC.PASSPORT</v>
      </c>
      <c r="K27" s="40"/>
    </row>
    <row r="28" spans="1:11" x14ac:dyDescent="0.25">
      <c r="A28" s="40"/>
      <c r="B28" s="40" t="str">
        <f>Master[[#This Row],[Accession Prefix (NPGS)]]&amp;" "&amp;Master[[#This Row],[Accession Number -Assigned]]</f>
        <v>W6 59614</v>
      </c>
      <c r="C28" s="40" t="str">
        <f t="shared" si="0"/>
        <v>Historic documents</v>
      </c>
      <c r="D28" s="40" t="str">
        <f t="shared" si="3"/>
        <v>mm/dd/yyyy</v>
      </c>
      <c r="E28" s="156">
        <f>IF(Master[[#This Row],[Received Date -received by site]]="","",Master[[#This Row],[Received Date -received by site]])</f>
        <v>44466</v>
      </c>
      <c r="F28" s="40" t="str">
        <f t="shared" si="4"/>
        <v>mm/dd/yyyy</v>
      </c>
      <c r="G28" s="150">
        <f ca="1">IF(AccAction26[[#This Row],[Started Date]]&lt;&gt;"",NOW(),"")</f>
        <v>44473.688311342594</v>
      </c>
      <c r="H28" s="40" t="str">
        <f t="shared" si="5"/>
        <v>N</v>
      </c>
      <c r="I28" s="40"/>
      <c r="J28" s="40" t="str">
        <f t="shared" si="2"/>
        <v>NC7.DOC.PASSPORT</v>
      </c>
      <c r="K28" s="40"/>
    </row>
    <row r="29" spans="1:11" x14ac:dyDescent="0.25">
      <c r="A29" s="40"/>
      <c r="B29" s="40" t="str">
        <f>Master[[#This Row],[Accession Prefix (NPGS)]]&amp;" "&amp;Master[[#This Row],[Accession Number -Assigned]]</f>
        <v>W6 59615</v>
      </c>
      <c r="C29" s="40" t="str">
        <f t="shared" si="0"/>
        <v>Historic documents</v>
      </c>
      <c r="D29" s="40" t="str">
        <f t="shared" si="3"/>
        <v>mm/dd/yyyy</v>
      </c>
      <c r="E29" s="156">
        <f>IF(Master[[#This Row],[Received Date -received by site]]="","",Master[[#This Row],[Received Date -received by site]])</f>
        <v>44466</v>
      </c>
      <c r="F29" s="40" t="str">
        <f t="shared" si="4"/>
        <v>mm/dd/yyyy</v>
      </c>
      <c r="G29" s="150">
        <f ca="1">IF(AccAction26[[#This Row],[Started Date]]&lt;&gt;"",NOW(),"")</f>
        <v>44473.688311342594</v>
      </c>
      <c r="H29" s="40" t="str">
        <f t="shared" si="5"/>
        <v>N</v>
      </c>
      <c r="I29" s="40"/>
      <c r="J29" s="40" t="str">
        <f t="shared" si="2"/>
        <v>NC7.DOC.PASSPORT</v>
      </c>
      <c r="K29" s="40"/>
    </row>
    <row r="30" spans="1:11" x14ac:dyDescent="0.25">
      <c r="A30" s="40"/>
      <c r="B30" s="40" t="str">
        <f>Master[[#This Row],[Accession Prefix (NPGS)]]&amp;" "&amp;Master[[#This Row],[Accession Number -Assigned]]</f>
        <v>W6 59616</v>
      </c>
      <c r="C30" s="40" t="str">
        <f t="shared" si="0"/>
        <v>Historic documents</v>
      </c>
      <c r="D30" s="40" t="str">
        <f t="shared" si="3"/>
        <v>mm/dd/yyyy</v>
      </c>
      <c r="E30" s="156">
        <f>IF(Master[[#This Row],[Received Date -received by site]]="","",Master[[#This Row],[Received Date -received by site]])</f>
        <v>44466</v>
      </c>
      <c r="F30" s="40" t="str">
        <f t="shared" si="4"/>
        <v>mm/dd/yyyy</v>
      </c>
      <c r="G30" s="150">
        <f ca="1">IF(AccAction26[[#This Row],[Started Date]]&lt;&gt;"",NOW(),"")</f>
        <v>44473.688311342594</v>
      </c>
      <c r="H30" s="40" t="str">
        <f t="shared" si="5"/>
        <v>N</v>
      </c>
      <c r="I30" s="40"/>
      <c r="J30" s="40" t="str">
        <f t="shared" si="2"/>
        <v>NC7.DOC.PASSPORT</v>
      </c>
      <c r="K30" s="40"/>
    </row>
    <row r="31" spans="1:11" x14ac:dyDescent="0.25">
      <c r="A31" s="40"/>
      <c r="B31" s="40" t="str">
        <f>Master[[#This Row],[Accession Prefix (NPGS)]]&amp;" "&amp;Master[[#This Row],[Accession Number -Assigned]]</f>
        <v>W6 59617</v>
      </c>
      <c r="C31" s="40" t="str">
        <f t="shared" si="0"/>
        <v>Historic documents</v>
      </c>
      <c r="D31" s="40" t="str">
        <f t="shared" si="3"/>
        <v>mm/dd/yyyy</v>
      </c>
      <c r="E31" s="156">
        <f>IF(Master[[#This Row],[Received Date -received by site]]="","",Master[[#This Row],[Received Date -received by site]])</f>
        <v>44466</v>
      </c>
      <c r="F31" s="40" t="str">
        <f t="shared" si="4"/>
        <v>mm/dd/yyyy</v>
      </c>
      <c r="G31" s="150">
        <f ca="1">IF(AccAction26[[#This Row],[Started Date]]&lt;&gt;"",NOW(),"")</f>
        <v>44473.688311342594</v>
      </c>
      <c r="H31" s="40" t="str">
        <f t="shared" si="5"/>
        <v>N</v>
      </c>
      <c r="I31" s="40"/>
      <c r="J31" s="40" t="str">
        <f t="shared" si="2"/>
        <v>NC7.DOC.PASSPORT</v>
      </c>
      <c r="K31" s="40"/>
    </row>
    <row r="32" spans="1:11" x14ac:dyDescent="0.25">
      <c r="A32" s="40"/>
      <c r="B32" s="40" t="str">
        <f>Master[[#This Row],[Accession Prefix (NPGS)]]&amp;" "&amp;Master[[#This Row],[Accession Number -Assigned]]</f>
        <v>W6 59618</v>
      </c>
      <c r="C32" s="40" t="str">
        <f t="shared" si="0"/>
        <v>Historic documents</v>
      </c>
      <c r="D32" s="40" t="str">
        <f t="shared" si="3"/>
        <v>mm/dd/yyyy</v>
      </c>
      <c r="E32" s="156">
        <f>IF(Master[[#This Row],[Received Date -received by site]]="","",Master[[#This Row],[Received Date -received by site]])</f>
        <v>44466</v>
      </c>
      <c r="F32" s="40" t="str">
        <f t="shared" si="4"/>
        <v>mm/dd/yyyy</v>
      </c>
      <c r="G32" s="150">
        <f ca="1">IF(AccAction26[[#This Row],[Started Date]]&lt;&gt;"",NOW(),"")</f>
        <v>44473.688311342594</v>
      </c>
      <c r="H32" s="40" t="str">
        <f t="shared" si="5"/>
        <v>N</v>
      </c>
      <c r="I32" s="40"/>
      <c r="J32" s="40" t="str">
        <f t="shared" si="2"/>
        <v>NC7.DOC.PASSPORT</v>
      </c>
      <c r="K32" s="40"/>
    </row>
    <row r="33" spans="1:11" x14ac:dyDescent="0.25">
      <c r="A33" s="40"/>
      <c r="B33" s="40" t="str">
        <f>Master[[#This Row],[Accession Prefix (NPGS)]]&amp;" "&amp;Master[[#This Row],[Accession Number -Assigned]]</f>
        <v>W6 59619</v>
      </c>
      <c r="C33" s="40" t="str">
        <f t="shared" si="0"/>
        <v>Historic documents</v>
      </c>
      <c r="D33" s="40" t="str">
        <f t="shared" si="3"/>
        <v>mm/dd/yyyy</v>
      </c>
      <c r="E33" s="156">
        <f>IF(Master[[#This Row],[Received Date -received by site]]="","",Master[[#This Row],[Received Date -received by site]])</f>
        <v>44466</v>
      </c>
      <c r="F33" s="40" t="str">
        <f t="shared" si="4"/>
        <v>mm/dd/yyyy</v>
      </c>
      <c r="G33" s="150">
        <f ca="1">IF(AccAction26[[#This Row],[Started Date]]&lt;&gt;"",NOW(),"")</f>
        <v>44473.688311342594</v>
      </c>
      <c r="H33" s="40" t="str">
        <f t="shared" si="5"/>
        <v>N</v>
      </c>
      <c r="I33" s="40"/>
      <c r="J33" s="40" t="str">
        <f t="shared" si="2"/>
        <v>NC7.DOC.PASSPORT</v>
      </c>
      <c r="K33" s="40"/>
    </row>
    <row r="34" spans="1:11" x14ac:dyDescent="0.25">
      <c r="A34" s="40"/>
      <c r="B34" s="40" t="str">
        <f>Master[[#This Row],[Accession Prefix (NPGS)]]&amp;" "&amp;Master[[#This Row],[Accession Number -Assigned]]</f>
        <v>W6 59620</v>
      </c>
      <c r="C34" s="40" t="str">
        <f t="shared" ref="C34:C65" si="6">"Historic documents"</f>
        <v>Historic documents</v>
      </c>
      <c r="D34" s="40" t="str">
        <f t="shared" si="3"/>
        <v>mm/dd/yyyy</v>
      </c>
      <c r="E34" s="156">
        <f>IF(Master[[#This Row],[Received Date -received by site]]="","",Master[[#This Row],[Received Date -received by site]])</f>
        <v>44466</v>
      </c>
      <c r="F34" s="40" t="str">
        <f t="shared" si="4"/>
        <v>mm/dd/yyyy</v>
      </c>
      <c r="G34" s="150">
        <f ca="1">IF(AccAction26[[#This Row],[Started Date]]&lt;&gt;"",NOW(),"")</f>
        <v>44473.688311342594</v>
      </c>
      <c r="H34" s="40" t="str">
        <f t="shared" si="5"/>
        <v>N</v>
      </c>
      <c r="I34" s="40"/>
      <c r="J34" s="40" t="str">
        <f t="shared" ref="J34:J65" si="7">"NC7.DOC.PASSPORT"</f>
        <v>NC7.DOC.PASSPORT</v>
      </c>
      <c r="K34" s="40"/>
    </row>
    <row r="35" spans="1:11" x14ac:dyDescent="0.25">
      <c r="A35" s="40"/>
      <c r="B35" s="40" t="str">
        <f>Master[[#This Row],[Accession Prefix (NPGS)]]&amp;" "&amp;Master[[#This Row],[Accession Number -Assigned]]</f>
        <v>W6 59621</v>
      </c>
      <c r="C35" s="40" t="str">
        <f t="shared" si="6"/>
        <v>Historic documents</v>
      </c>
      <c r="D35" s="40" t="str">
        <f t="shared" si="3"/>
        <v>mm/dd/yyyy</v>
      </c>
      <c r="E35" s="156">
        <f>IF(Master[[#This Row],[Received Date -received by site]]="","",Master[[#This Row],[Received Date -received by site]])</f>
        <v>44466</v>
      </c>
      <c r="F35" s="40" t="str">
        <f t="shared" si="4"/>
        <v>mm/dd/yyyy</v>
      </c>
      <c r="G35" s="150">
        <f ca="1">IF(AccAction26[[#This Row],[Started Date]]&lt;&gt;"",NOW(),"")</f>
        <v>44473.688311342594</v>
      </c>
      <c r="H35" s="40" t="str">
        <f t="shared" si="5"/>
        <v>N</v>
      </c>
      <c r="I35" s="40"/>
      <c r="J35" s="40" t="str">
        <f t="shared" si="7"/>
        <v>NC7.DOC.PASSPORT</v>
      </c>
      <c r="K35" s="40"/>
    </row>
    <row r="36" spans="1:11" x14ac:dyDescent="0.25">
      <c r="A36" s="40"/>
      <c r="B36" s="40" t="str">
        <f>Master[[#This Row],[Accession Prefix (NPGS)]]&amp;" "&amp;Master[[#This Row],[Accession Number -Assigned]]</f>
        <v>W6 59622</v>
      </c>
      <c r="C36" s="40" t="str">
        <f t="shared" si="6"/>
        <v>Historic documents</v>
      </c>
      <c r="D36" s="40" t="str">
        <f t="shared" si="3"/>
        <v>mm/dd/yyyy</v>
      </c>
      <c r="E36" s="156">
        <f>IF(Master[[#This Row],[Received Date -received by site]]="","",Master[[#This Row],[Received Date -received by site]])</f>
        <v>44466</v>
      </c>
      <c r="F36" s="40" t="str">
        <f t="shared" si="4"/>
        <v>mm/dd/yyyy</v>
      </c>
      <c r="G36" s="150">
        <f ca="1">IF(AccAction26[[#This Row],[Started Date]]&lt;&gt;"",NOW(),"")</f>
        <v>44473.688311342594</v>
      </c>
      <c r="H36" s="40" t="str">
        <f t="shared" si="5"/>
        <v>N</v>
      </c>
      <c r="I36" s="40"/>
      <c r="J36" s="40" t="str">
        <f t="shared" si="7"/>
        <v>NC7.DOC.PASSPORT</v>
      </c>
      <c r="K36" s="40"/>
    </row>
    <row r="37" spans="1:11" x14ac:dyDescent="0.25">
      <c r="A37" s="40"/>
      <c r="B37" s="40" t="str">
        <f>Master[[#This Row],[Accession Prefix (NPGS)]]&amp;" "&amp;Master[[#This Row],[Accession Number -Assigned]]</f>
        <v>W6 59623</v>
      </c>
      <c r="C37" s="40" t="str">
        <f t="shared" si="6"/>
        <v>Historic documents</v>
      </c>
      <c r="D37" s="40" t="str">
        <f t="shared" si="3"/>
        <v>mm/dd/yyyy</v>
      </c>
      <c r="E37" s="156">
        <f>IF(Master[[#This Row],[Received Date -received by site]]="","",Master[[#This Row],[Received Date -received by site]])</f>
        <v>44466</v>
      </c>
      <c r="F37" s="40" t="str">
        <f t="shared" si="4"/>
        <v>mm/dd/yyyy</v>
      </c>
      <c r="G37" s="150">
        <f ca="1">IF(AccAction26[[#This Row],[Started Date]]&lt;&gt;"",NOW(),"")</f>
        <v>44473.688311342594</v>
      </c>
      <c r="H37" s="40" t="str">
        <f t="shared" si="5"/>
        <v>N</v>
      </c>
      <c r="I37" s="40"/>
      <c r="J37" s="40" t="str">
        <f t="shared" si="7"/>
        <v>NC7.DOC.PASSPORT</v>
      </c>
      <c r="K37" s="40"/>
    </row>
    <row r="38" spans="1:11" x14ac:dyDescent="0.25">
      <c r="A38" s="40"/>
      <c r="B38" s="40" t="str">
        <f>Master[[#This Row],[Accession Prefix (NPGS)]]&amp;" "&amp;Master[[#This Row],[Accession Number -Assigned]]</f>
        <v>W6 59624</v>
      </c>
      <c r="C38" s="40" t="str">
        <f t="shared" si="6"/>
        <v>Historic documents</v>
      </c>
      <c r="D38" s="40" t="str">
        <f t="shared" si="3"/>
        <v>mm/dd/yyyy</v>
      </c>
      <c r="E38" s="156">
        <f>IF(Master[[#This Row],[Received Date -received by site]]="","",Master[[#This Row],[Received Date -received by site]])</f>
        <v>44466</v>
      </c>
      <c r="F38" s="40" t="str">
        <f t="shared" si="4"/>
        <v>mm/dd/yyyy</v>
      </c>
      <c r="G38" s="150">
        <f ca="1">IF(AccAction26[[#This Row],[Started Date]]&lt;&gt;"",NOW(),"")</f>
        <v>44473.688311342594</v>
      </c>
      <c r="H38" s="40" t="str">
        <f t="shared" si="5"/>
        <v>N</v>
      </c>
      <c r="I38" s="40"/>
      <c r="J38" s="40" t="str">
        <f t="shared" si="7"/>
        <v>NC7.DOC.PASSPORT</v>
      </c>
      <c r="K38" s="40"/>
    </row>
    <row r="39" spans="1:11" x14ac:dyDescent="0.25">
      <c r="A39" s="40"/>
      <c r="B39" s="40" t="str">
        <f>Master[[#This Row],[Accession Prefix (NPGS)]]&amp;" "&amp;Master[[#This Row],[Accession Number -Assigned]]</f>
        <v>W6 59625</v>
      </c>
      <c r="C39" s="40" t="str">
        <f t="shared" si="6"/>
        <v>Historic documents</v>
      </c>
      <c r="D39" s="40" t="str">
        <f t="shared" si="3"/>
        <v>mm/dd/yyyy</v>
      </c>
      <c r="E39" s="156">
        <f>IF(Master[[#This Row],[Received Date -received by site]]="","",Master[[#This Row],[Received Date -received by site]])</f>
        <v>44466</v>
      </c>
      <c r="F39" s="40" t="str">
        <f t="shared" si="4"/>
        <v>mm/dd/yyyy</v>
      </c>
      <c r="G39" s="150">
        <f ca="1">IF(AccAction26[[#This Row],[Started Date]]&lt;&gt;"",NOW(),"")</f>
        <v>44473.688311342594</v>
      </c>
      <c r="H39" s="40" t="str">
        <f t="shared" si="5"/>
        <v>N</v>
      </c>
      <c r="I39" s="40"/>
      <c r="J39" s="40" t="str">
        <f t="shared" si="7"/>
        <v>NC7.DOC.PASSPORT</v>
      </c>
      <c r="K39" s="40"/>
    </row>
    <row r="40" spans="1:11" x14ac:dyDescent="0.25">
      <c r="A40" s="40"/>
      <c r="B40" s="40" t="str">
        <f>Master[[#This Row],[Accession Prefix (NPGS)]]&amp;" "&amp;Master[[#This Row],[Accession Number -Assigned]]</f>
        <v>W6 59626</v>
      </c>
      <c r="C40" s="40" t="str">
        <f t="shared" si="6"/>
        <v>Historic documents</v>
      </c>
      <c r="D40" s="40" t="str">
        <f t="shared" si="3"/>
        <v>mm/dd/yyyy</v>
      </c>
      <c r="E40" s="156">
        <f>IF(Master[[#This Row],[Received Date -received by site]]="","",Master[[#This Row],[Received Date -received by site]])</f>
        <v>44466</v>
      </c>
      <c r="F40" s="40" t="str">
        <f t="shared" si="4"/>
        <v>mm/dd/yyyy</v>
      </c>
      <c r="G40" s="150">
        <f ca="1">IF(AccAction26[[#This Row],[Started Date]]&lt;&gt;"",NOW(),"")</f>
        <v>44473.688311342594</v>
      </c>
      <c r="H40" s="40" t="str">
        <f t="shared" si="5"/>
        <v>N</v>
      </c>
      <c r="I40" s="40"/>
      <c r="J40" s="40" t="str">
        <f t="shared" si="7"/>
        <v>NC7.DOC.PASSPORT</v>
      </c>
      <c r="K40" s="40"/>
    </row>
    <row r="41" spans="1:11" x14ac:dyDescent="0.25">
      <c r="A41" s="40"/>
      <c r="B41" s="40" t="str">
        <f>Master[[#This Row],[Accession Prefix (NPGS)]]&amp;" "&amp;Master[[#This Row],[Accession Number -Assigned]]</f>
        <v>W6 59627</v>
      </c>
      <c r="C41" s="40" t="str">
        <f t="shared" si="6"/>
        <v>Historic documents</v>
      </c>
      <c r="D41" s="40" t="str">
        <f t="shared" si="3"/>
        <v>mm/dd/yyyy</v>
      </c>
      <c r="E41" s="156">
        <f>IF(Master[[#This Row],[Received Date -received by site]]="","",Master[[#This Row],[Received Date -received by site]])</f>
        <v>44466</v>
      </c>
      <c r="F41" s="40" t="str">
        <f t="shared" si="4"/>
        <v>mm/dd/yyyy</v>
      </c>
      <c r="G41" s="150">
        <f ca="1">IF(AccAction26[[#This Row],[Started Date]]&lt;&gt;"",NOW(),"")</f>
        <v>44473.688311342594</v>
      </c>
      <c r="H41" s="40" t="str">
        <f t="shared" si="5"/>
        <v>N</v>
      </c>
      <c r="I41" s="40"/>
      <c r="J41" s="40" t="str">
        <f t="shared" si="7"/>
        <v>NC7.DOC.PASSPORT</v>
      </c>
      <c r="K41" s="40"/>
    </row>
    <row r="42" spans="1:11" x14ac:dyDescent="0.25">
      <c r="A42" s="40"/>
      <c r="B42" s="40" t="str">
        <f>Master[[#This Row],[Accession Prefix (NPGS)]]&amp;" "&amp;Master[[#This Row],[Accession Number -Assigned]]</f>
        <v>W6 59628</v>
      </c>
      <c r="C42" s="40" t="str">
        <f t="shared" si="6"/>
        <v>Historic documents</v>
      </c>
      <c r="D42" s="40" t="str">
        <f t="shared" si="3"/>
        <v>mm/dd/yyyy</v>
      </c>
      <c r="E42" s="156">
        <f>IF(Master[[#This Row],[Received Date -received by site]]="","",Master[[#This Row],[Received Date -received by site]])</f>
        <v>44466</v>
      </c>
      <c r="F42" s="40" t="str">
        <f t="shared" si="4"/>
        <v>mm/dd/yyyy</v>
      </c>
      <c r="G42" s="150">
        <f ca="1">IF(AccAction26[[#This Row],[Started Date]]&lt;&gt;"",NOW(),"")</f>
        <v>44473.688311342594</v>
      </c>
      <c r="H42" s="40" t="str">
        <f t="shared" si="5"/>
        <v>N</v>
      </c>
      <c r="I42" s="40"/>
      <c r="J42" s="40" t="str">
        <f t="shared" si="7"/>
        <v>NC7.DOC.PASSPORT</v>
      </c>
      <c r="K42" s="40"/>
    </row>
    <row r="43" spans="1:11" x14ac:dyDescent="0.25">
      <c r="A43" s="40"/>
      <c r="B43" s="40" t="str">
        <f>Master[[#This Row],[Accession Prefix (NPGS)]]&amp;" "&amp;Master[[#This Row],[Accession Number -Assigned]]</f>
        <v>W6 59629</v>
      </c>
      <c r="C43" s="40" t="str">
        <f t="shared" si="6"/>
        <v>Historic documents</v>
      </c>
      <c r="D43" s="40" t="str">
        <f t="shared" si="3"/>
        <v>mm/dd/yyyy</v>
      </c>
      <c r="E43" s="156">
        <f>IF(Master[[#This Row],[Received Date -received by site]]="","",Master[[#This Row],[Received Date -received by site]])</f>
        <v>44466</v>
      </c>
      <c r="F43" s="40" t="str">
        <f t="shared" si="4"/>
        <v>mm/dd/yyyy</v>
      </c>
      <c r="G43" s="150">
        <f ca="1">IF(AccAction26[[#This Row],[Started Date]]&lt;&gt;"",NOW(),"")</f>
        <v>44473.688311342594</v>
      </c>
      <c r="H43" s="40" t="str">
        <f t="shared" si="5"/>
        <v>N</v>
      </c>
      <c r="I43" s="40"/>
      <c r="J43" s="40" t="str">
        <f t="shared" si="7"/>
        <v>NC7.DOC.PASSPORT</v>
      </c>
      <c r="K43" s="40"/>
    </row>
    <row r="44" spans="1:11" x14ac:dyDescent="0.25">
      <c r="A44" s="40"/>
      <c r="B44" s="40" t="str">
        <f>Master[[#This Row],[Accession Prefix (NPGS)]]&amp;" "&amp;Master[[#This Row],[Accession Number -Assigned]]</f>
        <v>W6 59630</v>
      </c>
      <c r="C44" s="40" t="str">
        <f t="shared" si="6"/>
        <v>Historic documents</v>
      </c>
      <c r="D44" s="40" t="str">
        <f t="shared" si="3"/>
        <v>mm/dd/yyyy</v>
      </c>
      <c r="E44" s="156">
        <f>IF(Master[[#This Row],[Received Date -received by site]]="","",Master[[#This Row],[Received Date -received by site]])</f>
        <v>44466</v>
      </c>
      <c r="F44" s="40" t="str">
        <f t="shared" si="4"/>
        <v>mm/dd/yyyy</v>
      </c>
      <c r="G44" s="150">
        <f ca="1">IF(AccAction26[[#This Row],[Started Date]]&lt;&gt;"",NOW(),"")</f>
        <v>44473.688311342594</v>
      </c>
      <c r="H44" s="40" t="str">
        <f t="shared" si="5"/>
        <v>N</v>
      </c>
      <c r="I44" s="40"/>
      <c r="J44" s="40" t="str">
        <f t="shared" si="7"/>
        <v>NC7.DOC.PASSPORT</v>
      </c>
      <c r="K44" s="40"/>
    </row>
    <row r="45" spans="1:11" x14ac:dyDescent="0.25">
      <c r="A45" s="40"/>
      <c r="B45" s="40" t="str">
        <f>Master[[#This Row],[Accession Prefix (NPGS)]]&amp;" "&amp;Master[[#This Row],[Accession Number -Assigned]]</f>
        <v>W6 59631</v>
      </c>
      <c r="C45" s="40" t="str">
        <f t="shared" si="6"/>
        <v>Historic documents</v>
      </c>
      <c r="D45" s="40" t="str">
        <f t="shared" si="3"/>
        <v>mm/dd/yyyy</v>
      </c>
      <c r="E45" s="156">
        <f>IF(Master[[#This Row],[Received Date -received by site]]="","",Master[[#This Row],[Received Date -received by site]])</f>
        <v>44466</v>
      </c>
      <c r="F45" s="40" t="str">
        <f t="shared" si="4"/>
        <v>mm/dd/yyyy</v>
      </c>
      <c r="G45" s="150">
        <f ca="1">IF(AccAction26[[#This Row],[Started Date]]&lt;&gt;"",NOW(),"")</f>
        <v>44473.688311342594</v>
      </c>
      <c r="H45" s="40" t="str">
        <f t="shared" si="5"/>
        <v>N</v>
      </c>
      <c r="I45" s="40"/>
      <c r="J45" s="40" t="str">
        <f t="shared" si="7"/>
        <v>NC7.DOC.PASSPORT</v>
      </c>
      <c r="K45" s="40"/>
    </row>
    <row r="46" spans="1:11" x14ac:dyDescent="0.25">
      <c r="A46" s="40"/>
      <c r="B46" s="40" t="str">
        <f>Master[[#This Row],[Accession Prefix (NPGS)]]&amp;" "&amp;Master[[#This Row],[Accession Number -Assigned]]</f>
        <v>W6 59632</v>
      </c>
      <c r="C46" s="40" t="str">
        <f t="shared" si="6"/>
        <v>Historic documents</v>
      </c>
      <c r="D46" s="40" t="str">
        <f t="shared" si="3"/>
        <v>mm/dd/yyyy</v>
      </c>
      <c r="E46" s="156">
        <f>IF(Master[[#This Row],[Received Date -received by site]]="","",Master[[#This Row],[Received Date -received by site]])</f>
        <v>44466</v>
      </c>
      <c r="F46" s="40" t="str">
        <f t="shared" si="4"/>
        <v>mm/dd/yyyy</v>
      </c>
      <c r="G46" s="150">
        <f ca="1">IF(AccAction26[[#This Row],[Started Date]]&lt;&gt;"",NOW(),"")</f>
        <v>44473.688311342594</v>
      </c>
      <c r="H46" s="40" t="str">
        <f t="shared" si="5"/>
        <v>N</v>
      </c>
      <c r="I46" s="40"/>
      <c r="J46" s="40" t="str">
        <f t="shared" si="7"/>
        <v>NC7.DOC.PASSPORT</v>
      </c>
      <c r="K46" s="40"/>
    </row>
    <row r="47" spans="1:11" x14ac:dyDescent="0.25">
      <c r="A47" s="40"/>
      <c r="B47" s="40" t="str">
        <f>Master[[#This Row],[Accession Prefix (NPGS)]]&amp;" "&amp;Master[[#This Row],[Accession Number -Assigned]]</f>
        <v>W6 59633</v>
      </c>
      <c r="C47" s="40" t="str">
        <f t="shared" si="6"/>
        <v>Historic documents</v>
      </c>
      <c r="D47" s="40" t="str">
        <f t="shared" si="3"/>
        <v>mm/dd/yyyy</v>
      </c>
      <c r="E47" s="156">
        <f>IF(Master[[#This Row],[Received Date -received by site]]="","",Master[[#This Row],[Received Date -received by site]])</f>
        <v>44466</v>
      </c>
      <c r="F47" s="40" t="str">
        <f t="shared" si="4"/>
        <v>mm/dd/yyyy</v>
      </c>
      <c r="G47" s="150">
        <f ca="1">IF(AccAction26[[#This Row],[Started Date]]&lt;&gt;"",NOW(),"")</f>
        <v>44473.688311342594</v>
      </c>
      <c r="H47" s="40" t="str">
        <f t="shared" si="5"/>
        <v>N</v>
      </c>
      <c r="I47" s="40"/>
      <c r="J47" s="40" t="str">
        <f t="shared" si="7"/>
        <v>NC7.DOC.PASSPORT</v>
      </c>
      <c r="K47" s="40"/>
    </row>
    <row r="48" spans="1:11" x14ac:dyDescent="0.25">
      <c r="A48" s="40"/>
      <c r="B48" s="40" t="str">
        <f>Master[[#This Row],[Accession Prefix (NPGS)]]&amp;" "&amp;Master[[#This Row],[Accession Number -Assigned]]</f>
        <v>W6 59634</v>
      </c>
      <c r="C48" s="40" t="str">
        <f t="shared" si="6"/>
        <v>Historic documents</v>
      </c>
      <c r="D48" s="40" t="str">
        <f t="shared" si="3"/>
        <v>mm/dd/yyyy</v>
      </c>
      <c r="E48" s="156">
        <f>IF(Master[[#This Row],[Received Date -received by site]]="","",Master[[#This Row],[Received Date -received by site]])</f>
        <v>44466</v>
      </c>
      <c r="F48" s="40" t="str">
        <f t="shared" si="4"/>
        <v>mm/dd/yyyy</v>
      </c>
      <c r="G48" s="150">
        <f ca="1">IF(AccAction26[[#This Row],[Started Date]]&lt;&gt;"",NOW(),"")</f>
        <v>44473.688311342594</v>
      </c>
      <c r="H48" s="40" t="str">
        <f t="shared" si="5"/>
        <v>N</v>
      </c>
      <c r="I48" s="40"/>
      <c r="J48" s="40" t="str">
        <f t="shared" si="7"/>
        <v>NC7.DOC.PASSPORT</v>
      </c>
      <c r="K48" s="40"/>
    </row>
    <row r="49" spans="1:11" x14ac:dyDescent="0.25">
      <c r="A49" s="40"/>
      <c r="B49" s="40" t="str">
        <f>Master[[#This Row],[Accession Prefix (NPGS)]]&amp;" "&amp;Master[[#This Row],[Accession Number -Assigned]]</f>
        <v>W6 59635</v>
      </c>
      <c r="C49" s="40" t="str">
        <f t="shared" si="6"/>
        <v>Historic documents</v>
      </c>
      <c r="D49" s="40" t="str">
        <f t="shared" si="3"/>
        <v>mm/dd/yyyy</v>
      </c>
      <c r="E49" s="156">
        <f>IF(Master[[#This Row],[Received Date -received by site]]="","",Master[[#This Row],[Received Date -received by site]])</f>
        <v>44466</v>
      </c>
      <c r="F49" s="40" t="str">
        <f t="shared" si="4"/>
        <v>mm/dd/yyyy</v>
      </c>
      <c r="G49" s="150">
        <f ca="1">IF(AccAction26[[#This Row],[Started Date]]&lt;&gt;"",NOW(),"")</f>
        <v>44473.688311342594</v>
      </c>
      <c r="H49" s="40" t="str">
        <f t="shared" si="5"/>
        <v>N</v>
      </c>
      <c r="I49" s="40"/>
      <c r="J49" s="40" t="str">
        <f t="shared" si="7"/>
        <v>NC7.DOC.PASSPORT</v>
      </c>
      <c r="K49" s="40"/>
    </row>
    <row r="50" spans="1:11" x14ac:dyDescent="0.25">
      <c r="A50" s="40"/>
      <c r="B50" s="40" t="str">
        <f>Master[[#This Row],[Accession Prefix (NPGS)]]&amp;" "&amp;Master[[#This Row],[Accession Number -Assigned]]</f>
        <v>W6 59636</v>
      </c>
      <c r="C50" s="40" t="str">
        <f t="shared" si="6"/>
        <v>Historic documents</v>
      </c>
      <c r="D50" s="40" t="str">
        <f t="shared" si="3"/>
        <v>mm/dd/yyyy</v>
      </c>
      <c r="E50" s="156">
        <f>IF(Master[[#This Row],[Received Date -received by site]]="","",Master[[#This Row],[Received Date -received by site]])</f>
        <v>44466</v>
      </c>
      <c r="F50" s="40" t="str">
        <f t="shared" si="4"/>
        <v>mm/dd/yyyy</v>
      </c>
      <c r="G50" s="150">
        <f ca="1">IF(AccAction26[[#This Row],[Started Date]]&lt;&gt;"",NOW(),"")</f>
        <v>44473.688311342594</v>
      </c>
      <c r="H50" s="40" t="str">
        <f t="shared" si="5"/>
        <v>N</v>
      </c>
      <c r="I50" s="40"/>
      <c r="J50" s="40" t="str">
        <f t="shared" si="7"/>
        <v>NC7.DOC.PASSPORT</v>
      </c>
      <c r="K50" s="40"/>
    </row>
    <row r="51" spans="1:11" x14ac:dyDescent="0.25">
      <c r="A51" s="40"/>
      <c r="B51" s="40" t="str">
        <f>Master[[#This Row],[Accession Prefix (NPGS)]]&amp;" "&amp;Master[[#This Row],[Accession Number -Assigned]]</f>
        <v>W6 59637</v>
      </c>
      <c r="C51" s="40" t="str">
        <f t="shared" si="6"/>
        <v>Historic documents</v>
      </c>
      <c r="D51" s="40" t="str">
        <f t="shared" si="3"/>
        <v>mm/dd/yyyy</v>
      </c>
      <c r="E51" s="156">
        <f>IF(Master[[#This Row],[Received Date -received by site]]="","",Master[[#This Row],[Received Date -received by site]])</f>
        <v>44466</v>
      </c>
      <c r="F51" s="40" t="str">
        <f t="shared" si="4"/>
        <v>mm/dd/yyyy</v>
      </c>
      <c r="G51" s="150">
        <f ca="1">IF(AccAction26[[#This Row],[Started Date]]&lt;&gt;"",NOW(),"")</f>
        <v>44473.688311342594</v>
      </c>
      <c r="H51" s="40" t="str">
        <f t="shared" si="5"/>
        <v>N</v>
      </c>
      <c r="I51" s="40"/>
      <c r="J51" s="40" t="str">
        <f t="shared" si="7"/>
        <v>NC7.DOC.PASSPORT</v>
      </c>
      <c r="K51" s="40"/>
    </row>
    <row r="52" spans="1:11" x14ac:dyDescent="0.25">
      <c r="A52" s="40"/>
      <c r="B52" s="40" t="str">
        <f>Master[[#This Row],[Accession Prefix (NPGS)]]&amp;" "&amp;Master[[#This Row],[Accession Number -Assigned]]</f>
        <v>W6 59638</v>
      </c>
      <c r="C52" s="40" t="str">
        <f t="shared" si="6"/>
        <v>Historic documents</v>
      </c>
      <c r="D52" s="40" t="str">
        <f t="shared" si="3"/>
        <v>mm/dd/yyyy</v>
      </c>
      <c r="E52" s="156">
        <f>IF(Master[[#This Row],[Received Date -received by site]]="","",Master[[#This Row],[Received Date -received by site]])</f>
        <v>44466</v>
      </c>
      <c r="F52" s="40" t="str">
        <f t="shared" si="4"/>
        <v>mm/dd/yyyy</v>
      </c>
      <c r="G52" s="150">
        <f ca="1">IF(AccAction26[[#This Row],[Started Date]]&lt;&gt;"",NOW(),"")</f>
        <v>44473.688311342594</v>
      </c>
      <c r="H52" s="40" t="str">
        <f t="shared" si="5"/>
        <v>N</v>
      </c>
      <c r="I52" s="40"/>
      <c r="J52" s="40" t="str">
        <f t="shared" si="7"/>
        <v>NC7.DOC.PASSPORT</v>
      </c>
      <c r="K52" s="40"/>
    </row>
    <row r="53" spans="1:11" x14ac:dyDescent="0.25">
      <c r="A53" s="40"/>
      <c r="B53" s="40" t="str">
        <f>Master[[#This Row],[Accession Prefix (NPGS)]]&amp;" "&amp;Master[[#This Row],[Accession Number -Assigned]]</f>
        <v>W6 59639</v>
      </c>
      <c r="C53" s="40" t="str">
        <f t="shared" si="6"/>
        <v>Historic documents</v>
      </c>
      <c r="D53" s="40" t="str">
        <f t="shared" si="3"/>
        <v>mm/dd/yyyy</v>
      </c>
      <c r="E53" s="156">
        <f>IF(Master[[#This Row],[Received Date -received by site]]="","",Master[[#This Row],[Received Date -received by site]])</f>
        <v>44466</v>
      </c>
      <c r="F53" s="40" t="str">
        <f t="shared" si="4"/>
        <v>mm/dd/yyyy</v>
      </c>
      <c r="G53" s="150">
        <f ca="1">IF(AccAction26[[#This Row],[Started Date]]&lt;&gt;"",NOW(),"")</f>
        <v>44473.688311342594</v>
      </c>
      <c r="H53" s="40" t="str">
        <f t="shared" si="5"/>
        <v>N</v>
      </c>
      <c r="I53" s="40"/>
      <c r="J53" s="40" t="str">
        <f t="shared" si="7"/>
        <v>NC7.DOC.PASSPORT</v>
      </c>
      <c r="K53" s="40"/>
    </row>
    <row r="54" spans="1:11" x14ac:dyDescent="0.25">
      <c r="A54" s="40"/>
      <c r="B54" s="40" t="str">
        <f>Master[[#This Row],[Accession Prefix (NPGS)]]&amp;" "&amp;Master[[#This Row],[Accession Number -Assigned]]</f>
        <v>W6 59640</v>
      </c>
      <c r="C54" s="40" t="str">
        <f t="shared" si="6"/>
        <v>Historic documents</v>
      </c>
      <c r="D54" s="40" t="str">
        <f t="shared" si="3"/>
        <v>mm/dd/yyyy</v>
      </c>
      <c r="E54" s="156">
        <f>IF(Master[[#This Row],[Received Date -received by site]]="","",Master[[#This Row],[Received Date -received by site]])</f>
        <v>44466</v>
      </c>
      <c r="F54" s="40" t="str">
        <f t="shared" si="4"/>
        <v>mm/dd/yyyy</v>
      </c>
      <c r="G54" s="150">
        <f ca="1">IF(AccAction26[[#This Row],[Started Date]]&lt;&gt;"",NOW(),"")</f>
        <v>44473.688311342594</v>
      </c>
      <c r="H54" s="40" t="str">
        <f t="shared" si="5"/>
        <v>N</v>
      </c>
      <c r="I54" s="40"/>
      <c r="J54" s="40" t="str">
        <f t="shared" si="7"/>
        <v>NC7.DOC.PASSPORT</v>
      </c>
      <c r="K54" s="40"/>
    </row>
    <row r="55" spans="1:11" x14ac:dyDescent="0.25">
      <c r="A55" s="40"/>
      <c r="B55" s="40" t="str">
        <f>Master[[#This Row],[Accession Prefix (NPGS)]]&amp;" "&amp;Master[[#This Row],[Accession Number -Assigned]]</f>
        <v>W6 59641</v>
      </c>
      <c r="C55" s="40" t="str">
        <f t="shared" si="6"/>
        <v>Historic documents</v>
      </c>
      <c r="D55" s="40" t="str">
        <f t="shared" si="3"/>
        <v>mm/dd/yyyy</v>
      </c>
      <c r="E55" s="156">
        <f>IF(Master[[#This Row],[Received Date -received by site]]="","",Master[[#This Row],[Received Date -received by site]])</f>
        <v>44466</v>
      </c>
      <c r="F55" s="40" t="str">
        <f t="shared" si="4"/>
        <v>mm/dd/yyyy</v>
      </c>
      <c r="G55" s="150">
        <f ca="1">IF(AccAction26[[#This Row],[Started Date]]&lt;&gt;"",NOW(),"")</f>
        <v>44473.688311342594</v>
      </c>
      <c r="H55" s="40" t="str">
        <f t="shared" si="5"/>
        <v>N</v>
      </c>
      <c r="I55" s="40"/>
      <c r="J55" s="40" t="str">
        <f t="shared" si="7"/>
        <v>NC7.DOC.PASSPORT</v>
      </c>
      <c r="K55" s="40"/>
    </row>
    <row r="56" spans="1:11" x14ac:dyDescent="0.25">
      <c r="A56" s="40"/>
      <c r="B56" s="40" t="str">
        <f>Master[[#This Row],[Accession Prefix (NPGS)]]&amp;" "&amp;Master[[#This Row],[Accession Number -Assigned]]</f>
        <v>W6 59642</v>
      </c>
      <c r="C56" s="40" t="str">
        <f t="shared" si="6"/>
        <v>Historic documents</v>
      </c>
      <c r="D56" s="40" t="str">
        <f t="shared" si="3"/>
        <v>mm/dd/yyyy</v>
      </c>
      <c r="E56" s="156">
        <f>IF(Master[[#This Row],[Received Date -received by site]]="","",Master[[#This Row],[Received Date -received by site]])</f>
        <v>44466</v>
      </c>
      <c r="F56" s="40" t="str">
        <f t="shared" si="4"/>
        <v>mm/dd/yyyy</v>
      </c>
      <c r="G56" s="150">
        <f ca="1">IF(AccAction26[[#This Row],[Started Date]]&lt;&gt;"",NOW(),"")</f>
        <v>44473.688311342594</v>
      </c>
      <c r="H56" s="40" t="str">
        <f t="shared" si="5"/>
        <v>N</v>
      </c>
      <c r="I56" s="40"/>
      <c r="J56" s="40" t="str">
        <f t="shared" si="7"/>
        <v>NC7.DOC.PASSPORT</v>
      </c>
      <c r="K56" s="40"/>
    </row>
    <row r="57" spans="1:11" x14ac:dyDescent="0.25">
      <c r="A57" s="40"/>
      <c r="B57" s="40" t="str">
        <f>Master[[#This Row],[Accession Prefix (NPGS)]]&amp;" "&amp;Master[[#This Row],[Accession Number -Assigned]]</f>
        <v>W6 59643</v>
      </c>
      <c r="C57" s="40" t="str">
        <f t="shared" si="6"/>
        <v>Historic documents</v>
      </c>
      <c r="D57" s="40" t="str">
        <f t="shared" si="3"/>
        <v>mm/dd/yyyy</v>
      </c>
      <c r="E57" s="156">
        <f>IF(Master[[#This Row],[Received Date -received by site]]="","",Master[[#This Row],[Received Date -received by site]])</f>
        <v>44466</v>
      </c>
      <c r="F57" s="40" t="str">
        <f t="shared" si="4"/>
        <v>mm/dd/yyyy</v>
      </c>
      <c r="G57" s="150">
        <f ca="1">IF(AccAction26[[#This Row],[Started Date]]&lt;&gt;"",NOW(),"")</f>
        <v>44473.688311342594</v>
      </c>
      <c r="H57" s="40" t="str">
        <f t="shared" si="5"/>
        <v>N</v>
      </c>
      <c r="I57" s="40"/>
      <c r="J57" s="40" t="str">
        <f t="shared" si="7"/>
        <v>NC7.DOC.PASSPORT</v>
      </c>
      <c r="K57" s="40"/>
    </row>
    <row r="58" spans="1:11" x14ac:dyDescent="0.25">
      <c r="A58" s="40"/>
      <c r="B58" s="40" t="str">
        <f>Master[[#This Row],[Accession Prefix (NPGS)]]&amp;" "&amp;Master[[#This Row],[Accession Number -Assigned]]</f>
        <v>W6 59644</v>
      </c>
      <c r="C58" s="40" t="str">
        <f t="shared" si="6"/>
        <v>Historic documents</v>
      </c>
      <c r="D58" s="40" t="str">
        <f t="shared" si="3"/>
        <v>mm/dd/yyyy</v>
      </c>
      <c r="E58" s="156">
        <f>IF(Master[[#This Row],[Received Date -received by site]]="","",Master[[#This Row],[Received Date -received by site]])</f>
        <v>44466</v>
      </c>
      <c r="F58" s="40" t="str">
        <f t="shared" si="4"/>
        <v>mm/dd/yyyy</v>
      </c>
      <c r="G58" s="150">
        <f ca="1">IF(AccAction26[[#This Row],[Started Date]]&lt;&gt;"",NOW(),"")</f>
        <v>44473.688311342594</v>
      </c>
      <c r="H58" s="40" t="str">
        <f t="shared" si="5"/>
        <v>N</v>
      </c>
      <c r="I58" s="40"/>
      <c r="J58" s="40" t="str">
        <f t="shared" si="7"/>
        <v>NC7.DOC.PASSPORT</v>
      </c>
      <c r="K58" s="40"/>
    </row>
    <row r="59" spans="1:11" x14ac:dyDescent="0.25">
      <c r="A59" s="40"/>
      <c r="B59" s="40" t="str">
        <f>Master[[#This Row],[Accession Prefix (NPGS)]]&amp;" "&amp;Master[[#This Row],[Accession Number -Assigned]]</f>
        <v>W6 59645</v>
      </c>
      <c r="C59" s="40" t="str">
        <f t="shared" si="6"/>
        <v>Historic documents</v>
      </c>
      <c r="D59" s="40" t="str">
        <f t="shared" si="3"/>
        <v>mm/dd/yyyy</v>
      </c>
      <c r="E59" s="156">
        <f>IF(Master[[#This Row],[Received Date -received by site]]="","",Master[[#This Row],[Received Date -received by site]])</f>
        <v>44466</v>
      </c>
      <c r="F59" s="40" t="str">
        <f t="shared" si="4"/>
        <v>mm/dd/yyyy</v>
      </c>
      <c r="G59" s="150">
        <f ca="1">IF(AccAction26[[#This Row],[Started Date]]&lt;&gt;"",NOW(),"")</f>
        <v>44473.688311342594</v>
      </c>
      <c r="H59" s="40" t="str">
        <f t="shared" si="5"/>
        <v>N</v>
      </c>
      <c r="I59" s="40"/>
      <c r="J59" s="40" t="str">
        <f t="shared" si="7"/>
        <v>NC7.DOC.PASSPORT</v>
      </c>
      <c r="K59" s="40"/>
    </row>
    <row r="60" spans="1:11" x14ac:dyDescent="0.25">
      <c r="A60" s="40"/>
      <c r="B60" s="40" t="str">
        <f>Master[[#This Row],[Accession Prefix (NPGS)]]&amp;" "&amp;Master[[#This Row],[Accession Number -Assigned]]</f>
        <v>W6 59646</v>
      </c>
      <c r="C60" s="40" t="str">
        <f t="shared" si="6"/>
        <v>Historic documents</v>
      </c>
      <c r="D60" s="40" t="str">
        <f t="shared" si="3"/>
        <v>mm/dd/yyyy</v>
      </c>
      <c r="E60" s="156">
        <f>IF(Master[[#This Row],[Received Date -received by site]]="","",Master[[#This Row],[Received Date -received by site]])</f>
        <v>44466</v>
      </c>
      <c r="F60" s="40" t="str">
        <f t="shared" si="4"/>
        <v>mm/dd/yyyy</v>
      </c>
      <c r="G60" s="150">
        <f ca="1">IF(AccAction26[[#This Row],[Started Date]]&lt;&gt;"",NOW(),"")</f>
        <v>44473.688311342594</v>
      </c>
      <c r="H60" s="40" t="str">
        <f t="shared" si="5"/>
        <v>N</v>
      </c>
      <c r="I60" s="40"/>
      <c r="J60" s="40" t="str">
        <f t="shared" si="7"/>
        <v>NC7.DOC.PASSPORT</v>
      </c>
      <c r="K60" s="40"/>
    </row>
    <row r="61" spans="1:11" x14ac:dyDescent="0.25">
      <c r="A61" s="40"/>
      <c r="B61" s="40" t="str">
        <f>Master[[#This Row],[Accession Prefix (NPGS)]]&amp;" "&amp;Master[[#This Row],[Accession Number -Assigned]]</f>
        <v>W6 59647</v>
      </c>
      <c r="C61" s="40" t="str">
        <f t="shared" si="6"/>
        <v>Historic documents</v>
      </c>
      <c r="D61" s="40" t="str">
        <f t="shared" si="3"/>
        <v>mm/dd/yyyy</v>
      </c>
      <c r="E61" s="156">
        <f>IF(Master[[#This Row],[Received Date -received by site]]="","",Master[[#This Row],[Received Date -received by site]])</f>
        <v>44466</v>
      </c>
      <c r="F61" s="40" t="str">
        <f t="shared" si="4"/>
        <v>mm/dd/yyyy</v>
      </c>
      <c r="G61" s="150">
        <f ca="1">IF(AccAction26[[#This Row],[Started Date]]&lt;&gt;"",NOW(),"")</f>
        <v>44473.688311342594</v>
      </c>
      <c r="H61" s="40" t="str">
        <f t="shared" si="5"/>
        <v>N</v>
      </c>
      <c r="I61" s="40"/>
      <c r="J61" s="40" t="str">
        <f t="shared" si="7"/>
        <v>NC7.DOC.PASSPORT</v>
      </c>
      <c r="K61" s="40"/>
    </row>
    <row r="62" spans="1:11" x14ac:dyDescent="0.25">
      <c r="A62" s="40"/>
      <c r="B62" s="40" t="str">
        <f>Master[[#This Row],[Accession Prefix (NPGS)]]&amp;" "&amp;Master[[#This Row],[Accession Number -Assigned]]</f>
        <v>W6 59648</v>
      </c>
      <c r="C62" s="40" t="str">
        <f t="shared" si="6"/>
        <v>Historic documents</v>
      </c>
      <c r="D62" s="40" t="str">
        <f t="shared" si="3"/>
        <v>mm/dd/yyyy</v>
      </c>
      <c r="E62" s="156">
        <f>IF(Master[[#This Row],[Received Date -received by site]]="","",Master[[#This Row],[Received Date -received by site]])</f>
        <v>44466</v>
      </c>
      <c r="F62" s="40" t="str">
        <f t="shared" si="4"/>
        <v>mm/dd/yyyy</v>
      </c>
      <c r="G62" s="150">
        <f ca="1">IF(AccAction26[[#This Row],[Started Date]]&lt;&gt;"",NOW(),"")</f>
        <v>44473.688311342594</v>
      </c>
      <c r="H62" s="40" t="str">
        <f t="shared" si="5"/>
        <v>N</v>
      </c>
      <c r="I62" s="40"/>
      <c r="J62" s="40" t="str">
        <f t="shared" si="7"/>
        <v>NC7.DOC.PASSPORT</v>
      </c>
      <c r="K62" s="40"/>
    </row>
    <row r="63" spans="1:11" x14ac:dyDescent="0.25">
      <c r="A63" s="40"/>
      <c r="B63" s="40" t="str">
        <f>Master[[#This Row],[Accession Prefix (NPGS)]]&amp;" "&amp;Master[[#This Row],[Accession Number -Assigned]]</f>
        <v>W6 59649</v>
      </c>
      <c r="C63" s="40" t="str">
        <f t="shared" si="6"/>
        <v>Historic documents</v>
      </c>
      <c r="D63" s="40" t="str">
        <f t="shared" si="3"/>
        <v>mm/dd/yyyy</v>
      </c>
      <c r="E63" s="156">
        <f>IF(Master[[#This Row],[Received Date -received by site]]="","",Master[[#This Row],[Received Date -received by site]])</f>
        <v>44466</v>
      </c>
      <c r="F63" s="40" t="str">
        <f t="shared" si="4"/>
        <v>mm/dd/yyyy</v>
      </c>
      <c r="G63" s="150">
        <f ca="1">IF(AccAction26[[#This Row],[Started Date]]&lt;&gt;"",NOW(),"")</f>
        <v>44473.688311342594</v>
      </c>
      <c r="H63" s="40" t="str">
        <f t="shared" si="5"/>
        <v>N</v>
      </c>
      <c r="I63" s="40"/>
      <c r="J63" s="40" t="str">
        <f t="shared" si="7"/>
        <v>NC7.DOC.PASSPORT</v>
      </c>
      <c r="K63" s="40"/>
    </row>
    <row r="64" spans="1:11" x14ac:dyDescent="0.25">
      <c r="A64" s="40"/>
      <c r="B64" s="40" t="str">
        <f>Master[[#This Row],[Accession Prefix (NPGS)]]&amp;" "&amp;Master[[#This Row],[Accession Number -Assigned]]</f>
        <v>W6 59650</v>
      </c>
      <c r="C64" s="40" t="str">
        <f t="shared" si="6"/>
        <v>Historic documents</v>
      </c>
      <c r="D64" s="40" t="str">
        <f t="shared" si="3"/>
        <v>mm/dd/yyyy</v>
      </c>
      <c r="E64" s="156">
        <f>IF(Master[[#This Row],[Received Date -received by site]]="","",Master[[#This Row],[Received Date -received by site]])</f>
        <v>44466</v>
      </c>
      <c r="F64" s="40" t="str">
        <f t="shared" si="4"/>
        <v>mm/dd/yyyy</v>
      </c>
      <c r="G64" s="150">
        <f ca="1">IF(AccAction26[[#This Row],[Started Date]]&lt;&gt;"",NOW(),"")</f>
        <v>44473.688311342594</v>
      </c>
      <c r="H64" s="40" t="str">
        <f t="shared" si="5"/>
        <v>N</v>
      </c>
      <c r="I64" s="40"/>
      <c r="J64" s="40" t="str">
        <f t="shared" si="7"/>
        <v>NC7.DOC.PASSPORT</v>
      </c>
      <c r="K64" s="40"/>
    </row>
    <row r="65" spans="1:11" x14ac:dyDescent="0.25">
      <c r="A65" s="40"/>
      <c r="B65" s="40" t="str">
        <f>Master[[#This Row],[Accession Prefix (NPGS)]]&amp;" "&amp;Master[[#This Row],[Accession Number -Assigned]]</f>
        <v>W6 59651</v>
      </c>
      <c r="C65" s="40" t="str">
        <f t="shared" si="6"/>
        <v>Historic documents</v>
      </c>
      <c r="D65" s="40" t="str">
        <f t="shared" si="3"/>
        <v>mm/dd/yyyy</v>
      </c>
      <c r="E65" s="156">
        <f>IF(Master[[#This Row],[Received Date -received by site]]="","",Master[[#This Row],[Received Date -received by site]])</f>
        <v>44466</v>
      </c>
      <c r="F65" s="40" t="str">
        <f t="shared" si="4"/>
        <v>mm/dd/yyyy</v>
      </c>
      <c r="G65" s="150">
        <f ca="1">IF(AccAction26[[#This Row],[Started Date]]&lt;&gt;"",NOW(),"")</f>
        <v>44473.688311342594</v>
      </c>
      <c r="H65" s="40" t="str">
        <f t="shared" si="5"/>
        <v>N</v>
      </c>
      <c r="I65" s="40"/>
      <c r="J65" s="40" t="str">
        <f t="shared" si="7"/>
        <v>NC7.DOC.PASSPORT</v>
      </c>
      <c r="K65" s="40"/>
    </row>
    <row r="66" spans="1:11" x14ac:dyDescent="0.25">
      <c r="A66" s="40"/>
      <c r="B66" s="40" t="str">
        <f>Master[[#This Row],[Accession Prefix (NPGS)]]&amp;" "&amp;Master[[#This Row],[Accession Number -Assigned]]</f>
        <v>W6 59652</v>
      </c>
      <c r="C66" s="40" t="str">
        <f t="shared" ref="C66:C97" si="8">"Historic documents"</f>
        <v>Historic documents</v>
      </c>
      <c r="D66" s="40" t="str">
        <f t="shared" si="3"/>
        <v>mm/dd/yyyy</v>
      </c>
      <c r="E66" s="156">
        <f>IF(Master[[#This Row],[Received Date -received by site]]="","",Master[[#This Row],[Received Date -received by site]])</f>
        <v>44466</v>
      </c>
      <c r="F66" s="40" t="str">
        <f t="shared" si="4"/>
        <v>mm/dd/yyyy</v>
      </c>
      <c r="G66" s="150">
        <f ca="1">IF(AccAction26[[#This Row],[Started Date]]&lt;&gt;"",NOW(),"")</f>
        <v>44473.688311342594</v>
      </c>
      <c r="H66" s="40" t="str">
        <f t="shared" si="5"/>
        <v>N</v>
      </c>
      <c r="I66" s="40"/>
      <c r="J66" s="40" t="str">
        <f t="shared" ref="J66:J97" si="9">"NC7.DOC.PASSPORT"</f>
        <v>NC7.DOC.PASSPORT</v>
      </c>
      <c r="K66" s="40"/>
    </row>
    <row r="67" spans="1:11" x14ac:dyDescent="0.25">
      <c r="A67" s="40"/>
      <c r="B67" s="40" t="str">
        <f>Master[[#This Row],[Accession Prefix (NPGS)]]&amp;" "&amp;Master[[#This Row],[Accession Number -Assigned]]</f>
        <v>W6 59653</v>
      </c>
      <c r="C67" s="40" t="str">
        <f t="shared" si="8"/>
        <v>Historic documents</v>
      </c>
      <c r="D67" s="40" t="str">
        <f t="shared" ref="D67:D130" si="10">"mm/dd/yyyy"</f>
        <v>mm/dd/yyyy</v>
      </c>
      <c r="E67" s="156">
        <f>IF(Master[[#This Row],[Received Date -received by site]]="","",Master[[#This Row],[Received Date -received by site]])</f>
        <v>44466</v>
      </c>
      <c r="F67" s="40" t="str">
        <f t="shared" ref="F67:F130" si="11">"mm/dd/yyyy"</f>
        <v>mm/dd/yyyy</v>
      </c>
      <c r="G67" s="150">
        <f ca="1">IF(AccAction26[[#This Row],[Started Date]]&lt;&gt;"",NOW(),"")</f>
        <v>44473.688311342594</v>
      </c>
      <c r="H67" s="40" t="str">
        <f t="shared" ref="H67:H130" si="12">"N"</f>
        <v>N</v>
      </c>
      <c r="I67" s="40"/>
      <c r="J67" s="40" t="str">
        <f t="shared" si="9"/>
        <v>NC7.DOC.PASSPORT</v>
      </c>
      <c r="K67" s="40"/>
    </row>
    <row r="68" spans="1:11" x14ac:dyDescent="0.25">
      <c r="A68" s="40"/>
      <c r="B68" s="40" t="str">
        <f>Master[[#This Row],[Accession Prefix (NPGS)]]&amp;" "&amp;Master[[#This Row],[Accession Number -Assigned]]</f>
        <v>W6 59654</v>
      </c>
      <c r="C68" s="40" t="str">
        <f t="shared" si="8"/>
        <v>Historic documents</v>
      </c>
      <c r="D68" s="40" t="str">
        <f t="shared" si="10"/>
        <v>mm/dd/yyyy</v>
      </c>
      <c r="E68" s="156">
        <f>IF(Master[[#This Row],[Received Date -received by site]]="","",Master[[#This Row],[Received Date -received by site]])</f>
        <v>44466</v>
      </c>
      <c r="F68" s="40" t="str">
        <f t="shared" si="11"/>
        <v>mm/dd/yyyy</v>
      </c>
      <c r="G68" s="150">
        <f ca="1">IF(AccAction26[[#This Row],[Started Date]]&lt;&gt;"",NOW(),"")</f>
        <v>44473.688311342594</v>
      </c>
      <c r="H68" s="40" t="str">
        <f t="shared" si="12"/>
        <v>N</v>
      </c>
      <c r="I68" s="40"/>
      <c r="J68" s="40" t="str">
        <f t="shared" si="9"/>
        <v>NC7.DOC.PASSPORT</v>
      </c>
      <c r="K68" s="40"/>
    </row>
    <row r="69" spans="1:11" x14ac:dyDescent="0.25">
      <c r="A69" s="40"/>
      <c r="B69" s="40" t="str">
        <f>Master[[#This Row],[Accession Prefix (NPGS)]]&amp;" "&amp;Master[[#This Row],[Accession Number -Assigned]]</f>
        <v>W6 59655</v>
      </c>
      <c r="C69" s="40" t="str">
        <f t="shared" si="8"/>
        <v>Historic documents</v>
      </c>
      <c r="D69" s="40" t="str">
        <f t="shared" si="10"/>
        <v>mm/dd/yyyy</v>
      </c>
      <c r="E69" s="156">
        <f>IF(Master[[#This Row],[Received Date -received by site]]="","",Master[[#This Row],[Received Date -received by site]])</f>
        <v>44466</v>
      </c>
      <c r="F69" s="40" t="str">
        <f t="shared" si="11"/>
        <v>mm/dd/yyyy</v>
      </c>
      <c r="G69" s="150">
        <f ca="1">IF(AccAction26[[#This Row],[Started Date]]&lt;&gt;"",NOW(),"")</f>
        <v>44473.688311342594</v>
      </c>
      <c r="H69" s="40" t="str">
        <f t="shared" si="12"/>
        <v>N</v>
      </c>
      <c r="I69" s="40"/>
      <c r="J69" s="40" t="str">
        <f t="shared" si="9"/>
        <v>NC7.DOC.PASSPORT</v>
      </c>
      <c r="K69" s="40"/>
    </row>
    <row r="70" spans="1:11" x14ac:dyDescent="0.25">
      <c r="A70" s="40"/>
      <c r="B70" s="40" t="str">
        <f>Master[[#This Row],[Accession Prefix (NPGS)]]&amp;" "&amp;Master[[#This Row],[Accession Number -Assigned]]</f>
        <v>W6 59656</v>
      </c>
      <c r="C70" s="40" t="str">
        <f t="shared" si="8"/>
        <v>Historic documents</v>
      </c>
      <c r="D70" s="40" t="str">
        <f t="shared" si="10"/>
        <v>mm/dd/yyyy</v>
      </c>
      <c r="E70" s="156">
        <f>IF(Master[[#This Row],[Received Date -received by site]]="","",Master[[#This Row],[Received Date -received by site]])</f>
        <v>44466</v>
      </c>
      <c r="F70" s="40" t="str">
        <f t="shared" si="11"/>
        <v>mm/dd/yyyy</v>
      </c>
      <c r="G70" s="150">
        <f ca="1">IF(AccAction26[[#This Row],[Started Date]]&lt;&gt;"",NOW(),"")</f>
        <v>44473.688311342594</v>
      </c>
      <c r="H70" s="40" t="str">
        <f t="shared" si="12"/>
        <v>N</v>
      </c>
      <c r="I70" s="40"/>
      <c r="J70" s="40" t="str">
        <f t="shared" si="9"/>
        <v>NC7.DOC.PASSPORT</v>
      </c>
      <c r="K70" s="40"/>
    </row>
    <row r="71" spans="1:11" x14ac:dyDescent="0.25">
      <c r="A71" s="40"/>
      <c r="B71" s="40" t="str">
        <f>Master[[#This Row],[Accession Prefix (NPGS)]]&amp;" "&amp;Master[[#This Row],[Accession Number -Assigned]]</f>
        <v>W6 59657</v>
      </c>
      <c r="C71" s="40" t="str">
        <f t="shared" si="8"/>
        <v>Historic documents</v>
      </c>
      <c r="D71" s="40" t="str">
        <f t="shared" si="10"/>
        <v>mm/dd/yyyy</v>
      </c>
      <c r="E71" s="156">
        <f>IF(Master[[#This Row],[Received Date -received by site]]="","",Master[[#This Row],[Received Date -received by site]])</f>
        <v>44466</v>
      </c>
      <c r="F71" s="40" t="str">
        <f t="shared" si="11"/>
        <v>mm/dd/yyyy</v>
      </c>
      <c r="G71" s="150">
        <f ca="1">IF(AccAction26[[#This Row],[Started Date]]&lt;&gt;"",NOW(),"")</f>
        <v>44473.688311342594</v>
      </c>
      <c r="H71" s="40" t="str">
        <f t="shared" si="12"/>
        <v>N</v>
      </c>
      <c r="I71" s="40"/>
      <c r="J71" s="40" t="str">
        <f t="shared" si="9"/>
        <v>NC7.DOC.PASSPORT</v>
      </c>
      <c r="K71" s="40"/>
    </row>
    <row r="72" spans="1:11" x14ac:dyDescent="0.25">
      <c r="A72" s="40"/>
      <c r="B72" s="40" t="str">
        <f>Master[[#This Row],[Accession Prefix (NPGS)]]&amp;" "&amp;Master[[#This Row],[Accession Number -Assigned]]</f>
        <v>W6 59658</v>
      </c>
      <c r="C72" s="40" t="str">
        <f t="shared" si="8"/>
        <v>Historic documents</v>
      </c>
      <c r="D72" s="40" t="str">
        <f t="shared" si="10"/>
        <v>mm/dd/yyyy</v>
      </c>
      <c r="E72" s="156">
        <f>IF(Master[[#This Row],[Received Date -received by site]]="","",Master[[#This Row],[Received Date -received by site]])</f>
        <v>44466</v>
      </c>
      <c r="F72" s="40" t="str">
        <f t="shared" si="11"/>
        <v>mm/dd/yyyy</v>
      </c>
      <c r="G72" s="150">
        <f ca="1">IF(AccAction26[[#This Row],[Started Date]]&lt;&gt;"",NOW(),"")</f>
        <v>44473.688311342594</v>
      </c>
      <c r="H72" s="40" t="str">
        <f t="shared" si="12"/>
        <v>N</v>
      </c>
      <c r="I72" s="40"/>
      <c r="J72" s="40" t="str">
        <f t="shared" si="9"/>
        <v>NC7.DOC.PASSPORT</v>
      </c>
      <c r="K72" s="40"/>
    </row>
    <row r="73" spans="1:11" x14ac:dyDescent="0.25">
      <c r="A73" s="40"/>
      <c r="B73" s="40" t="str">
        <f>Master[[#This Row],[Accession Prefix (NPGS)]]&amp;" "&amp;Master[[#This Row],[Accession Number -Assigned]]</f>
        <v>W6 59659</v>
      </c>
      <c r="C73" s="40" t="str">
        <f t="shared" si="8"/>
        <v>Historic documents</v>
      </c>
      <c r="D73" s="40" t="str">
        <f t="shared" si="10"/>
        <v>mm/dd/yyyy</v>
      </c>
      <c r="E73" s="156">
        <f>IF(Master[[#This Row],[Received Date -received by site]]="","",Master[[#This Row],[Received Date -received by site]])</f>
        <v>44466</v>
      </c>
      <c r="F73" s="40" t="str">
        <f t="shared" si="11"/>
        <v>mm/dd/yyyy</v>
      </c>
      <c r="G73" s="150">
        <f ca="1">IF(AccAction26[[#This Row],[Started Date]]&lt;&gt;"",NOW(),"")</f>
        <v>44473.688311342594</v>
      </c>
      <c r="H73" s="40" t="str">
        <f t="shared" si="12"/>
        <v>N</v>
      </c>
      <c r="I73" s="40"/>
      <c r="J73" s="40" t="str">
        <f t="shared" si="9"/>
        <v>NC7.DOC.PASSPORT</v>
      </c>
      <c r="K73" s="40"/>
    </row>
    <row r="74" spans="1:11" x14ac:dyDescent="0.25">
      <c r="A74" s="40"/>
      <c r="B74" s="40" t="str">
        <f>Master[[#This Row],[Accession Prefix (NPGS)]]&amp;" "&amp;Master[[#This Row],[Accession Number -Assigned]]</f>
        <v>W6 59660</v>
      </c>
      <c r="C74" s="40" t="str">
        <f t="shared" si="8"/>
        <v>Historic documents</v>
      </c>
      <c r="D74" s="40" t="str">
        <f t="shared" si="10"/>
        <v>mm/dd/yyyy</v>
      </c>
      <c r="E74" s="156">
        <f>IF(Master[[#This Row],[Received Date -received by site]]="","",Master[[#This Row],[Received Date -received by site]])</f>
        <v>44466</v>
      </c>
      <c r="F74" s="40" t="str">
        <f t="shared" si="11"/>
        <v>mm/dd/yyyy</v>
      </c>
      <c r="G74" s="150">
        <f ca="1">IF(AccAction26[[#This Row],[Started Date]]&lt;&gt;"",NOW(),"")</f>
        <v>44473.688311342594</v>
      </c>
      <c r="H74" s="40" t="str">
        <f t="shared" si="12"/>
        <v>N</v>
      </c>
      <c r="I74" s="40"/>
      <c r="J74" s="40" t="str">
        <f t="shared" si="9"/>
        <v>NC7.DOC.PASSPORT</v>
      </c>
      <c r="K74" s="40"/>
    </row>
    <row r="75" spans="1:11" x14ac:dyDescent="0.25">
      <c r="A75" s="40"/>
      <c r="B75" s="40" t="str">
        <f>Master[[#This Row],[Accession Prefix (NPGS)]]&amp;" "&amp;Master[[#This Row],[Accession Number -Assigned]]</f>
        <v>W6 59661</v>
      </c>
      <c r="C75" s="40" t="str">
        <f t="shared" si="8"/>
        <v>Historic documents</v>
      </c>
      <c r="D75" s="40" t="str">
        <f t="shared" si="10"/>
        <v>mm/dd/yyyy</v>
      </c>
      <c r="E75" s="156">
        <f>IF(Master[[#This Row],[Received Date -received by site]]="","",Master[[#This Row],[Received Date -received by site]])</f>
        <v>44466</v>
      </c>
      <c r="F75" s="40" t="str">
        <f t="shared" si="11"/>
        <v>mm/dd/yyyy</v>
      </c>
      <c r="G75" s="150">
        <f ca="1">IF(AccAction26[[#This Row],[Started Date]]&lt;&gt;"",NOW(),"")</f>
        <v>44473.688311342594</v>
      </c>
      <c r="H75" s="40" t="str">
        <f t="shared" si="12"/>
        <v>N</v>
      </c>
      <c r="I75" s="40"/>
      <c r="J75" s="40" t="str">
        <f t="shared" si="9"/>
        <v>NC7.DOC.PASSPORT</v>
      </c>
      <c r="K75" s="40"/>
    </row>
    <row r="76" spans="1:11" x14ac:dyDescent="0.25">
      <c r="A76" s="40"/>
      <c r="B76" s="40" t="str">
        <f>Master[[#This Row],[Accession Prefix (NPGS)]]&amp;" "&amp;Master[[#This Row],[Accession Number -Assigned]]</f>
        <v>W6 59662</v>
      </c>
      <c r="C76" s="40" t="str">
        <f t="shared" si="8"/>
        <v>Historic documents</v>
      </c>
      <c r="D76" s="40" t="str">
        <f t="shared" si="10"/>
        <v>mm/dd/yyyy</v>
      </c>
      <c r="E76" s="156">
        <f>IF(Master[[#This Row],[Received Date -received by site]]="","",Master[[#This Row],[Received Date -received by site]])</f>
        <v>44466</v>
      </c>
      <c r="F76" s="40" t="str">
        <f t="shared" si="11"/>
        <v>mm/dd/yyyy</v>
      </c>
      <c r="G76" s="150">
        <f ca="1">IF(AccAction26[[#This Row],[Started Date]]&lt;&gt;"",NOW(),"")</f>
        <v>44473.688311342594</v>
      </c>
      <c r="H76" s="40" t="str">
        <f t="shared" si="12"/>
        <v>N</v>
      </c>
      <c r="I76" s="40"/>
      <c r="J76" s="40" t="str">
        <f t="shared" si="9"/>
        <v>NC7.DOC.PASSPORT</v>
      </c>
      <c r="K76" s="40"/>
    </row>
    <row r="77" spans="1:11" x14ac:dyDescent="0.25">
      <c r="A77" s="40"/>
      <c r="B77" s="40" t="str">
        <f>Master[[#This Row],[Accession Prefix (NPGS)]]&amp;" "&amp;Master[[#This Row],[Accession Number -Assigned]]</f>
        <v>W6 59663</v>
      </c>
      <c r="C77" s="40" t="str">
        <f t="shared" si="8"/>
        <v>Historic documents</v>
      </c>
      <c r="D77" s="40" t="str">
        <f t="shared" si="10"/>
        <v>mm/dd/yyyy</v>
      </c>
      <c r="E77" s="156">
        <f>IF(Master[[#This Row],[Received Date -received by site]]="","",Master[[#This Row],[Received Date -received by site]])</f>
        <v>44466</v>
      </c>
      <c r="F77" s="40" t="str">
        <f t="shared" si="11"/>
        <v>mm/dd/yyyy</v>
      </c>
      <c r="G77" s="150">
        <f ca="1">IF(AccAction26[[#This Row],[Started Date]]&lt;&gt;"",NOW(),"")</f>
        <v>44473.688311342594</v>
      </c>
      <c r="H77" s="40" t="str">
        <f t="shared" si="12"/>
        <v>N</v>
      </c>
      <c r="I77" s="40"/>
      <c r="J77" s="40" t="str">
        <f t="shared" si="9"/>
        <v>NC7.DOC.PASSPORT</v>
      </c>
      <c r="K77" s="40"/>
    </row>
    <row r="78" spans="1:11" x14ac:dyDescent="0.25">
      <c r="A78" s="40"/>
      <c r="B78" s="40" t="str">
        <f>Master[[#This Row],[Accession Prefix (NPGS)]]&amp;" "&amp;Master[[#This Row],[Accession Number -Assigned]]</f>
        <v>W6 59664</v>
      </c>
      <c r="C78" s="40" t="str">
        <f t="shared" si="8"/>
        <v>Historic documents</v>
      </c>
      <c r="D78" s="40" t="str">
        <f t="shared" si="10"/>
        <v>mm/dd/yyyy</v>
      </c>
      <c r="E78" s="156">
        <f>IF(Master[[#This Row],[Received Date -received by site]]="","",Master[[#This Row],[Received Date -received by site]])</f>
        <v>44466</v>
      </c>
      <c r="F78" s="40" t="str">
        <f t="shared" si="11"/>
        <v>mm/dd/yyyy</v>
      </c>
      <c r="G78" s="150">
        <f ca="1">IF(AccAction26[[#This Row],[Started Date]]&lt;&gt;"",NOW(),"")</f>
        <v>44473.688311342594</v>
      </c>
      <c r="H78" s="40" t="str">
        <f t="shared" si="12"/>
        <v>N</v>
      </c>
      <c r="I78" s="40"/>
      <c r="J78" s="40" t="str">
        <f t="shared" si="9"/>
        <v>NC7.DOC.PASSPORT</v>
      </c>
      <c r="K78" s="40"/>
    </row>
    <row r="79" spans="1:11" x14ac:dyDescent="0.25">
      <c r="A79" s="40"/>
      <c r="B79" s="40" t="str">
        <f>Master[[#This Row],[Accession Prefix (NPGS)]]&amp;" "&amp;Master[[#This Row],[Accession Number -Assigned]]</f>
        <v>W6 59665</v>
      </c>
      <c r="C79" s="40" t="str">
        <f t="shared" si="8"/>
        <v>Historic documents</v>
      </c>
      <c r="D79" s="40" t="str">
        <f t="shared" si="10"/>
        <v>mm/dd/yyyy</v>
      </c>
      <c r="E79" s="156">
        <f>IF(Master[[#This Row],[Received Date -received by site]]="","",Master[[#This Row],[Received Date -received by site]])</f>
        <v>44466</v>
      </c>
      <c r="F79" s="40" t="str">
        <f t="shared" si="11"/>
        <v>mm/dd/yyyy</v>
      </c>
      <c r="G79" s="150">
        <f ca="1">IF(AccAction26[[#This Row],[Started Date]]&lt;&gt;"",NOW(),"")</f>
        <v>44473.688311342594</v>
      </c>
      <c r="H79" s="40" t="str">
        <f t="shared" si="12"/>
        <v>N</v>
      </c>
      <c r="I79" s="40"/>
      <c r="J79" s="40" t="str">
        <f t="shared" si="9"/>
        <v>NC7.DOC.PASSPORT</v>
      </c>
      <c r="K79" s="40"/>
    </row>
    <row r="80" spans="1:11" x14ac:dyDescent="0.25">
      <c r="A80" s="40"/>
      <c r="B80" s="40" t="str">
        <f>Master[[#This Row],[Accession Prefix (NPGS)]]&amp;" "&amp;Master[[#This Row],[Accession Number -Assigned]]</f>
        <v>W6 59666</v>
      </c>
      <c r="C80" s="40" t="str">
        <f t="shared" si="8"/>
        <v>Historic documents</v>
      </c>
      <c r="D80" s="40" t="str">
        <f t="shared" si="10"/>
        <v>mm/dd/yyyy</v>
      </c>
      <c r="E80" s="156">
        <f>IF(Master[[#This Row],[Received Date -received by site]]="","",Master[[#This Row],[Received Date -received by site]])</f>
        <v>44466</v>
      </c>
      <c r="F80" s="40" t="str">
        <f t="shared" si="11"/>
        <v>mm/dd/yyyy</v>
      </c>
      <c r="G80" s="150">
        <f ca="1">IF(AccAction26[[#This Row],[Started Date]]&lt;&gt;"",NOW(),"")</f>
        <v>44473.688311342594</v>
      </c>
      <c r="H80" s="40" t="str">
        <f t="shared" si="12"/>
        <v>N</v>
      </c>
      <c r="I80" s="40"/>
      <c r="J80" s="40" t="str">
        <f t="shared" si="9"/>
        <v>NC7.DOC.PASSPORT</v>
      </c>
      <c r="K80" s="40"/>
    </row>
    <row r="81" spans="1:11" x14ac:dyDescent="0.25">
      <c r="A81" s="40"/>
      <c r="B81" s="40" t="str">
        <f>Master[[#This Row],[Accession Prefix (NPGS)]]&amp;" "&amp;Master[[#This Row],[Accession Number -Assigned]]</f>
        <v>W6 59667</v>
      </c>
      <c r="C81" s="40" t="str">
        <f t="shared" si="8"/>
        <v>Historic documents</v>
      </c>
      <c r="D81" s="40" t="str">
        <f t="shared" si="10"/>
        <v>mm/dd/yyyy</v>
      </c>
      <c r="E81" s="156">
        <f>IF(Master[[#This Row],[Received Date -received by site]]="","",Master[[#This Row],[Received Date -received by site]])</f>
        <v>44466</v>
      </c>
      <c r="F81" s="40" t="str">
        <f t="shared" si="11"/>
        <v>mm/dd/yyyy</v>
      </c>
      <c r="G81" s="150">
        <f ca="1">IF(AccAction26[[#This Row],[Started Date]]&lt;&gt;"",NOW(),"")</f>
        <v>44473.688311342594</v>
      </c>
      <c r="H81" s="40" t="str">
        <f t="shared" si="12"/>
        <v>N</v>
      </c>
      <c r="I81" s="40"/>
      <c r="J81" s="40" t="str">
        <f t="shared" si="9"/>
        <v>NC7.DOC.PASSPORT</v>
      </c>
      <c r="K81" s="40"/>
    </row>
    <row r="82" spans="1:11" x14ac:dyDescent="0.25">
      <c r="A82" s="40"/>
      <c r="B82" s="40" t="str">
        <f>Master[[#This Row],[Accession Prefix (NPGS)]]&amp;" "&amp;Master[[#This Row],[Accession Number -Assigned]]</f>
        <v>W6 59668</v>
      </c>
      <c r="C82" s="40" t="str">
        <f t="shared" si="8"/>
        <v>Historic documents</v>
      </c>
      <c r="D82" s="40" t="str">
        <f t="shared" si="10"/>
        <v>mm/dd/yyyy</v>
      </c>
      <c r="E82" s="156">
        <f>IF(Master[[#This Row],[Received Date -received by site]]="","",Master[[#This Row],[Received Date -received by site]])</f>
        <v>44466</v>
      </c>
      <c r="F82" s="40" t="str">
        <f t="shared" si="11"/>
        <v>mm/dd/yyyy</v>
      </c>
      <c r="G82" s="150">
        <f ca="1">IF(AccAction26[[#This Row],[Started Date]]&lt;&gt;"",NOW(),"")</f>
        <v>44473.688311342594</v>
      </c>
      <c r="H82" s="40" t="str">
        <f t="shared" si="12"/>
        <v>N</v>
      </c>
      <c r="I82" s="40"/>
      <c r="J82" s="40" t="str">
        <f t="shared" si="9"/>
        <v>NC7.DOC.PASSPORT</v>
      </c>
      <c r="K82" s="40"/>
    </row>
    <row r="83" spans="1:11" x14ac:dyDescent="0.25">
      <c r="A83" s="40"/>
      <c r="B83" s="40" t="str">
        <f>Master[[#This Row],[Accession Prefix (NPGS)]]&amp;" "&amp;Master[[#This Row],[Accession Number -Assigned]]</f>
        <v>W6 59669</v>
      </c>
      <c r="C83" s="40" t="str">
        <f t="shared" si="8"/>
        <v>Historic documents</v>
      </c>
      <c r="D83" s="40" t="str">
        <f t="shared" si="10"/>
        <v>mm/dd/yyyy</v>
      </c>
      <c r="E83" s="156">
        <f>IF(Master[[#This Row],[Received Date -received by site]]="","",Master[[#This Row],[Received Date -received by site]])</f>
        <v>44466</v>
      </c>
      <c r="F83" s="40" t="str">
        <f t="shared" si="11"/>
        <v>mm/dd/yyyy</v>
      </c>
      <c r="G83" s="150">
        <f ca="1">IF(AccAction26[[#This Row],[Started Date]]&lt;&gt;"",NOW(),"")</f>
        <v>44473.688311342594</v>
      </c>
      <c r="H83" s="40" t="str">
        <f t="shared" si="12"/>
        <v>N</v>
      </c>
      <c r="I83" s="40"/>
      <c r="J83" s="40" t="str">
        <f t="shared" si="9"/>
        <v>NC7.DOC.PASSPORT</v>
      </c>
      <c r="K83" s="40"/>
    </row>
    <row r="84" spans="1:11" x14ac:dyDescent="0.25">
      <c r="A84" s="40"/>
      <c r="B84" s="40" t="str">
        <f>Master[[#This Row],[Accession Prefix (NPGS)]]&amp;" "&amp;Master[[#This Row],[Accession Number -Assigned]]</f>
        <v>W6 59670</v>
      </c>
      <c r="C84" s="40" t="str">
        <f t="shared" si="8"/>
        <v>Historic documents</v>
      </c>
      <c r="D84" s="40" t="str">
        <f t="shared" si="10"/>
        <v>mm/dd/yyyy</v>
      </c>
      <c r="E84" s="156">
        <f>IF(Master[[#This Row],[Received Date -received by site]]="","",Master[[#This Row],[Received Date -received by site]])</f>
        <v>44466</v>
      </c>
      <c r="F84" s="40" t="str">
        <f t="shared" si="11"/>
        <v>mm/dd/yyyy</v>
      </c>
      <c r="G84" s="150">
        <f ca="1">IF(AccAction26[[#This Row],[Started Date]]&lt;&gt;"",NOW(),"")</f>
        <v>44473.688311342594</v>
      </c>
      <c r="H84" s="40" t="str">
        <f t="shared" si="12"/>
        <v>N</v>
      </c>
      <c r="I84" s="40"/>
      <c r="J84" s="40" t="str">
        <f t="shared" si="9"/>
        <v>NC7.DOC.PASSPORT</v>
      </c>
      <c r="K84" s="40"/>
    </row>
    <row r="85" spans="1:11" x14ac:dyDescent="0.25">
      <c r="A85" s="40"/>
      <c r="B85" s="40" t="str">
        <f>Master[[#This Row],[Accession Prefix (NPGS)]]&amp;" "&amp;Master[[#This Row],[Accession Number -Assigned]]</f>
        <v>W6 59671</v>
      </c>
      <c r="C85" s="40" t="str">
        <f t="shared" si="8"/>
        <v>Historic documents</v>
      </c>
      <c r="D85" s="40" t="str">
        <f t="shared" si="10"/>
        <v>mm/dd/yyyy</v>
      </c>
      <c r="E85" s="156">
        <f>IF(Master[[#This Row],[Received Date -received by site]]="","",Master[[#This Row],[Received Date -received by site]])</f>
        <v>44466</v>
      </c>
      <c r="F85" s="40" t="str">
        <f t="shared" si="11"/>
        <v>mm/dd/yyyy</v>
      </c>
      <c r="G85" s="150">
        <f ca="1">IF(AccAction26[[#This Row],[Started Date]]&lt;&gt;"",NOW(),"")</f>
        <v>44473.688311342594</v>
      </c>
      <c r="H85" s="40" t="str">
        <f t="shared" si="12"/>
        <v>N</v>
      </c>
      <c r="I85" s="40"/>
      <c r="J85" s="40" t="str">
        <f t="shared" si="9"/>
        <v>NC7.DOC.PASSPORT</v>
      </c>
      <c r="K85" s="40"/>
    </row>
    <row r="86" spans="1:11" x14ac:dyDescent="0.25">
      <c r="A86" s="40"/>
      <c r="B86" s="40" t="str">
        <f>Master[[#This Row],[Accession Prefix (NPGS)]]&amp;" "&amp;Master[[#This Row],[Accession Number -Assigned]]</f>
        <v>W6 59672</v>
      </c>
      <c r="C86" s="40" t="str">
        <f t="shared" si="8"/>
        <v>Historic documents</v>
      </c>
      <c r="D86" s="40" t="str">
        <f t="shared" si="10"/>
        <v>mm/dd/yyyy</v>
      </c>
      <c r="E86" s="156">
        <f>IF(Master[[#This Row],[Received Date -received by site]]="","",Master[[#This Row],[Received Date -received by site]])</f>
        <v>44466</v>
      </c>
      <c r="F86" s="40" t="str">
        <f t="shared" si="11"/>
        <v>mm/dd/yyyy</v>
      </c>
      <c r="G86" s="150">
        <f ca="1">IF(AccAction26[[#This Row],[Started Date]]&lt;&gt;"",NOW(),"")</f>
        <v>44473.688311342594</v>
      </c>
      <c r="H86" s="40" t="str">
        <f t="shared" si="12"/>
        <v>N</v>
      </c>
      <c r="I86" s="40"/>
      <c r="J86" s="40" t="str">
        <f t="shared" si="9"/>
        <v>NC7.DOC.PASSPORT</v>
      </c>
      <c r="K86" s="40"/>
    </row>
    <row r="87" spans="1:11" x14ac:dyDescent="0.25">
      <c r="A87" s="40"/>
      <c r="B87" s="40" t="str">
        <f>Master[[#This Row],[Accession Prefix (NPGS)]]&amp;" "&amp;Master[[#This Row],[Accession Number -Assigned]]</f>
        <v>W6 59673</v>
      </c>
      <c r="C87" s="40" t="str">
        <f t="shared" si="8"/>
        <v>Historic documents</v>
      </c>
      <c r="D87" s="40" t="str">
        <f t="shared" si="10"/>
        <v>mm/dd/yyyy</v>
      </c>
      <c r="E87" s="156">
        <f>IF(Master[[#This Row],[Received Date -received by site]]="","",Master[[#This Row],[Received Date -received by site]])</f>
        <v>44466</v>
      </c>
      <c r="F87" s="40" t="str">
        <f t="shared" si="11"/>
        <v>mm/dd/yyyy</v>
      </c>
      <c r="G87" s="150">
        <f ca="1">IF(AccAction26[[#This Row],[Started Date]]&lt;&gt;"",NOW(),"")</f>
        <v>44473.688311342594</v>
      </c>
      <c r="H87" s="40" t="str">
        <f t="shared" si="12"/>
        <v>N</v>
      </c>
      <c r="I87" s="40"/>
      <c r="J87" s="40" t="str">
        <f t="shared" si="9"/>
        <v>NC7.DOC.PASSPORT</v>
      </c>
      <c r="K87" s="40"/>
    </row>
    <row r="88" spans="1:11" x14ac:dyDescent="0.25">
      <c r="A88" s="40"/>
      <c r="B88" s="40" t="str">
        <f>Master[[#This Row],[Accession Prefix (NPGS)]]&amp;" "&amp;Master[[#This Row],[Accession Number -Assigned]]</f>
        <v>W6 59674</v>
      </c>
      <c r="C88" s="40" t="str">
        <f t="shared" si="8"/>
        <v>Historic documents</v>
      </c>
      <c r="D88" s="40" t="str">
        <f t="shared" si="10"/>
        <v>mm/dd/yyyy</v>
      </c>
      <c r="E88" s="156">
        <f>IF(Master[[#This Row],[Received Date -received by site]]="","",Master[[#This Row],[Received Date -received by site]])</f>
        <v>44466</v>
      </c>
      <c r="F88" s="40" t="str">
        <f t="shared" si="11"/>
        <v>mm/dd/yyyy</v>
      </c>
      <c r="G88" s="150">
        <f ca="1">IF(AccAction26[[#This Row],[Started Date]]&lt;&gt;"",NOW(),"")</f>
        <v>44473.688311342594</v>
      </c>
      <c r="H88" s="40" t="str">
        <f t="shared" si="12"/>
        <v>N</v>
      </c>
      <c r="I88" s="40"/>
      <c r="J88" s="40" t="str">
        <f t="shared" si="9"/>
        <v>NC7.DOC.PASSPORT</v>
      </c>
      <c r="K88" s="40"/>
    </row>
    <row r="89" spans="1:11" x14ac:dyDescent="0.25">
      <c r="A89" s="40"/>
      <c r="B89" s="40" t="str">
        <f>Master[[#This Row],[Accession Prefix (NPGS)]]&amp;" "&amp;Master[[#This Row],[Accession Number -Assigned]]</f>
        <v>W6 59675</v>
      </c>
      <c r="C89" s="40" t="str">
        <f t="shared" si="8"/>
        <v>Historic documents</v>
      </c>
      <c r="D89" s="40" t="str">
        <f t="shared" si="10"/>
        <v>mm/dd/yyyy</v>
      </c>
      <c r="E89" s="156">
        <f>IF(Master[[#This Row],[Received Date -received by site]]="","",Master[[#This Row],[Received Date -received by site]])</f>
        <v>44466</v>
      </c>
      <c r="F89" s="40" t="str">
        <f t="shared" si="11"/>
        <v>mm/dd/yyyy</v>
      </c>
      <c r="G89" s="150">
        <f ca="1">IF(AccAction26[[#This Row],[Started Date]]&lt;&gt;"",NOW(),"")</f>
        <v>44473.688311342594</v>
      </c>
      <c r="H89" s="40" t="str">
        <f t="shared" si="12"/>
        <v>N</v>
      </c>
      <c r="I89" s="40"/>
      <c r="J89" s="40" t="str">
        <f t="shared" si="9"/>
        <v>NC7.DOC.PASSPORT</v>
      </c>
      <c r="K89" s="40"/>
    </row>
    <row r="90" spans="1:11" x14ac:dyDescent="0.25">
      <c r="A90" s="40"/>
      <c r="B90" s="40" t="str">
        <f>Master[[#This Row],[Accession Prefix (NPGS)]]&amp;" "&amp;Master[[#This Row],[Accession Number -Assigned]]</f>
        <v>W6 59676</v>
      </c>
      <c r="C90" s="40" t="str">
        <f t="shared" si="8"/>
        <v>Historic documents</v>
      </c>
      <c r="D90" s="40" t="str">
        <f t="shared" si="10"/>
        <v>mm/dd/yyyy</v>
      </c>
      <c r="E90" s="156">
        <f>IF(Master[[#This Row],[Received Date -received by site]]="","",Master[[#This Row],[Received Date -received by site]])</f>
        <v>44466</v>
      </c>
      <c r="F90" s="40" t="str">
        <f t="shared" si="11"/>
        <v>mm/dd/yyyy</v>
      </c>
      <c r="G90" s="150">
        <f ca="1">IF(AccAction26[[#This Row],[Started Date]]&lt;&gt;"",NOW(),"")</f>
        <v>44473.688311342594</v>
      </c>
      <c r="H90" s="40" t="str">
        <f t="shared" si="12"/>
        <v>N</v>
      </c>
      <c r="I90" s="40"/>
      <c r="J90" s="40" t="str">
        <f t="shared" si="9"/>
        <v>NC7.DOC.PASSPORT</v>
      </c>
      <c r="K90" s="40"/>
    </row>
    <row r="91" spans="1:11" x14ac:dyDescent="0.25">
      <c r="A91" s="40"/>
      <c r="B91" s="40" t="str">
        <f>Master[[#This Row],[Accession Prefix (NPGS)]]&amp;" "&amp;Master[[#This Row],[Accession Number -Assigned]]</f>
        <v>W6 59677</v>
      </c>
      <c r="C91" s="40" t="str">
        <f t="shared" si="8"/>
        <v>Historic documents</v>
      </c>
      <c r="D91" s="40" t="str">
        <f t="shared" si="10"/>
        <v>mm/dd/yyyy</v>
      </c>
      <c r="E91" s="156">
        <f>IF(Master[[#This Row],[Received Date -received by site]]="","",Master[[#This Row],[Received Date -received by site]])</f>
        <v>44466</v>
      </c>
      <c r="F91" s="40" t="str">
        <f t="shared" si="11"/>
        <v>mm/dd/yyyy</v>
      </c>
      <c r="G91" s="150">
        <f ca="1">IF(AccAction26[[#This Row],[Started Date]]&lt;&gt;"",NOW(),"")</f>
        <v>44473.688311342594</v>
      </c>
      <c r="H91" s="40" t="str">
        <f t="shared" si="12"/>
        <v>N</v>
      </c>
      <c r="I91" s="40"/>
      <c r="J91" s="40" t="str">
        <f t="shared" si="9"/>
        <v>NC7.DOC.PASSPORT</v>
      </c>
      <c r="K91" s="40"/>
    </row>
    <row r="92" spans="1:11" x14ac:dyDescent="0.25">
      <c r="A92" s="40"/>
      <c r="B92" s="40" t="str">
        <f>Master[[#This Row],[Accession Prefix (NPGS)]]&amp;" "&amp;Master[[#This Row],[Accession Number -Assigned]]</f>
        <v>W6 59678</v>
      </c>
      <c r="C92" s="40" t="str">
        <f t="shared" si="8"/>
        <v>Historic documents</v>
      </c>
      <c r="D92" s="40" t="str">
        <f t="shared" si="10"/>
        <v>mm/dd/yyyy</v>
      </c>
      <c r="E92" s="156">
        <f>IF(Master[[#This Row],[Received Date -received by site]]="","",Master[[#This Row],[Received Date -received by site]])</f>
        <v>44466</v>
      </c>
      <c r="F92" s="40" t="str">
        <f t="shared" si="11"/>
        <v>mm/dd/yyyy</v>
      </c>
      <c r="G92" s="150">
        <f ca="1">IF(AccAction26[[#This Row],[Started Date]]&lt;&gt;"",NOW(),"")</f>
        <v>44473.688311342594</v>
      </c>
      <c r="H92" s="40" t="str">
        <f t="shared" si="12"/>
        <v>N</v>
      </c>
      <c r="I92" s="40"/>
      <c r="J92" s="40" t="str">
        <f t="shared" si="9"/>
        <v>NC7.DOC.PASSPORT</v>
      </c>
      <c r="K92" s="40"/>
    </row>
    <row r="93" spans="1:11" x14ac:dyDescent="0.25">
      <c r="A93" s="40"/>
      <c r="B93" s="40" t="str">
        <f>Master[[#This Row],[Accession Prefix (NPGS)]]&amp;" "&amp;Master[[#This Row],[Accession Number -Assigned]]</f>
        <v>W6 59679</v>
      </c>
      <c r="C93" s="40" t="str">
        <f t="shared" si="8"/>
        <v>Historic documents</v>
      </c>
      <c r="D93" s="40" t="str">
        <f t="shared" si="10"/>
        <v>mm/dd/yyyy</v>
      </c>
      <c r="E93" s="156">
        <f>IF(Master[[#This Row],[Received Date -received by site]]="","",Master[[#This Row],[Received Date -received by site]])</f>
        <v>44466</v>
      </c>
      <c r="F93" s="40" t="str">
        <f t="shared" si="11"/>
        <v>mm/dd/yyyy</v>
      </c>
      <c r="G93" s="150">
        <f ca="1">IF(AccAction26[[#This Row],[Started Date]]&lt;&gt;"",NOW(),"")</f>
        <v>44473.688311342594</v>
      </c>
      <c r="H93" s="40" t="str">
        <f t="shared" si="12"/>
        <v>N</v>
      </c>
      <c r="I93" s="40"/>
      <c r="J93" s="40" t="str">
        <f t="shared" si="9"/>
        <v>NC7.DOC.PASSPORT</v>
      </c>
      <c r="K93" s="40"/>
    </row>
    <row r="94" spans="1:11" x14ac:dyDescent="0.25">
      <c r="A94" s="40"/>
      <c r="B94" s="40" t="str">
        <f>Master[[#This Row],[Accession Prefix (NPGS)]]&amp;" "&amp;Master[[#This Row],[Accession Number -Assigned]]</f>
        <v>W6 59680</v>
      </c>
      <c r="C94" s="40" t="str">
        <f t="shared" si="8"/>
        <v>Historic documents</v>
      </c>
      <c r="D94" s="40" t="str">
        <f t="shared" si="10"/>
        <v>mm/dd/yyyy</v>
      </c>
      <c r="E94" s="156">
        <f>IF(Master[[#This Row],[Received Date -received by site]]="","",Master[[#This Row],[Received Date -received by site]])</f>
        <v>44466</v>
      </c>
      <c r="F94" s="40" t="str">
        <f t="shared" si="11"/>
        <v>mm/dd/yyyy</v>
      </c>
      <c r="G94" s="150">
        <f ca="1">IF(AccAction26[[#This Row],[Started Date]]&lt;&gt;"",NOW(),"")</f>
        <v>44473.688311342594</v>
      </c>
      <c r="H94" s="40" t="str">
        <f t="shared" si="12"/>
        <v>N</v>
      </c>
      <c r="I94" s="40"/>
      <c r="J94" s="40" t="str">
        <f t="shared" si="9"/>
        <v>NC7.DOC.PASSPORT</v>
      </c>
      <c r="K94" s="40"/>
    </row>
    <row r="95" spans="1:11" x14ac:dyDescent="0.25">
      <c r="A95" s="40"/>
      <c r="B95" s="40" t="str">
        <f>Master[[#This Row],[Accession Prefix (NPGS)]]&amp;" "&amp;Master[[#This Row],[Accession Number -Assigned]]</f>
        <v>W6 59681</v>
      </c>
      <c r="C95" s="40" t="str">
        <f t="shared" si="8"/>
        <v>Historic documents</v>
      </c>
      <c r="D95" s="40" t="str">
        <f t="shared" si="10"/>
        <v>mm/dd/yyyy</v>
      </c>
      <c r="E95" s="156">
        <f>IF(Master[[#This Row],[Received Date -received by site]]="","",Master[[#This Row],[Received Date -received by site]])</f>
        <v>44466</v>
      </c>
      <c r="F95" s="40" t="str">
        <f t="shared" si="11"/>
        <v>mm/dd/yyyy</v>
      </c>
      <c r="G95" s="150">
        <f ca="1">IF(AccAction26[[#This Row],[Started Date]]&lt;&gt;"",NOW(),"")</f>
        <v>44473.688311342594</v>
      </c>
      <c r="H95" s="40" t="str">
        <f t="shared" si="12"/>
        <v>N</v>
      </c>
      <c r="I95" s="40"/>
      <c r="J95" s="40" t="str">
        <f t="shared" si="9"/>
        <v>NC7.DOC.PASSPORT</v>
      </c>
      <c r="K95" s="40"/>
    </row>
    <row r="96" spans="1:11" x14ac:dyDescent="0.25">
      <c r="A96" s="40"/>
      <c r="B96" s="40" t="str">
        <f>Master[[#This Row],[Accession Prefix (NPGS)]]&amp;" "&amp;Master[[#This Row],[Accession Number -Assigned]]</f>
        <v>W6 59682</v>
      </c>
      <c r="C96" s="40" t="str">
        <f t="shared" si="8"/>
        <v>Historic documents</v>
      </c>
      <c r="D96" s="40" t="str">
        <f t="shared" si="10"/>
        <v>mm/dd/yyyy</v>
      </c>
      <c r="E96" s="156">
        <f>IF(Master[[#This Row],[Received Date -received by site]]="","",Master[[#This Row],[Received Date -received by site]])</f>
        <v>44466</v>
      </c>
      <c r="F96" s="40" t="str">
        <f t="shared" si="11"/>
        <v>mm/dd/yyyy</v>
      </c>
      <c r="G96" s="150">
        <f ca="1">IF(AccAction26[[#This Row],[Started Date]]&lt;&gt;"",NOW(),"")</f>
        <v>44473.688311342594</v>
      </c>
      <c r="H96" s="40" t="str">
        <f t="shared" si="12"/>
        <v>N</v>
      </c>
      <c r="I96" s="40"/>
      <c r="J96" s="40" t="str">
        <f t="shared" si="9"/>
        <v>NC7.DOC.PASSPORT</v>
      </c>
      <c r="K96" s="40"/>
    </row>
    <row r="97" spans="1:11" x14ac:dyDescent="0.25">
      <c r="A97" s="40"/>
      <c r="B97" s="40" t="str">
        <f>Master[[#This Row],[Accession Prefix (NPGS)]]&amp;" "&amp;Master[[#This Row],[Accession Number -Assigned]]</f>
        <v>W6 59683</v>
      </c>
      <c r="C97" s="40" t="str">
        <f t="shared" si="8"/>
        <v>Historic documents</v>
      </c>
      <c r="D97" s="40" t="str">
        <f t="shared" si="10"/>
        <v>mm/dd/yyyy</v>
      </c>
      <c r="E97" s="156">
        <f>IF(Master[[#This Row],[Received Date -received by site]]="","",Master[[#This Row],[Received Date -received by site]])</f>
        <v>44466</v>
      </c>
      <c r="F97" s="40" t="str">
        <f t="shared" si="11"/>
        <v>mm/dd/yyyy</v>
      </c>
      <c r="G97" s="150">
        <f ca="1">IF(AccAction26[[#This Row],[Started Date]]&lt;&gt;"",NOW(),"")</f>
        <v>44473.688311342594</v>
      </c>
      <c r="H97" s="40" t="str">
        <f t="shared" si="12"/>
        <v>N</v>
      </c>
      <c r="I97" s="40"/>
      <c r="J97" s="40" t="str">
        <f t="shared" si="9"/>
        <v>NC7.DOC.PASSPORT</v>
      </c>
      <c r="K97" s="40"/>
    </row>
    <row r="98" spans="1:11" x14ac:dyDescent="0.25">
      <c r="A98" s="40"/>
      <c r="B98" s="40" t="str">
        <f>Master[[#This Row],[Accession Prefix (NPGS)]]&amp;" "&amp;Master[[#This Row],[Accession Number -Assigned]]</f>
        <v>W6 59684</v>
      </c>
      <c r="C98" s="40" t="str">
        <f t="shared" ref="C98:C129" si="13">"Historic documents"</f>
        <v>Historic documents</v>
      </c>
      <c r="D98" s="40" t="str">
        <f t="shared" si="10"/>
        <v>mm/dd/yyyy</v>
      </c>
      <c r="E98" s="156">
        <f>IF(Master[[#This Row],[Received Date -received by site]]="","",Master[[#This Row],[Received Date -received by site]])</f>
        <v>44466</v>
      </c>
      <c r="F98" s="40" t="str">
        <f t="shared" si="11"/>
        <v>mm/dd/yyyy</v>
      </c>
      <c r="G98" s="150">
        <f ca="1">IF(AccAction26[[#This Row],[Started Date]]&lt;&gt;"",NOW(),"")</f>
        <v>44473.688311342594</v>
      </c>
      <c r="H98" s="40" t="str">
        <f t="shared" si="12"/>
        <v>N</v>
      </c>
      <c r="I98" s="40"/>
      <c r="J98" s="40" t="str">
        <f t="shared" ref="J98:J129" si="14">"NC7.DOC.PASSPORT"</f>
        <v>NC7.DOC.PASSPORT</v>
      </c>
      <c r="K98" s="40"/>
    </row>
    <row r="99" spans="1:11" x14ac:dyDescent="0.25">
      <c r="A99" s="40"/>
      <c r="B99" s="40" t="str">
        <f>Master[[#This Row],[Accession Prefix (NPGS)]]&amp;" "&amp;Master[[#This Row],[Accession Number -Assigned]]</f>
        <v>W6 59685</v>
      </c>
      <c r="C99" s="40" t="str">
        <f t="shared" si="13"/>
        <v>Historic documents</v>
      </c>
      <c r="D99" s="40" t="str">
        <f t="shared" si="10"/>
        <v>mm/dd/yyyy</v>
      </c>
      <c r="E99" s="156">
        <f>IF(Master[[#This Row],[Received Date -received by site]]="","",Master[[#This Row],[Received Date -received by site]])</f>
        <v>44466</v>
      </c>
      <c r="F99" s="40" t="str">
        <f t="shared" si="11"/>
        <v>mm/dd/yyyy</v>
      </c>
      <c r="G99" s="150">
        <f ca="1">IF(AccAction26[[#This Row],[Started Date]]&lt;&gt;"",NOW(),"")</f>
        <v>44473.688311342594</v>
      </c>
      <c r="H99" s="40" t="str">
        <f t="shared" si="12"/>
        <v>N</v>
      </c>
      <c r="I99" s="40"/>
      <c r="J99" s="40" t="str">
        <f t="shared" si="14"/>
        <v>NC7.DOC.PASSPORT</v>
      </c>
      <c r="K99" s="40"/>
    </row>
    <row r="100" spans="1:11" x14ac:dyDescent="0.25">
      <c r="A100" s="40"/>
      <c r="B100" s="40" t="str">
        <f>Master[[#This Row],[Accession Prefix (NPGS)]]&amp;" "&amp;Master[[#This Row],[Accession Number -Assigned]]</f>
        <v>W6 59686</v>
      </c>
      <c r="C100" s="40" t="str">
        <f t="shared" si="13"/>
        <v>Historic documents</v>
      </c>
      <c r="D100" s="40" t="str">
        <f t="shared" si="10"/>
        <v>mm/dd/yyyy</v>
      </c>
      <c r="E100" s="156">
        <f>IF(Master[[#This Row],[Received Date -received by site]]="","",Master[[#This Row],[Received Date -received by site]])</f>
        <v>44466</v>
      </c>
      <c r="F100" s="40" t="str">
        <f t="shared" si="11"/>
        <v>mm/dd/yyyy</v>
      </c>
      <c r="G100" s="150">
        <f ca="1">IF(AccAction26[[#This Row],[Started Date]]&lt;&gt;"",NOW(),"")</f>
        <v>44473.688311342594</v>
      </c>
      <c r="H100" s="40" t="str">
        <f t="shared" si="12"/>
        <v>N</v>
      </c>
      <c r="I100" s="40"/>
      <c r="J100" s="40" t="str">
        <f t="shared" si="14"/>
        <v>NC7.DOC.PASSPORT</v>
      </c>
      <c r="K100" s="40"/>
    </row>
    <row r="101" spans="1:11" x14ac:dyDescent="0.25">
      <c r="A101" s="40"/>
      <c r="B101" s="40" t="str">
        <f>Master[[#This Row],[Accession Prefix (NPGS)]]&amp;" "&amp;Master[[#This Row],[Accession Number -Assigned]]</f>
        <v>W6 59687</v>
      </c>
      <c r="C101" s="40" t="str">
        <f t="shared" si="13"/>
        <v>Historic documents</v>
      </c>
      <c r="D101" s="40" t="str">
        <f t="shared" si="10"/>
        <v>mm/dd/yyyy</v>
      </c>
      <c r="E101" s="156">
        <f>IF(Master[[#This Row],[Received Date -received by site]]="","",Master[[#This Row],[Received Date -received by site]])</f>
        <v>44466</v>
      </c>
      <c r="F101" s="40" t="str">
        <f t="shared" si="11"/>
        <v>mm/dd/yyyy</v>
      </c>
      <c r="G101" s="150">
        <f ca="1">IF(AccAction26[[#This Row],[Started Date]]&lt;&gt;"",NOW(),"")</f>
        <v>44473.688311342594</v>
      </c>
      <c r="H101" s="40" t="str">
        <f t="shared" si="12"/>
        <v>N</v>
      </c>
      <c r="I101" s="40"/>
      <c r="J101" s="40" t="str">
        <f t="shared" si="14"/>
        <v>NC7.DOC.PASSPORT</v>
      </c>
      <c r="K101" s="40"/>
    </row>
    <row r="102" spans="1:11" x14ac:dyDescent="0.25">
      <c r="A102" s="40"/>
      <c r="B102" s="40" t="str">
        <f>Master[[#This Row],[Accession Prefix (NPGS)]]&amp;" "&amp;Master[[#This Row],[Accession Number -Assigned]]</f>
        <v>W6 59688</v>
      </c>
      <c r="C102" s="40" t="str">
        <f t="shared" si="13"/>
        <v>Historic documents</v>
      </c>
      <c r="D102" s="40" t="str">
        <f t="shared" si="10"/>
        <v>mm/dd/yyyy</v>
      </c>
      <c r="E102" s="156">
        <f>IF(Master[[#This Row],[Received Date -received by site]]="","",Master[[#This Row],[Received Date -received by site]])</f>
        <v>44466</v>
      </c>
      <c r="F102" s="40" t="str">
        <f t="shared" si="11"/>
        <v>mm/dd/yyyy</v>
      </c>
      <c r="G102" s="150">
        <f ca="1">IF(AccAction26[[#This Row],[Started Date]]&lt;&gt;"",NOW(),"")</f>
        <v>44473.688311342594</v>
      </c>
      <c r="H102" s="40" t="str">
        <f t="shared" si="12"/>
        <v>N</v>
      </c>
      <c r="I102" s="40"/>
      <c r="J102" s="40" t="str">
        <f t="shared" si="14"/>
        <v>NC7.DOC.PASSPORT</v>
      </c>
      <c r="K102" s="40"/>
    </row>
    <row r="103" spans="1:11" x14ac:dyDescent="0.25">
      <c r="A103" s="40"/>
      <c r="B103" s="40" t="str">
        <f>Master[[#This Row],[Accession Prefix (NPGS)]]&amp;" "&amp;Master[[#This Row],[Accession Number -Assigned]]</f>
        <v>W6 59689</v>
      </c>
      <c r="C103" s="40" t="str">
        <f t="shared" si="13"/>
        <v>Historic documents</v>
      </c>
      <c r="D103" s="40" t="str">
        <f t="shared" si="10"/>
        <v>mm/dd/yyyy</v>
      </c>
      <c r="E103" s="156">
        <f>IF(Master[[#This Row],[Received Date -received by site]]="","",Master[[#This Row],[Received Date -received by site]])</f>
        <v>44466</v>
      </c>
      <c r="F103" s="40" t="str">
        <f t="shared" si="11"/>
        <v>mm/dd/yyyy</v>
      </c>
      <c r="G103" s="150">
        <f ca="1">IF(AccAction26[[#This Row],[Started Date]]&lt;&gt;"",NOW(),"")</f>
        <v>44473.688311342594</v>
      </c>
      <c r="H103" s="40" t="str">
        <f t="shared" si="12"/>
        <v>N</v>
      </c>
      <c r="I103" s="40"/>
      <c r="J103" s="40" t="str">
        <f t="shared" si="14"/>
        <v>NC7.DOC.PASSPORT</v>
      </c>
      <c r="K103" s="40"/>
    </row>
    <row r="104" spans="1:11" x14ac:dyDescent="0.25">
      <c r="A104" s="40"/>
      <c r="B104" s="40" t="str">
        <f>Master[[#This Row],[Accession Prefix (NPGS)]]&amp;" "&amp;Master[[#This Row],[Accession Number -Assigned]]</f>
        <v>W6 59690</v>
      </c>
      <c r="C104" s="40" t="str">
        <f t="shared" si="13"/>
        <v>Historic documents</v>
      </c>
      <c r="D104" s="40" t="str">
        <f t="shared" si="10"/>
        <v>mm/dd/yyyy</v>
      </c>
      <c r="E104" s="156">
        <f>IF(Master[[#This Row],[Received Date -received by site]]="","",Master[[#This Row],[Received Date -received by site]])</f>
        <v>44466</v>
      </c>
      <c r="F104" s="40" t="str">
        <f t="shared" si="11"/>
        <v>mm/dd/yyyy</v>
      </c>
      <c r="G104" s="150">
        <f ca="1">IF(AccAction26[[#This Row],[Started Date]]&lt;&gt;"",NOW(),"")</f>
        <v>44473.688311342594</v>
      </c>
      <c r="H104" s="40" t="str">
        <f t="shared" si="12"/>
        <v>N</v>
      </c>
      <c r="I104" s="40"/>
      <c r="J104" s="40" t="str">
        <f t="shared" si="14"/>
        <v>NC7.DOC.PASSPORT</v>
      </c>
      <c r="K104" s="40"/>
    </row>
    <row r="105" spans="1:11" x14ac:dyDescent="0.25">
      <c r="A105" s="40"/>
      <c r="B105" s="40" t="str">
        <f>Master[[#This Row],[Accession Prefix (NPGS)]]&amp;" "&amp;Master[[#This Row],[Accession Number -Assigned]]</f>
        <v>W6 59691</v>
      </c>
      <c r="C105" s="40" t="str">
        <f t="shared" si="13"/>
        <v>Historic documents</v>
      </c>
      <c r="D105" s="40" t="str">
        <f t="shared" si="10"/>
        <v>mm/dd/yyyy</v>
      </c>
      <c r="E105" s="156">
        <f>IF(Master[[#This Row],[Received Date -received by site]]="","",Master[[#This Row],[Received Date -received by site]])</f>
        <v>44466</v>
      </c>
      <c r="F105" s="40" t="str">
        <f t="shared" si="11"/>
        <v>mm/dd/yyyy</v>
      </c>
      <c r="G105" s="150">
        <f ca="1">IF(AccAction26[[#This Row],[Started Date]]&lt;&gt;"",NOW(),"")</f>
        <v>44473.688311342594</v>
      </c>
      <c r="H105" s="40" t="str">
        <f t="shared" si="12"/>
        <v>N</v>
      </c>
      <c r="I105" s="40"/>
      <c r="J105" s="40" t="str">
        <f t="shared" si="14"/>
        <v>NC7.DOC.PASSPORT</v>
      </c>
      <c r="K105" s="40"/>
    </row>
    <row r="106" spans="1:11" x14ac:dyDescent="0.25">
      <c r="A106" s="40"/>
      <c r="B106" s="40" t="str">
        <f>Master[[#This Row],[Accession Prefix (NPGS)]]&amp;" "&amp;Master[[#This Row],[Accession Number -Assigned]]</f>
        <v>W6 59692</v>
      </c>
      <c r="C106" s="40" t="str">
        <f t="shared" si="13"/>
        <v>Historic documents</v>
      </c>
      <c r="D106" s="40" t="str">
        <f t="shared" si="10"/>
        <v>mm/dd/yyyy</v>
      </c>
      <c r="E106" s="156">
        <f>IF(Master[[#This Row],[Received Date -received by site]]="","",Master[[#This Row],[Received Date -received by site]])</f>
        <v>44466</v>
      </c>
      <c r="F106" s="40" t="str">
        <f t="shared" si="11"/>
        <v>mm/dd/yyyy</v>
      </c>
      <c r="G106" s="150">
        <f ca="1">IF(AccAction26[[#This Row],[Started Date]]&lt;&gt;"",NOW(),"")</f>
        <v>44473.688311342594</v>
      </c>
      <c r="H106" s="40" t="str">
        <f t="shared" si="12"/>
        <v>N</v>
      </c>
      <c r="I106" s="40"/>
      <c r="J106" s="40" t="str">
        <f t="shared" si="14"/>
        <v>NC7.DOC.PASSPORT</v>
      </c>
      <c r="K106" s="40"/>
    </row>
    <row r="107" spans="1:11" x14ac:dyDescent="0.25">
      <c r="A107" s="40"/>
      <c r="B107" s="40" t="str">
        <f>Master[[#This Row],[Accession Prefix (NPGS)]]&amp;" "&amp;Master[[#This Row],[Accession Number -Assigned]]</f>
        <v>W6 59693</v>
      </c>
      <c r="C107" s="40" t="str">
        <f t="shared" si="13"/>
        <v>Historic documents</v>
      </c>
      <c r="D107" s="40" t="str">
        <f t="shared" si="10"/>
        <v>mm/dd/yyyy</v>
      </c>
      <c r="E107" s="156">
        <f>IF(Master[[#This Row],[Received Date -received by site]]="","",Master[[#This Row],[Received Date -received by site]])</f>
        <v>44466</v>
      </c>
      <c r="F107" s="40" t="str">
        <f t="shared" si="11"/>
        <v>mm/dd/yyyy</v>
      </c>
      <c r="G107" s="150">
        <f ca="1">IF(AccAction26[[#This Row],[Started Date]]&lt;&gt;"",NOW(),"")</f>
        <v>44473.688311342594</v>
      </c>
      <c r="H107" s="40" t="str">
        <f t="shared" si="12"/>
        <v>N</v>
      </c>
      <c r="I107" s="40"/>
      <c r="J107" s="40" t="str">
        <f t="shared" si="14"/>
        <v>NC7.DOC.PASSPORT</v>
      </c>
      <c r="K107" s="40"/>
    </row>
    <row r="108" spans="1:11" x14ac:dyDescent="0.25">
      <c r="A108" s="40"/>
      <c r="B108" s="40" t="str">
        <f>Master[[#This Row],[Accession Prefix (NPGS)]]&amp;" "&amp;Master[[#This Row],[Accession Number -Assigned]]</f>
        <v>W6 59694</v>
      </c>
      <c r="C108" s="40" t="str">
        <f t="shared" si="13"/>
        <v>Historic documents</v>
      </c>
      <c r="D108" s="40" t="str">
        <f t="shared" si="10"/>
        <v>mm/dd/yyyy</v>
      </c>
      <c r="E108" s="156">
        <f>IF(Master[[#This Row],[Received Date -received by site]]="","",Master[[#This Row],[Received Date -received by site]])</f>
        <v>44466</v>
      </c>
      <c r="F108" s="40" t="str">
        <f t="shared" si="11"/>
        <v>mm/dd/yyyy</v>
      </c>
      <c r="G108" s="150">
        <f ca="1">IF(AccAction26[[#This Row],[Started Date]]&lt;&gt;"",NOW(),"")</f>
        <v>44473.688311342594</v>
      </c>
      <c r="H108" s="40" t="str">
        <f t="shared" si="12"/>
        <v>N</v>
      </c>
      <c r="I108" s="40"/>
      <c r="J108" s="40" t="str">
        <f t="shared" si="14"/>
        <v>NC7.DOC.PASSPORT</v>
      </c>
      <c r="K108" s="40"/>
    </row>
    <row r="109" spans="1:11" x14ac:dyDescent="0.25">
      <c r="A109" s="40"/>
      <c r="B109" s="40" t="str">
        <f>Master[[#This Row],[Accession Prefix (NPGS)]]&amp;" "&amp;Master[[#This Row],[Accession Number -Assigned]]</f>
        <v>W6 59695</v>
      </c>
      <c r="C109" s="40" t="str">
        <f t="shared" si="13"/>
        <v>Historic documents</v>
      </c>
      <c r="D109" s="40" t="str">
        <f t="shared" si="10"/>
        <v>mm/dd/yyyy</v>
      </c>
      <c r="E109" s="156">
        <f>IF(Master[[#This Row],[Received Date -received by site]]="","",Master[[#This Row],[Received Date -received by site]])</f>
        <v>44466</v>
      </c>
      <c r="F109" s="40" t="str">
        <f t="shared" si="11"/>
        <v>mm/dd/yyyy</v>
      </c>
      <c r="G109" s="150">
        <f ca="1">IF(AccAction26[[#This Row],[Started Date]]&lt;&gt;"",NOW(),"")</f>
        <v>44473.688311342594</v>
      </c>
      <c r="H109" s="40" t="str">
        <f t="shared" si="12"/>
        <v>N</v>
      </c>
      <c r="I109" s="40"/>
      <c r="J109" s="40" t="str">
        <f t="shared" si="14"/>
        <v>NC7.DOC.PASSPORT</v>
      </c>
      <c r="K109" s="40"/>
    </row>
    <row r="110" spans="1:11" x14ac:dyDescent="0.25">
      <c r="A110" s="40"/>
      <c r="B110" s="40" t="str">
        <f>Master[[#This Row],[Accession Prefix (NPGS)]]&amp;" "&amp;Master[[#This Row],[Accession Number -Assigned]]</f>
        <v>W6 59696</v>
      </c>
      <c r="C110" s="40" t="str">
        <f t="shared" si="13"/>
        <v>Historic documents</v>
      </c>
      <c r="D110" s="40" t="str">
        <f t="shared" si="10"/>
        <v>mm/dd/yyyy</v>
      </c>
      <c r="E110" s="156">
        <f>IF(Master[[#This Row],[Received Date -received by site]]="","",Master[[#This Row],[Received Date -received by site]])</f>
        <v>44466</v>
      </c>
      <c r="F110" s="40" t="str">
        <f t="shared" si="11"/>
        <v>mm/dd/yyyy</v>
      </c>
      <c r="G110" s="150">
        <f ca="1">IF(AccAction26[[#This Row],[Started Date]]&lt;&gt;"",NOW(),"")</f>
        <v>44473.688311342594</v>
      </c>
      <c r="H110" s="40" t="str">
        <f t="shared" si="12"/>
        <v>N</v>
      </c>
      <c r="I110" s="40"/>
      <c r="J110" s="40" t="str">
        <f t="shared" si="14"/>
        <v>NC7.DOC.PASSPORT</v>
      </c>
      <c r="K110" s="40"/>
    </row>
    <row r="111" spans="1:11" x14ac:dyDescent="0.25">
      <c r="A111" s="40"/>
      <c r="B111" s="40" t="str">
        <f>Master[[#This Row],[Accession Prefix (NPGS)]]&amp;" "&amp;Master[[#This Row],[Accession Number -Assigned]]</f>
        <v>W6 59697</v>
      </c>
      <c r="C111" s="40" t="str">
        <f t="shared" si="13"/>
        <v>Historic documents</v>
      </c>
      <c r="D111" s="40" t="str">
        <f t="shared" si="10"/>
        <v>mm/dd/yyyy</v>
      </c>
      <c r="E111" s="156">
        <f>IF(Master[[#This Row],[Received Date -received by site]]="","",Master[[#This Row],[Received Date -received by site]])</f>
        <v>44466</v>
      </c>
      <c r="F111" s="40" t="str">
        <f t="shared" si="11"/>
        <v>mm/dd/yyyy</v>
      </c>
      <c r="G111" s="150">
        <f ca="1">IF(AccAction26[[#This Row],[Started Date]]&lt;&gt;"",NOW(),"")</f>
        <v>44473.688311342594</v>
      </c>
      <c r="H111" s="40" t="str">
        <f t="shared" si="12"/>
        <v>N</v>
      </c>
      <c r="I111" s="40"/>
      <c r="J111" s="40" t="str">
        <f t="shared" si="14"/>
        <v>NC7.DOC.PASSPORT</v>
      </c>
      <c r="K111" s="40"/>
    </row>
    <row r="112" spans="1:11" x14ac:dyDescent="0.25">
      <c r="A112" s="40"/>
      <c r="B112" s="40" t="str">
        <f>Master[[#This Row],[Accession Prefix (NPGS)]]&amp;" "&amp;Master[[#This Row],[Accession Number -Assigned]]</f>
        <v>W6 59698</v>
      </c>
      <c r="C112" s="40" t="str">
        <f t="shared" si="13"/>
        <v>Historic documents</v>
      </c>
      <c r="D112" s="40" t="str">
        <f t="shared" si="10"/>
        <v>mm/dd/yyyy</v>
      </c>
      <c r="E112" s="156">
        <f>IF(Master[[#This Row],[Received Date -received by site]]="","",Master[[#This Row],[Received Date -received by site]])</f>
        <v>44466</v>
      </c>
      <c r="F112" s="40" t="str">
        <f t="shared" si="11"/>
        <v>mm/dd/yyyy</v>
      </c>
      <c r="G112" s="150">
        <f ca="1">IF(AccAction26[[#This Row],[Started Date]]&lt;&gt;"",NOW(),"")</f>
        <v>44473.688311342594</v>
      </c>
      <c r="H112" s="40" t="str">
        <f t="shared" si="12"/>
        <v>N</v>
      </c>
      <c r="I112" s="40"/>
      <c r="J112" s="40" t="str">
        <f t="shared" si="14"/>
        <v>NC7.DOC.PASSPORT</v>
      </c>
      <c r="K112" s="40"/>
    </row>
    <row r="113" spans="1:11" x14ac:dyDescent="0.25">
      <c r="A113" s="40"/>
      <c r="B113" s="40" t="str">
        <f>Master[[#This Row],[Accession Prefix (NPGS)]]&amp;" "&amp;Master[[#This Row],[Accession Number -Assigned]]</f>
        <v>W6 59699</v>
      </c>
      <c r="C113" s="40" t="str">
        <f t="shared" si="13"/>
        <v>Historic documents</v>
      </c>
      <c r="D113" s="40" t="str">
        <f t="shared" si="10"/>
        <v>mm/dd/yyyy</v>
      </c>
      <c r="E113" s="156">
        <f>IF(Master[[#This Row],[Received Date -received by site]]="","",Master[[#This Row],[Received Date -received by site]])</f>
        <v>44466</v>
      </c>
      <c r="F113" s="40" t="str">
        <f t="shared" si="11"/>
        <v>mm/dd/yyyy</v>
      </c>
      <c r="G113" s="150">
        <f ca="1">IF(AccAction26[[#This Row],[Started Date]]&lt;&gt;"",NOW(),"")</f>
        <v>44473.688311342594</v>
      </c>
      <c r="H113" s="40" t="str">
        <f t="shared" si="12"/>
        <v>N</v>
      </c>
      <c r="I113" s="40"/>
      <c r="J113" s="40" t="str">
        <f t="shared" si="14"/>
        <v>NC7.DOC.PASSPORT</v>
      </c>
      <c r="K113" s="40"/>
    </row>
    <row r="114" spans="1:11" x14ac:dyDescent="0.25">
      <c r="A114" s="40"/>
      <c r="B114" s="40" t="str">
        <f>Master[[#This Row],[Accession Prefix (NPGS)]]&amp;" "&amp;Master[[#This Row],[Accession Number -Assigned]]</f>
        <v>W6 59700</v>
      </c>
      <c r="C114" s="40" t="str">
        <f t="shared" si="13"/>
        <v>Historic documents</v>
      </c>
      <c r="D114" s="40" t="str">
        <f t="shared" si="10"/>
        <v>mm/dd/yyyy</v>
      </c>
      <c r="E114" s="156">
        <f>IF(Master[[#This Row],[Received Date -received by site]]="","",Master[[#This Row],[Received Date -received by site]])</f>
        <v>44466</v>
      </c>
      <c r="F114" s="40" t="str">
        <f t="shared" si="11"/>
        <v>mm/dd/yyyy</v>
      </c>
      <c r="G114" s="150">
        <f ca="1">IF(AccAction26[[#This Row],[Started Date]]&lt;&gt;"",NOW(),"")</f>
        <v>44473.688311342594</v>
      </c>
      <c r="H114" s="40" t="str">
        <f t="shared" si="12"/>
        <v>N</v>
      </c>
      <c r="I114" s="40"/>
      <c r="J114" s="40" t="str">
        <f t="shared" si="14"/>
        <v>NC7.DOC.PASSPORT</v>
      </c>
      <c r="K114" s="40"/>
    </row>
    <row r="115" spans="1:11" x14ac:dyDescent="0.25">
      <c r="A115" s="40"/>
      <c r="B115" s="40" t="str">
        <f>Master[[#This Row],[Accession Prefix (NPGS)]]&amp;" "&amp;Master[[#This Row],[Accession Number -Assigned]]</f>
        <v>W6 59701</v>
      </c>
      <c r="C115" s="40" t="str">
        <f t="shared" si="13"/>
        <v>Historic documents</v>
      </c>
      <c r="D115" s="40" t="str">
        <f t="shared" si="10"/>
        <v>mm/dd/yyyy</v>
      </c>
      <c r="E115" s="156">
        <f>IF(Master[[#This Row],[Received Date -received by site]]="","",Master[[#This Row],[Received Date -received by site]])</f>
        <v>44466</v>
      </c>
      <c r="F115" s="40" t="str">
        <f t="shared" si="11"/>
        <v>mm/dd/yyyy</v>
      </c>
      <c r="G115" s="150">
        <f ca="1">IF(AccAction26[[#This Row],[Started Date]]&lt;&gt;"",NOW(),"")</f>
        <v>44473.688311342594</v>
      </c>
      <c r="H115" s="40" t="str">
        <f t="shared" si="12"/>
        <v>N</v>
      </c>
      <c r="I115" s="40"/>
      <c r="J115" s="40" t="str">
        <f t="shared" si="14"/>
        <v>NC7.DOC.PASSPORT</v>
      </c>
      <c r="K115" s="40"/>
    </row>
    <row r="116" spans="1:11" x14ac:dyDescent="0.25">
      <c r="A116" s="40"/>
      <c r="B116" s="40" t="str">
        <f>Master[[#This Row],[Accession Prefix (NPGS)]]&amp;" "&amp;Master[[#This Row],[Accession Number -Assigned]]</f>
        <v>W6 59702</v>
      </c>
      <c r="C116" s="40" t="str">
        <f t="shared" si="13"/>
        <v>Historic documents</v>
      </c>
      <c r="D116" s="40" t="str">
        <f t="shared" si="10"/>
        <v>mm/dd/yyyy</v>
      </c>
      <c r="E116" s="156">
        <f>IF(Master[[#This Row],[Received Date -received by site]]="","",Master[[#This Row],[Received Date -received by site]])</f>
        <v>44466</v>
      </c>
      <c r="F116" s="40" t="str">
        <f t="shared" si="11"/>
        <v>mm/dd/yyyy</v>
      </c>
      <c r="G116" s="150">
        <f ca="1">IF(AccAction26[[#This Row],[Started Date]]&lt;&gt;"",NOW(),"")</f>
        <v>44473.688311342594</v>
      </c>
      <c r="H116" s="40" t="str">
        <f t="shared" si="12"/>
        <v>N</v>
      </c>
      <c r="I116" s="40"/>
      <c r="J116" s="40" t="str">
        <f t="shared" si="14"/>
        <v>NC7.DOC.PASSPORT</v>
      </c>
      <c r="K116" s="40"/>
    </row>
    <row r="117" spans="1:11" x14ac:dyDescent="0.25">
      <c r="A117" s="40"/>
      <c r="B117" s="40" t="str">
        <f>Master[[#This Row],[Accession Prefix (NPGS)]]&amp;" "&amp;Master[[#This Row],[Accession Number -Assigned]]</f>
        <v>W6 59703</v>
      </c>
      <c r="C117" s="40" t="str">
        <f t="shared" si="13"/>
        <v>Historic documents</v>
      </c>
      <c r="D117" s="40" t="str">
        <f t="shared" si="10"/>
        <v>mm/dd/yyyy</v>
      </c>
      <c r="E117" s="156">
        <f>IF(Master[[#This Row],[Received Date -received by site]]="","",Master[[#This Row],[Received Date -received by site]])</f>
        <v>44466</v>
      </c>
      <c r="F117" s="40" t="str">
        <f t="shared" si="11"/>
        <v>mm/dd/yyyy</v>
      </c>
      <c r="G117" s="150">
        <f ca="1">IF(AccAction26[[#This Row],[Started Date]]&lt;&gt;"",NOW(),"")</f>
        <v>44473.688311342594</v>
      </c>
      <c r="H117" s="40" t="str">
        <f t="shared" si="12"/>
        <v>N</v>
      </c>
      <c r="I117" s="40"/>
      <c r="J117" s="40" t="str">
        <f t="shared" si="14"/>
        <v>NC7.DOC.PASSPORT</v>
      </c>
      <c r="K117" s="40"/>
    </row>
    <row r="118" spans="1:11" x14ac:dyDescent="0.25">
      <c r="A118" s="40"/>
      <c r="B118" s="40" t="str">
        <f>Master[[#This Row],[Accession Prefix (NPGS)]]&amp;" "&amp;Master[[#This Row],[Accession Number -Assigned]]</f>
        <v>W6 59704</v>
      </c>
      <c r="C118" s="40" t="str">
        <f t="shared" si="13"/>
        <v>Historic documents</v>
      </c>
      <c r="D118" s="40" t="str">
        <f t="shared" si="10"/>
        <v>mm/dd/yyyy</v>
      </c>
      <c r="E118" s="156">
        <f>IF(Master[[#This Row],[Received Date -received by site]]="","",Master[[#This Row],[Received Date -received by site]])</f>
        <v>44466</v>
      </c>
      <c r="F118" s="40" t="str">
        <f t="shared" si="11"/>
        <v>mm/dd/yyyy</v>
      </c>
      <c r="G118" s="150">
        <f ca="1">IF(AccAction26[[#This Row],[Started Date]]&lt;&gt;"",NOW(),"")</f>
        <v>44473.688311342594</v>
      </c>
      <c r="H118" s="40" t="str">
        <f t="shared" si="12"/>
        <v>N</v>
      </c>
      <c r="I118" s="40"/>
      <c r="J118" s="40" t="str">
        <f t="shared" si="14"/>
        <v>NC7.DOC.PASSPORT</v>
      </c>
      <c r="K118" s="40"/>
    </row>
    <row r="119" spans="1:11" x14ac:dyDescent="0.25">
      <c r="A119" s="40"/>
      <c r="B119" s="40" t="str">
        <f>Master[[#This Row],[Accession Prefix (NPGS)]]&amp;" "&amp;Master[[#This Row],[Accession Number -Assigned]]</f>
        <v>W6 59705</v>
      </c>
      <c r="C119" s="40" t="str">
        <f t="shared" si="13"/>
        <v>Historic documents</v>
      </c>
      <c r="D119" s="40" t="str">
        <f t="shared" si="10"/>
        <v>mm/dd/yyyy</v>
      </c>
      <c r="E119" s="156">
        <f>IF(Master[[#This Row],[Received Date -received by site]]="","",Master[[#This Row],[Received Date -received by site]])</f>
        <v>44466</v>
      </c>
      <c r="F119" s="40" t="str">
        <f t="shared" si="11"/>
        <v>mm/dd/yyyy</v>
      </c>
      <c r="G119" s="150">
        <f ca="1">IF(AccAction26[[#This Row],[Started Date]]&lt;&gt;"",NOW(),"")</f>
        <v>44473.688311342594</v>
      </c>
      <c r="H119" s="40" t="str">
        <f t="shared" si="12"/>
        <v>N</v>
      </c>
      <c r="I119" s="40"/>
      <c r="J119" s="40" t="str">
        <f t="shared" si="14"/>
        <v>NC7.DOC.PASSPORT</v>
      </c>
      <c r="K119" s="40"/>
    </row>
    <row r="120" spans="1:11" x14ac:dyDescent="0.25">
      <c r="A120" s="40"/>
      <c r="B120" s="40" t="str">
        <f>Master[[#This Row],[Accession Prefix (NPGS)]]&amp;" "&amp;Master[[#This Row],[Accession Number -Assigned]]</f>
        <v>W6 59706</v>
      </c>
      <c r="C120" s="40" t="str">
        <f t="shared" si="13"/>
        <v>Historic documents</v>
      </c>
      <c r="D120" s="40" t="str">
        <f t="shared" si="10"/>
        <v>mm/dd/yyyy</v>
      </c>
      <c r="E120" s="156">
        <f>IF(Master[[#This Row],[Received Date -received by site]]="","",Master[[#This Row],[Received Date -received by site]])</f>
        <v>44466</v>
      </c>
      <c r="F120" s="40" t="str">
        <f t="shared" si="11"/>
        <v>mm/dd/yyyy</v>
      </c>
      <c r="G120" s="150">
        <f ca="1">IF(AccAction26[[#This Row],[Started Date]]&lt;&gt;"",NOW(),"")</f>
        <v>44473.688311342594</v>
      </c>
      <c r="H120" s="40" t="str">
        <f t="shared" si="12"/>
        <v>N</v>
      </c>
      <c r="I120" s="40"/>
      <c r="J120" s="40" t="str">
        <f t="shared" si="14"/>
        <v>NC7.DOC.PASSPORT</v>
      </c>
      <c r="K120" s="40"/>
    </row>
    <row r="121" spans="1:11" x14ac:dyDescent="0.25">
      <c r="A121" s="40"/>
      <c r="B121" s="40" t="str">
        <f>Master[[#This Row],[Accession Prefix (NPGS)]]&amp;" "&amp;Master[[#This Row],[Accession Number -Assigned]]</f>
        <v>W6 59707</v>
      </c>
      <c r="C121" s="40" t="str">
        <f t="shared" si="13"/>
        <v>Historic documents</v>
      </c>
      <c r="D121" s="40" t="str">
        <f t="shared" si="10"/>
        <v>mm/dd/yyyy</v>
      </c>
      <c r="E121" s="156">
        <f>IF(Master[[#This Row],[Received Date -received by site]]="","",Master[[#This Row],[Received Date -received by site]])</f>
        <v>44466</v>
      </c>
      <c r="F121" s="40" t="str">
        <f t="shared" si="11"/>
        <v>mm/dd/yyyy</v>
      </c>
      <c r="G121" s="150">
        <f ca="1">IF(AccAction26[[#This Row],[Started Date]]&lt;&gt;"",NOW(),"")</f>
        <v>44473.688311342594</v>
      </c>
      <c r="H121" s="40" t="str">
        <f t="shared" si="12"/>
        <v>N</v>
      </c>
      <c r="I121" s="40"/>
      <c r="J121" s="40" t="str">
        <f t="shared" si="14"/>
        <v>NC7.DOC.PASSPORT</v>
      </c>
      <c r="K121" s="40"/>
    </row>
    <row r="122" spans="1:11" x14ac:dyDescent="0.25">
      <c r="A122" s="40"/>
      <c r="B122" s="40" t="str">
        <f>Master[[#This Row],[Accession Prefix (NPGS)]]&amp;" "&amp;Master[[#This Row],[Accession Number -Assigned]]</f>
        <v>W6 59708</v>
      </c>
      <c r="C122" s="40" t="str">
        <f t="shared" si="13"/>
        <v>Historic documents</v>
      </c>
      <c r="D122" s="40" t="str">
        <f t="shared" si="10"/>
        <v>mm/dd/yyyy</v>
      </c>
      <c r="E122" s="156">
        <f>IF(Master[[#This Row],[Received Date -received by site]]="","",Master[[#This Row],[Received Date -received by site]])</f>
        <v>44466</v>
      </c>
      <c r="F122" s="40" t="str">
        <f t="shared" si="11"/>
        <v>mm/dd/yyyy</v>
      </c>
      <c r="G122" s="150">
        <f ca="1">IF(AccAction26[[#This Row],[Started Date]]&lt;&gt;"",NOW(),"")</f>
        <v>44473.688311342594</v>
      </c>
      <c r="H122" s="40" t="str">
        <f t="shared" si="12"/>
        <v>N</v>
      </c>
      <c r="I122" s="40"/>
      <c r="J122" s="40" t="str">
        <f t="shared" si="14"/>
        <v>NC7.DOC.PASSPORT</v>
      </c>
      <c r="K122" s="40"/>
    </row>
    <row r="123" spans="1:11" x14ac:dyDescent="0.25">
      <c r="A123" s="40"/>
      <c r="B123" s="40" t="str">
        <f>Master[[#This Row],[Accession Prefix (NPGS)]]&amp;" "&amp;Master[[#This Row],[Accession Number -Assigned]]</f>
        <v>W6 59709</v>
      </c>
      <c r="C123" s="40" t="str">
        <f t="shared" si="13"/>
        <v>Historic documents</v>
      </c>
      <c r="D123" s="40" t="str">
        <f t="shared" si="10"/>
        <v>mm/dd/yyyy</v>
      </c>
      <c r="E123" s="156">
        <f>IF(Master[[#This Row],[Received Date -received by site]]="","",Master[[#This Row],[Received Date -received by site]])</f>
        <v>44466</v>
      </c>
      <c r="F123" s="40" t="str">
        <f t="shared" si="11"/>
        <v>mm/dd/yyyy</v>
      </c>
      <c r="G123" s="150">
        <f ca="1">IF(AccAction26[[#This Row],[Started Date]]&lt;&gt;"",NOW(),"")</f>
        <v>44473.688311342594</v>
      </c>
      <c r="H123" s="40" t="str">
        <f t="shared" si="12"/>
        <v>N</v>
      </c>
      <c r="I123" s="40"/>
      <c r="J123" s="40" t="str">
        <f t="shared" si="14"/>
        <v>NC7.DOC.PASSPORT</v>
      </c>
      <c r="K123" s="40"/>
    </row>
    <row r="124" spans="1:11" x14ac:dyDescent="0.25">
      <c r="A124" s="40"/>
      <c r="B124" s="40" t="str">
        <f>Master[[#This Row],[Accession Prefix (NPGS)]]&amp;" "&amp;Master[[#This Row],[Accession Number -Assigned]]</f>
        <v>W6 59710</v>
      </c>
      <c r="C124" s="40" t="str">
        <f t="shared" si="13"/>
        <v>Historic documents</v>
      </c>
      <c r="D124" s="40" t="str">
        <f t="shared" si="10"/>
        <v>mm/dd/yyyy</v>
      </c>
      <c r="E124" s="156">
        <f>IF(Master[[#This Row],[Received Date -received by site]]="","",Master[[#This Row],[Received Date -received by site]])</f>
        <v>44466</v>
      </c>
      <c r="F124" s="40" t="str">
        <f t="shared" si="11"/>
        <v>mm/dd/yyyy</v>
      </c>
      <c r="G124" s="150">
        <f ca="1">IF(AccAction26[[#This Row],[Started Date]]&lt;&gt;"",NOW(),"")</f>
        <v>44473.688311342594</v>
      </c>
      <c r="H124" s="40" t="str">
        <f t="shared" si="12"/>
        <v>N</v>
      </c>
      <c r="I124" s="40"/>
      <c r="J124" s="40" t="str">
        <f t="shared" si="14"/>
        <v>NC7.DOC.PASSPORT</v>
      </c>
      <c r="K124" s="40"/>
    </row>
    <row r="125" spans="1:11" x14ac:dyDescent="0.25">
      <c r="A125" s="40"/>
      <c r="B125" s="40" t="str">
        <f>Master[[#This Row],[Accession Prefix (NPGS)]]&amp;" "&amp;Master[[#This Row],[Accession Number -Assigned]]</f>
        <v>W6 59711</v>
      </c>
      <c r="C125" s="40" t="str">
        <f t="shared" si="13"/>
        <v>Historic documents</v>
      </c>
      <c r="D125" s="40" t="str">
        <f t="shared" si="10"/>
        <v>mm/dd/yyyy</v>
      </c>
      <c r="E125" s="156">
        <f>IF(Master[[#This Row],[Received Date -received by site]]="","",Master[[#This Row],[Received Date -received by site]])</f>
        <v>44466</v>
      </c>
      <c r="F125" s="40" t="str">
        <f t="shared" si="11"/>
        <v>mm/dd/yyyy</v>
      </c>
      <c r="G125" s="150">
        <f ca="1">IF(AccAction26[[#This Row],[Started Date]]&lt;&gt;"",NOW(),"")</f>
        <v>44473.688311342594</v>
      </c>
      <c r="H125" s="40" t="str">
        <f t="shared" si="12"/>
        <v>N</v>
      </c>
      <c r="I125" s="40"/>
      <c r="J125" s="40" t="str">
        <f t="shared" si="14"/>
        <v>NC7.DOC.PASSPORT</v>
      </c>
      <c r="K125" s="40"/>
    </row>
    <row r="126" spans="1:11" x14ac:dyDescent="0.25">
      <c r="A126" s="40"/>
      <c r="B126" s="40" t="str">
        <f>Master[[#This Row],[Accession Prefix (NPGS)]]&amp;" "&amp;Master[[#This Row],[Accession Number -Assigned]]</f>
        <v>W6 59712</v>
      </c>
      <c r="C126" s="40" t="str">
        <f t="shared" si="13"/>
        <v>Historic documents</v>
      </c>
      <c r="D126" s="40" t="str">
        <f t="shared" si="10"/>
        <v>mm/dd/yyyy</v>
      </c>
      <c r="E126" s="156">
        <f>IF(Master[[#This Row],[Received Date -received by site]]="","",Master[[#This Row],[Received Date -received by site]])</f>
        <v>44466</v>
      </c>
      <c r="F126" s="40" t="str">
        <f t="shared" si="11"/>
        <v>mm/dd/yyyy</v>
      </c>
      <c r="G126" s="150">
        <f ca="1">IF(AccAction26[[#This Row],[Started Date]]&lt;&gt;"",NOW(),"")</f>
        <v>44473.688311342594</v>
      </c>
      <c r="H126" s="40" t="str">
        <f t="shared" si="12"/>
        <v>N</v>
      </c>
      <c r="I126" s="40"/>
      <c r="J126" s="40" t="str">
        <f t="shared" si="14"/>
        <v>NC7.DOC.PASSPORT</v>
      </c>
      <c r="K126" s="40"/>
    </row>
    <row r="127" spans="1:11" x14ac:dyDescent="0.25">
      <c r="A127" s="40"/>
      <c r="B127" s="40" t="str">
        <f>Master[[#This Row],[Accession Prefix (NPGS)]]&amp;" "&amp;Master[[#This Row],[Accession Number -Assigned]]</f>
        <v>W6 59713</v>
      </c>
      <c r="C127" s="40" t="str">
        <f t="shared" si="13"/>
        <v>Historic documents</v>
      </c>
      <c r="D127" s="40" t="str">
        <f t="shared" si="10"/>
        <v>mm/dd/yyyy</v>
      </c>
      <c r="E127" s="156">
        <f>IF(Master[[#This Row],[Received Date -received by site]]="","",Master[[#This Row],[Received Date -received by site]])</f>
        <v>44466</v>
      </c>
      <c r="F127" s="40" t="str">
        <f t="shared" si="11"/>
        <v>mm/dd/yyyy</v>
      </c>
      <c r="G127" s="150">
        <f ca="1">IF(AccAction26[[#This Row],[Started Date]]&lt;&gt;"",NOW(),"")</f>
        <v>44473.688311342594</v>
      </c>
      <c r="H127" s="40" t="str">
        <f t="shared" si="12"/>
        <v>N</v>
      </c>
      <c r="I127" s="40"/>
      <c r="J127" s="40" t="str">
        <f t="shared" si="14"/>
        <v>NC7.DOC.PASSPORT</v>
      </c>
      <c r="K127" s="40"/>
    </row>
    <row r="128" spans="1:11" x14ac:dyDescent="0.25">
      <c r="A128" s="40"/>
      <c r="B128" s="40" t="str">
        <f>Master[[#This Row],[Accession Prefix (NPGS)]]&amp;" "&amp;Master[[#This Row],[Accession Number -Assigned]]</f>
        <v>W6 59714</v>
      </c>
      <c r="C128" s="40" t="str">
        <f t="shared" si="13"/>
        <v>Historic documents</v>
      </c>
      <c r="D128" s="40" t="str">
        <f t="shared" si="10"/>
        <v>mm/dd/yyyy</v>
      </c>
      <c r="E128" s="156">
        <f>IF(Master[[#This Row],[Received Date -received by site]]="","",Master[[#This Row],[Received Date -received by site]])</f>
        <v>44466</v>
      </c>
      <c r="F128" s="40" t="str">
        <f t="shared" si="11"/>
        <v>mm/dd/yyyy</v>
      </c>
      <c r="G128" s="150">
        <f ca="1">IF(AccAction26[[#This Row],[Started Date]]&lt;&gt;"",NOW(),"")</f>
        <v>44473.688311342594</v>
      </c>
      <c r="H128" s="40" t="str">
        <f t="shared" si="12"/>
        <v>N</v>
      </c>
      <c r="I128" s="40"/>
      <c r="J128" s="40" t="str">
        <f t="shared" si="14"/>
        <v>NC7.DOC.PASSPORT</v>
      </c>
      <c r="K128" s="40"/>
    </row>
    <row r="129" spans="1:11" x14ac:dyDescent="0.25">
      <c r="A129" s="40"/>
      <c r="B129" s="40" t="str">
        <f>Master[[#This Row],[Accession Prefix (NPGS)]]&amp;" "&amp;Master[[#This Row],[Accession Number -Assigned]]</f>
        <v>W6 59715</v>
      </c>
      <c r="C129" s="40" t="str">
        <f t="shared" si="13"/>
        <v>Historic documents</v>
      </c>
      <c r="D129" s="40" t="str">
        <f t="shared" si="10"/>
        <v>mm/dd/yyyy</v>
      </c>
      <c r="E129" s="156">
        <f>IF(Master[[#This Row],[Received Date -received by site]]="","",Master[[#This Row],[Received Date -received by site]])</f>
        <v>44466</v>
      </c>
      <c r="F129" s="40" t="str">
        <f t="shared" si="11"/>
        <v>mm/dd/yyyy</v>
      </c>
      <c r="G129" s="150">
        <f ca="1">IF(AccAction26[[#This Row],[Started Date]]&lt;&gt;"",NOW(),"")</f>
        <v>44473.688311342594</v>
      </c>
      <c r="H129" s="40" t="str">
        <f t="shared" si="12"/>
        <v>N</v>
      </c>
      <c r="I129" s="40"/>
      <c r="J129" s="40" t="str">
        <f t="shared" si="14"/>
        <v>NC7.DOC.PASSPORT</v>
      </c>
      <c r="K129" s="40"/>
    </row>
    <row r="130" spans="1:11" x14ac:dyDescent="0.25">
      <c r="A130" s="40"/>
      <c r="B130" s="40" t="str">
        <f>Master[[#This Row],[Accession Prefix (NPGS)]]&amp;" "&amp;Master[[#This Row],[Accession Number -Assigned]]</f>
        <v>W6 59716</v>
      </c>
      <c r="C130" s="40" t="str">
        <f t="shared" ref="C130:C161" si="15">"Historic documents"</f>
        <v>Historic documents</v>
      </c>
      <c r="D130" s="40" t="str">
        <f t="shared" si="10"/>
        <v>mm/dd/yyyy</v>
      </c>
      <c r="E130" s="156">
        <f>IF(Master[[#This Row],[Received Date -received by site]]="","",Master[[#This Row],[Received Date -received by site]])</f>
        <v>44466</v>
      </c>
      <c r="F130" s="40" t="str">
        <f t="shared" si="11"/>
        <v>mm/dd/yyyy</v>
      </c>
      <c r="G130" s="150">
        <f ca="1">IF(AccAction26[[#This Row],[Started Date]]&lt;&gt;"",NOW(),"")</f>
        <v>44473.688311342594</v>
      </c>
      <c r="H130" s="40" t="str">
        <f t="shared" si="12"/>
        <v>N</v>
      </c>
      <c r="I130" s="40"/>
      <c r="J130" s="40" t="str">
        <f t="shared" ref="J130:J161" si="16">"NC7.DOC.PASSPORT"</f>
        <v>NC7.DOC.PASSPORT</v>
      </c>
      <c r="K130" s="40"/>
    </row>
    <row r="131" spans="1:11" x14ac:dyDescent="0.25">
      <c r="A131" s="40"/>
      <c r="B131" s="40" t="str">
        <f>Master[[#This Row],[Accession Prefix (NPGS)]]&amp;" "&amp;Master[[#This Row],[Accession Number -Assigned]]</f>
        <v>W6 59717</v>
      </c>
      <c r="C131" s="40" t="str">
        <f t="shared" si="15"/>
        <v>Historic documents</v>
      </c>
      <c r="D131" s="40" t="str">
        <f t="shared" ref="D131:D194" si="17">"mm/dd/yyyy"</f>
        <v>mm/dd/yyyy</v>
      </c>
      <c r="E131" s="156">
        <f>IF(Master[[#This Row],[Received Date -received by site]]="","",Master[[#This Row],[Received Date -received by site]])</f>
        <v>44466</v>
      </c>
      <c r="F131" s="40" t="str">
        <f t="shared" ref="F131:F194" si="18">"mm/dd/yyyy"</f>
        <v>mm/dd/yyyy</v>
      </c>
      <c r="G131" s="150">
        <f ca="1">IF(AccAction26[[#This Row],[Started Date]]&lt;&gt;"",NOW(),"")</f>
        <v>44473.688311342594</v>
      </c>
      <c r="H131" s="40" t="str">
        <f t="shared" ref="H131:H194" si="19">"N"</f>
        <v>N</v>
      </c>
      <c r="I131" s="40"/>
      <c r="J131" s="40" t="str">
        <f t="shared" si="16"/>
        <v>NC7.DOC.PASSPORT</v>
      </c>
      <c r="K131" s="40"/>
    </row>
    <row r="132" spans="1:11" x14ac:dyDescent="0.25">
      <c r="A132" s="40"/>
      <c r="B132" s="40" t="str">
        <f>Master[[#This Row],[Accession Prefix (NPGS)]]&amp;" "&amp;Master[[#This Row],[Accession Number -Assigned]]</f>
        <v>W6 59718</v>
      </c>
      <c r="C132" s="40" t="str">
        <f t="shared" si="15"/>
        <v>Historic documents</v>
      </c>
      <c r="D132" s="40" t="str">
        <f t="shared" si="17"/>
        <v>mm/dd/yyyy</v>
      </c>
      <c r="E132" s="156">
        <f>IF(Master[[#This Row],[Received Date -received by site]]="","",Master[[#This Row],[Received Date -received by site]])</f>
        <v>44466</v>
      </c>
      <c r="F132" s="40" t="str">
        <f t="shared" si="18"/>
        <v>mm/dd/yyyy</v>
      </c>
      <c r="G132" s="150">
        <f ca="1">IF(AccAction26[[#This Row],[Started Date]]&lt;&gt;"",NOW(),"")</f>
        <v>44473.688311342594</v>
      </c>
      <c r="H132" s="40" t="str">
        <f t="shared" si="19"/>
        <v>N</v>
      </c>
      <c r="I132" s="40"/>
      <c r="J132" s="40" t="str">
        <f t="shared" si="16"/>
        <v>NC7.DOC.PASSPORT</v>
      </c>
      <c r="K132" s="40"/>
    </row>
    <row r="133" spans="1:11" x14ac:dyDescent="0.25">
      <c r="A133" s="40"/>
      <c r="B133" s="40" t="str">
        <f>Master[[#This Row],[Accession Prefix (NPGS)]]&amp;" "&amp;Master[[#This Row],[Accession Number -Assigned]]</f>
        <v>W6 59719</v>
      </c>
      <c r="C133" s="40" t="str">
        <f t="shared" si="15"/>
        <v>Historic documents</v>
      </c>
      <c r="D133" s="40" t="str">
        <f t="shared" si="17"/>
        <v>mm/dd/yyyy</v>
      </c>
      <c r="E133" s="156">
        <f>IF(Master[[#This Row],[Received Date -received by site]]="","",Master[[#This Row],[Received Date -received by site]])</f>
        <v>44466</v>
      </c>
      <c r="F133" s="40" t="str">
        <f t="shared" si="18"/>
        <v>mm/dd/yyyy</v>
      </c>
      <c r="G133" s="150">
        <f ca="1">IF(AccAction26[[#This Row],[Started Date]]&lt;&gt;"",NOW(),"")</f>
        <v>44473.688311342594</v>
      </c>
      <c r="H133" s="40" t="str">
        <f t="shared" si="19"/>
        <v>N</v>
      </c>
      <c r="I133" s="40"/>
      <c r="J133" s="40" t="str">
        <f t="shared" si="16"/>
        <v>NC7.DOC.PASSPORT</v>
      </c>
      <c r="K133" s="40"/>
    </row>
    <row r="134" spans="1:11" x14ac:dyDescent="0.25">
      <c r="A134" s="40"/>
      <c r="B134" s="40" t="str">
        <f>Master[[#This Row],[Accession Prefix (NPGS)]]&amp;" "&amp;Master[[#This Row],[Accession Number -Assigned]]</f>
        <v>W6 59720</v>
      </c>
      <c r="C134" s="40" t="str">
        <f t="shared" si="15"/>
        <v>Historic documents</v>
      </c>
      <c r="D134" s="40" t="str">
        <f t="shared" si="17"/>
        <v>mm/dd/yyyy</v>
      </c>
      <c r="E134" s="156">
        <f>IF(Master[[#This Row],[Received Date -received by site]]="","",Master[[#This Row],[Received Date -received by site]])</f>
        <v>44466</v>
      </c>
      <c r="F134" s="40" t="str">
        <f t="shared" si="18"/>
        <v>mm/dd/yyyy</v>
      </c>
      <c r="G134" s="150">
        <f ca="1">IF(AccAction26[[#This Row],[Started Date]]&lt;&gt;"",NOW(),"")</f>
        <v>44473.688311342594</v>
      </c>
      <c r="H134" s="40" t="str">
        <f t="shared" si="19"/>
        <v>N</v>
      </c>
      <c r="I134" s="40"/>
      <c r="J134" s="40" t="str">
        <f t="shared" si="16"/>
        <v>NC7.DOC.PASSPORT</v>
      </c>
      <c r="K134" s="40"/>
    </row>
    <row r="135" spans="1:11" x14ac:dyDescent="0.25">
      <c r="A135" s="40"/>
      <c r="B135" s="40" t="str">
        <f>Master[[#This Row],[Accession Prefix (NPGS)]]&amp;" "&amp;Master[[#This Row],[Accession Number -Assigned]]</f>
        <v>W6 59721</v>
      </c>
      <c r="C135" s="40" t="str">
        <f t="shared" si="15"/>
        <v>Historic documents</v>
      </c>
      <c r="D135" s="40" t="str">
        <f t="shared" si="17"/>
        <v>mm/dd/yyyy</v>
      </c>
      <c r="E135" s="156">
        <f>IF(Master[[#This Row],[Received Date -received by site]]="","",Master[[#This Row],[Received Date -received by site]])</f>
        <v>44466</v>
      </c>
      <c r="F135" s="40" t="str">
        <f t="shared" si="18"/>
        <v>mm/dd/yyyy</v>
      </c>
      <c r="G135" s="150">
        <f ca="1">IF(AccAction26[[#This Row],[Started Date]]&lt;&gt;"",NOW(),"")</f>
        <v>44473.688311342594</v>
      </c>
      <c r="H135" s="40" t="str">
        <f t="shared" si="19"/>
        <v>N</v>
      </c>
      <c r="I135" s="40"/>
      <c r="J135" s="40" t="str">
        <f t="shared" si="16"/>
        <v>NC7.DOC.PASSPORT</v>
      </c>
      <c r="K135" s="40"/>
    </row>
    <row r="136" spans="1:11" x14ac:dyDescent="0.25">
      <c r="A136" s="40"/>
      <c r="B136" s="40" t="str">
        <f>Master[[#This Row],[Accession Prefix (NPGS)]]&amp;" "&amp;Master[[#This Row],[Accession Number -Assigned]]</f>
        <v>W6 59722</v>
      </c>
      <c r="C136" s="40" t="str">
        <f t="shared" si="15"/>
        <v>Historic documents</v>
      </c>
      <c r="D136" s="40" t="str">
        <f t="shared" si="17"/>
        <v>mm/dd/yyyy</v>
      </c>
      <c r="E136" s="156">
        <f>IF(Master[[#This Row],[Received Date -received by site]]="","",Master[[#This Row],[Received Date -received by site]])</f>
        <v>44466</v>
      </c>
      <c r="F136" s="40" t="str">
        <f t="shared" si="18"/>
        <v>mm/dd/yyyy</v>
      </c>
      <c r="G136" s="150">
        <f ca="1">IF(AccAction26[[#This Row],[Started Date]]&lt;&gt;"",NOW(),"")</f>
        <v>44473.688311342594</v>
      </c>
      <c r="H136" s="40" t="str">
        <f t="shared" si="19"/>
        <v>N</v>
      </c>
      <c r="I136" s="40"/>
      <c r="J136" s="40" t="str">
        <f t="shared" si="16"/>
        <v>NC7.DOC.PASSPORT</v>
      </c>
      <c r="K136" s="40"/>
    </row>
    <row r="137" spans="1:11" x14ac:dyDescent="0.25">
      <c r="A137" s="40"/>
      <c r="B137" s="40" t="str">
        <f>Master[[#This Row],[Accession Prefix (NPGS)]]&amp;" "&amp;Master[[#This Row],[Accession Number -Assigned]]</f>
        <v>W6 59723</v>
      </c>
      <c r="C137" s="40" t="str">
        <f t="shared" si="15"/>
        <v>Historic documents</v>
      </c>
      <c r="D137" s="40" t="str">
        <f t="shared" si="17"/>
        <v>mm/dd/yyyy</v>
      </c>
      <c r="E137" s="156">
        <f>IF(Master[[#This Row],[Received Date -received by site]]="","",Master[[#This Row],[Received Date -received by site]])</f>
        <v>44466</v>
      </c>
      <c r="F137" s="40" t="str">
        <f t="shared" si="18"/>
        <v>mm/dd/yyyy</v>
      </c>
      <c r="G137" s="150">
        <f ca="1">IF(AccAction26[[#This Row],[Started Date]]&lt;&gt;"",NOW(),"")</f>
        <v>44473.688311342594</v>
      </c>
      <c r="H137" s="40" t="str">
        <f t="shared" si="19"/>
        <v>N</v>
      </c>
      <c r="I137" s="40"/>
      <c r="J137" s="40" t="str">
        <f t="shared" si="16"/>
        <v>NC7.DOC.PASSPORT</v>
      </c>
      <c r="K137" s="40"/>
    </row>
    <row r="138" spans="1:11" x14ac:dyDescent="0.25">
      <c r="A138" s="40"/>
      <c r="B138" s="40" t="str">
        <f>Master[[#This Row],[Accession Prefix (NPGS)]]&amp;" "&amp;Master[[#This Row],[Accession Number -Assigned]]</f>
        <v>W6 59724</v>
      </c>
      <c r="C138" s="40" t="str">
        <f t="shared" si="15"/>
        <v>Historic documents</v>
      </c>
      <c r="D138" s="40" t="str">
        <f t="shared" si="17"/>
        <v>mm/dd/yyyy</v>
      </c>
      <c r="E138" s="156">
        <f>IF(Master[[#This Row],[Received Date -received by site]]="","",Master[[#This Row],[Received Date -received by site]])</f>
        <v>44466</v>
      </c>
      <c r="F138" s="40" t="str">
        <f t="shared" si="18"/>
        <v>mm/dd/yyyy</v>
      </c>
      <c r="G138" s="150">
        <f ca="1">IF(AccAction26[[#This Row],[Started Date]]&lt;&gt;"",NOW(),"")</f>
        <v>44473.688311342594</v>
      </c>
      <c r="H138" s="40" t="str">
        <f t="shared" si="19"/>
        <v>N</v>
      </c>
      <c r="I138" s="40"/>
      <c r="J138" s="40" t="str">
        <f t="shared" si="16"/>
        <v>NC7.DOC.PASSPORT</v>
      </c>
      <c r="K138" s="40"/>
    </row>
    <row r="139" spans="1:11" x14ac:dyDescent="0.25">
      <c r="A139" s="40"/>
      <c r="B139" s="40" t="str">
        <f>Master[[#This Row],[Accession Prefix (NPGS)]]&amp;" "&amp;Master[[#This Row],[Accession Number -Assigned]]</f>
        <v>W6 59725</v>
      </c>
      <c r="C139" s="40" t="str">
        <f t="shared" si="15"/>
        <v>Historic documents</v>
      </c>
      <c r="D139" s="40" t="str">
        <f t="shared" si="17"/>
        <v>mm/dd/yyyy</v>
      </c>
      <c r="E139" s="156">
        <f>IF(Master[[#This Row],[Received Date -received by site]]="","",Master[[#This Row],[Received Date -received by site]])</f>
        <v>44466</v>
      </c>
      <c r="F139" s="40" t="str">
        <f t="shared" si="18"/>
        <v>mm/dd/yyyy</v>
      </c>
      <c r="G139" s="150">
        <f ca="1">IF(AccAction26[[#This Row],[Started Date]]&lt;&gt;"",NOW(),"")</f>
        <v>44473.688311342594</v>
      </c>
      <c r="H139" s="40" t="str">
        <f t="shared" si="19"/>
        <v>N</v>
      </c>
      <c r="I139" s="40"/>
      <c r="J139" s="40" t="str">
        <f t="shared" si="16"/>
        <v>NC7.DOC.PASSPORT</v>
      </c>
      <c r="K139" s="40"/>
    </row>
    <row r="140" spans="1:11" x14ac:dyDescent="0.25">
      <c r="A140" s="40"/>
      <c r="B140" s="40" t="str">
        <f>Master[[#This Row],[Accession Prefix (NPGS)]]&amp;" "&amp;Master[[#This Row],[Accession Number -Assigned]]</f>
        <v>W6 59726</v>
      </c>
      <c r="C140" s="40" t="str">
        <f t="shared" si="15"/>
        <v>Historic documents</v>
      </c>
      <c r="D140" s="40" t="str">
        <f t="shared" si="17"/>
        <v>mm/dd/yyyy</v>
      </c>
      <c r="E140" s="156">
        <f>IF(Master[[#This Row],[Received Date -received by site]]="","",Master[[#This Row],[Received Date -received by site]])</f>
        <v>44466</v>
      </c>
      <c r="F140" s="40" t="str">
        <f t="shared" si="18"/>
        <v>mm/dd/yyyy</v>
      </c>
      <c r="G140" s="150">
        <f ca="1">IF(AccAction26[[#This Row],[Started Date]]&lt;&gt;"",NOW(),"")</f>
        <v>44473.688311342594</v>
      </c>
      <c r="H140" s="40" t="str">
        <f t="shared" si="19"/>
        <v>N</v>
      </c>
      <c r="I140" s="40"/>
      <c r="J140" s="40" t="str">
        <f t="shared" si="16"/>
        <v>NC7.DOC.PASSPORT</v>
      </c>
      <c r="K140" s="40"/>
    </row>
    <row r="141" spans="1:11" x14ac:dyDescent="0.25">
      <c r="A141" s="40"/>
      <c r="B141" s="40" t="str">
        <f>Master[[#This Row],[Accession Prefix (NPGS)]]&amp;" "&amp;Master[[#This Row],[Accession Number -Assigned]]</f>
        <v>W6 59727</v>
      </c>
      <c r="C141" s="40" t="str">
        <f t="shared" si="15"/>
        <v>Historic documents</v>
      </c>
      <c r="D141" s="40" t="str">
        <f t="shared" si="17"/>
        <v>mm/dd/yyyy</v>
      </c>
      <c r="E141" s="156">
        <f>IF(Master[[#This Row],[Received Date -received by site]]="","",Master[[#This Row],[Received Date -received by site]])</f>
        <v>44466</v>
      </c>
      <c r="F141" s="40" t="str">
        <f t="shared" si="18"/>
        <v>mm/dd/yyyy</v>
      </c>
      <c r="G141" s="150">
        <f ca="1">IF(AccAction26[[#This Row],[Started Date]]&lt;&gt;"",NOW(),"")</f>
        <v>44473.688311342594</v>
      </c>
      <c r="H141" s="40" t="str">
        <f t="shared" si="19"/>
        <v>N</v>
      </c>
      <c r="I141" s="40"/>
      <c r="J141" s="40" t="str">
        <f t="shared" si="16"/>
        <v>NC7.DOC.PASSPORT</v>
      </c>
      <c r="K141" s="40"/>
    </row>
    <row r="142" spans="1:11" x14ac:dyDescent="0.25">
      <c r="A142" s="40"/>
      <c r="B142" s="40" t="str">
        <f>Master[[#This Row],[Accession Prefix (NPGS)]]&amp;" "&amp;Master[[#This Row],[Accession Number -Assigned]]</f>
        <v>W6 59728</v>
      </c>
      <c r="C142" s="40" t="str">
        <f t="shared" si="15"/>
        <v>Historic documents</v>
      </c>
      <c r="D142" s="40" t="str">
        <f t="shared" si="17"/>
        <v>mm/dd/yyyy</v>
      </c>
      <c r="E142" s="156">
        <f>IF(Master[[#This Row],[Received Date -received by site]]="","",Master[[#This Row],[Received Date -received by site]])</f>
        <v>44466</v>
      </c>
      <c r="F142" s="40" t="str">
        <f t="shared" si="18"/>
        <v>mm/dd/yyyy</v>
      </c>
      <c r="G142" s="150">
        <f ca="1">IF(AccAction26[[#This Row],[Started Date]]&lt;&gt;"",NOW(),"")</f>
        <v>44473.688311342594</v>
      </c>
      <c r="H142" s="40" t="str">
        <f t="shared" si="19"/>
        <v>N</v>
      </c>
      <c r="I142" s="40"/>
      <c r="J142" s="40" t="str">
        <f t="shared" si="16"/>
        <v>NC7.DOC.PASSPORT</v>
      </c>
      <c r="K142" s="40"/>
    </row>
    <row r="143" spans="1:11" x14ac:dyDescent="0.25">
      <c r="A143" s="40"/>
      <c r="B143" s="40" t="str">
        <f>Master[[#This Row],[Accession Prefix (NPGS)]]&amp;" "&amp;Master[[#This Row],[Accession Number -Assigned]]</f>
        <v>W6 59729</v>
      </c>
      <c r="C143" s="40" t="str">
        <f t="shared" si="15"/>
        <v>Historic documents</v>
      </c>
      <c r="D143" s="40" t="str">
        <f t="shared" si="17"/>
        <v>mm/dd/yyyy</v>
      </c>
      <c r="E143" s="156">
        <f>IF(Master[[#This Row],[Received Date -received by site]]="","",Master[[#This Row],[Received Date -received by site]])</f>
        <v>44466</v>
      </c>
      <c r="F143" s="40" t="str">
        <f t="shared" si="18"/>
        <v>mm/dd/yyyy</v>
      </c>
      <c r="G143" s="150">
        <f ca="1">IF(AccAction26[[#This Row],[Started Date]]&lt;&gt;"",NOW(),"")</f>
        <v>44473.688311342594</v>
      </c>
      <c r="H143" s="40" t="str">
        <f t="shared" si="19"/>
        <v>N</v>
      </c>
      <c r="I143" s="40"/>
      <c r="J143" s="40" t="str">
        <f t="shared" si="16"/>
        <v>NC7.DOC.PASSPORT</v>
      </c>
      <c r="K143" s="40"/>
    </row>
    <row r="144" spans="1:11" x14ac:dyDescent="0.25">
      <c r="A144" s="40"/>
      <c r="B144" s="40" t="str">
        <f>Master[[#This Row],[Accession Prefix (NPGS)]]&amp;" "&amp;Master[[#This Row],[Accession Number -Assigned]]</f>
        <v>W6 59730</v>
      </c>
      <c r="C144" s="40" t="str">
        <f t="shared" si="15"/>
        <v>Historic documents</v>
      </c>
      <c r="D144" s="40" t="str">
        <f t="shared" si="17"/>
        <v>mm/dd/yyyy</v>
      </c>
      <c r="E144" s="156">
        <f>IF(Master[[#This Row],[Received Date -received by site]]="","",Master[[#This Row],[Received Date -received by site]])</f>
        <v>44466</v>
      </c>
      <c r="F144" s="40" t="str">
        <f t="shared" si="18"/>
        <v>mm/dd/yyyy</v>
      </c>
      <c r="G144" s="150">
        <f ca="1">IF(AccAction26[[#This Row],[Started Date]]&lt;&gt;"",NOW(),"")</f>
        <v>44473.688311342594</v>
      </c>
      <c r="H144" s="40" t="str">
        <f t="shared" si="19"/>
        <v>N</v>
      </c>
      <c r="I144" s="40"/>
      <c r="J144" s="40" t="str">
        <f t="shared" si="16"/>
        <v>NC7.DOC.PASSPORT</v>
      </c>
      <c r="K144" s="40"/>
    </row>
    <row r="145" spans="1:11" x14ac:dyDescent="0.25">
      <c r="A145" s="40"/>
      <c r="B145" s="40" t="str">
        <f>Master[[#This Row],[Accession Prefix (NPGS)]]&amp;" "&amp;Master[[#This Row],[Accession Number -Assigned]]</f>
        <v>W6 59731</v>
      </c>
      <c r="C145" s="40" t="str">
        <f t="shared" si="15"/>
        <v>Historic documents</v>
      </c>
      <c r="D145" s="40" t="str">
        <f t="shared" si="17"/>
        <v>mm/dd/yyyy</v>
      </c>
      <c r="E145" s="156">
        <f>IF(Master[[#This Row],[Received Date -received by site]]="","",Master[[#This Row],[Received Date -received by site]])</f>
        <v>44466</v>
      </c>
      <c r="F145" s="40" t="str">
        <f t="shared" si="18"/>
        <v>mm/dd/yyyy</v>
      </c>
      <c r="G145" s="150">
        <f ca="1">IF(AccAction26[[#This Row],[Started Date]]&lt;&gt;"",NOW(),"")</f>
        <v>44473.688311342594</v>
      </c>
      <c r="H145" s="40" t="str">
        <f t="shared" si="19"/>
        <v>N</v>
      </c>
      <c r="I145" s="40"/>
      <c r="J145" s="40" t="str">
        <f t="shared" si="16"/>
        <v>NC7.DOC.PASSPORT</v>
      </c>
      <c r="K145" s="40"/>
    </row>
    <row r="146" spans="1:11" x14ac:dyDescent="0.25">
      <c r="A146" s="40"/>
      <c r="B146" s="40" t="str">
        <f>Master[[#This Row],[Accession Prefix (NPGS)]]&amp;" "&amp;Master[[#This Row],[Accession Number -Assigned]]</f>
        <v>W6 59732</v>
      </c>
      <c r="C146" s="40" t="str">
        <f t="shared" si="15"/>
        <v>Historic documents</v>
      </c>
      <c r="D146" s="40" t="str">
        <f t="shared" si="17"/>
        <v>mm/dd/yyyy</v>
      </c>
      <c r="E146" s="156">
        <f>IF(Master[[#This Row],[Received Date -received by site]]="","",Master[[#This Row],[Received Date -received by site]])</f>
        <v>44466</v>
      </c>
      <c r="F146" s="40" t="str">
        <f t="shared" si="18"/>
        <v>mm/dd/yyyy</v>
      </c>
      <c r="G146" s="150">
        <f ca="1">IF(AccAction26[[#This Row],[Started Date]]&lt;&gt;"",NOW(),"")</f>
        <v>44473.688311342594</v>
      </c>
      <c r="H146" s="40" t="str">
        <f t="shared" si="19"/>
        <v>N</v>
      </c>
      <c r="I146" s="40"/>
      <c r="J146" s="40" t="str">
        <f t="shared" si="16"/>
        <v>NC7.DOC.PASSPORT</v>
      </c>
      <c r="K146" s="40"/>
    </row>
    <row r="147" spans="1:11" x14ac:dyDescent="0.25">
      <c r="A147" s="40"/>
      <c r="B147" s="40" t="str">
        <f>Master[[#This Row],[Accession Prefix (NPGS)]]&amp;" "&amp;Master[[#This Row],[Accession Number -Assigned]]</f>
        <v>W6 59733</v>
      </c>
      <c r="C147" s="40" t="str">
        <f t="shared" si="15"/>
        <v>Historic documents</v>
      </c>
      <c r="D147" s="40" t="str">
        <f t="shared" si="17"/>
        <v>mm/dd/yyyy</v>
      </c>
      <c r="E147" s="156">
        <f>IF(Master[[#This Row],[Received Date -received by site]]="","",Master[[#This Row],[Received Date -received by site]])</f>
        <v>44466</v>
      </c>
      <c r="F147" s="40" t="str">
        <f t="shared" si="18"/>
        <v>mm/dd/yyyy</v>
      </c>
      <c r="G147" s="150">
        <f ca="1">IF(AccAction26[[#This Row],[Started Date]]&lt;&gt;"",NOW(),"")</f>
        <v>44473.688311342594</v>
      </c>
      <c r="H147" s="40" t="str">
        <f t="shared" si="19"/>
        <v>N</v>
      </c>
      <c r="I147" s="40"/>
      <c r="J147" s="40" t="str">
        <f t="shared" si="16"/>
        <v>NC7.DOC.PASSPORT</v>
      </c>
      <c r="K147" s="40"/>
    </row>
    <row r="148" spans="1:11" x14ac:dyDescent="0.25">
      <c r="A148" s="40"/>
      <c r="B148" s="40" t="str">
        <f>Master[[#This Row],[Accession Prefix (NPGS)]]&amp;" "&amp;Master[[#This Row],[Accession Number -Assigned]]</f>
        <v>W6 59734</v>
      </c>
      <c r="C148" s="40" t="str">
        <f t="shared" si="15"/>
        <v>Historic documents</v>
      </c>
      <c r="D148" s="40" t="str">
        <f t="shared" si="17"/>
        <v>mm/dd/yyyy</v>
      </c>
      <c r="E148" s="156">
        <f>IF(Master[[#This Row],[Received Date -received by site]]="","",Master[[#This Row],[Received Date -received by site]])</f>
        <v>44466</v>
      </c>
      <c r="F148" s="40" t="str">
        <f t="shared" si="18"/>
        <v>mm/dd/yyyy</v>
      </c>
      <c r="G148" s="150">
        <f ca="1">IF(AccAction26[[#This Row],[Started Date]]&lt;&gt;"",NOW(),"")</f>
        <v>44473.688311342594</v>
      </c>
      <c r="H148" s="40" t="str">
        <f t="shared" si="19"/>
        <v>N</v>
      </c>
      <c r="I148" s="40"/>
      <c r="J148" s="40" t="str">
        <f t="shared" si="16"/>
        <v>NC7.DOC.PASSPORT</v>
      </c>
      <c r="K148" s="40"/>
    </row>
    <row r="149" spans="1:11" x14ac:dyDescent="0.25">
      <c r="A149" s="40"/>
      <c r="B149" s="40" t="str">
        <f>Master[[#This Row],[Accession Prefix (NPGS)]]&amp;" "&amp;Master[[#This Row],[Accession Number -Assigned]]</f>
        <v>W6 59735</v>
      </c>
      <c r="C149" s="40" t="str">
        <f t="shared" si="15"/>
        <v>Historic documents</v>
      </c>
      <c r="D149" s="40" t="str">
        <f t="shared" si="17"/>
        <v>mm/dd/yyyy</v>
      </c>
      <c r="E149" s="156">
        <f>IF(Master[[#This Row],[Received Date -received by site]]="","",Master[[#This Row],[Received Date -received by site]])</f>
        <v>44466</v>
      </c>
      <c r="F149" s="40" t="str">
        <f t="shared" si="18"/>
        <v>mm/dd/yyyy</v>
      </c>
      <c r="G149" s="150">
        <f ca="1">IF(AccAction26[[#This Row],[Started Date]]&lt;&gt;"",NOW(),"")</f>
        <v>44473.688311342594</v>
      </c>
      <c r="H149" s="40" t="str">
        <f t="shared" si="19"/>
        <v>N</v>
      </c>
      <c r="I149" s="40"/>
      <c r="J149" s="40" t="str">
        <f t="shared" si="16"/>
        <v>NC7.DOC.PASSPORT</v>
      </c>
      <c r="K149" s="40"/>
    </row>
    <row r="150" spans="1:11" x14ac:dyDescent="0.25">
      <c r="A150" s="40"/>
      <c r="B150" s="40" t="str">
        <f>Master[[#This Row],[Accession Prefix (NPGS)]]&amp;" "&amp;Master[[#This Row],[Accession Number -Assigned]]</f>
        <v>W6 59736</v>
      </c>
      <c r="C150" s="40" t="str">
        <f t="shared" si="15"/>
        <v>Historic documents</v>
      </c>
      <c r="D150" s="40" t="str">
        <f t="shared" si="17"/>
        <v>mm/dd/yyyy</v>
      </c>
      <c r="E150" s="156">
        <f>IF(Master[[#This Row],[Received Date -received by site]]="","",Master[[#This Row],[Received Date -received by site]])</f>
        <v>44466</v>
      </c>
      <c r="F150" s="40" t="str">
        <f t="shared" si="18"/>
        <v>mm/dd/yyyy</v>
      </c>
      <c r="G150" s="150">
        <f ca="1">IF(AccAction26[[#This Row],[Started Date]]&lt;&gt;"",NOW(),"")</f>
        <v>44473.688311342594</v>
      </c>
      <c r="H150" s="40" t="str">
        <f t="shared" si="19"/>
        <v>N</v>
      </c>
      <c r="I150" s="40"/>
      <c r="J150" s="40" t="str">
        <f t="shared" si="16"/>
        <v>NC7.DOC.PASSPORT</v>
      </c>
      <c r="K150" s="40"/>
    </row>
    <row r="151" spans="1:11" x14ac:dyDescent="0.25">
      <c r="A151" s="40"/>
      <c r="B151" s="40" t="str">
        <f>Master[[#This Row],[Accession Prefix (NPGS)]]&amp;" "&amp;Master[[#This Row],[Accession Number -Assigned]]</f>
        <v>W6 59737</v>
      </c>
      <c r="C151" s="40" t="str">
        <f t="shared" si="15"/>
        <v>Historic documents</v>
      </c>
      <c r="D151" s="40" t="str">
        <f t="shared" si="17"/>
        <v>mm/dd/yyyy</v>
      </c>
      <c r="E151" s="156">
        <f>IF(Master[[#This Row],[Received Date -received by site]]="","",Master[[#This Row],[Received Date -received by site]])</f>
        <v>44466</v>
      </c>
      <c r="F151" s="40" t="str">
        <f t="shared" si="18"/>
        <v>mm/dd/yyyy</v>
      </c>
      <c r="G151" s="150">
        <f ca="1">IF(AccAction26[[#This Row],[Started Date]]&lt;&gt;"",NOW(),"")</f>
        <v>44473.688311342594</v>
      </c>
      <c r="H151" s="40" t="str">
        <f t="shared" si="19"/>
        <v>N</v>
      </c>
      <c r="I151" s="40"/>
      <c r="J151" s="40" t="str">
        <f t="shared" si="16"/>
        <v>NC7.DOC.PASSPORT</v>
      </c>
      <c r="K151" s="40"/>
    </row>
    <row r="152" spans="1:11" x14ac:dyDescent="0.25">
      <c r="A152" s="40"/>
      <c r="B152" s="40" t="str">
        <f>Master[[#This Row],[Accession Prefix (NPGS)]]&amp;" "&amp;Master[[#This Row],[Accession Number -Assigned]]</f>
        <v xml:space="preserve"> </v>
      </c>
      <c r="C152" s="40" t="str">
        <f t="shared" si="15"/>
        <v>Historic documents</v>
      </c>
      <c r="D152" s="40" t="str">
        <f t="shared" si="17"/>
        <v>mm/dd/yyyy</v>
      </c>
      <c r="E152" s="156" t="str">
        <f>IF(Master[[#This Row],[Received Date -received by site]]="","",Master[[#This Row],[Received Date -received by site]])</f>
        <v/>
      </c>
      <c r="F152" s="40" t="str">
        <f t="shared" si="18"/>
        <v>mm/dd/yyyy</v>
      </c>
      <c r="G152" s="150" t="str">
        <f ca="1">IF(AccAction26[[#This Row],[Started Date]]&lt;&gt;"",NOW(),"")</f>
        <v/>
      </c>
      <c r="H152" s="40" t="str">
        <f t="shared" si="19"/>
        <v>N</v>
      </c>
      <c r="I152" s="40"/>
      <c r="J152" s="40" t="str">
        <f t="shared" si="16"/>
        <v>NC7.DOC.PASSPORT</v>
      </c>
      <c r="K152" s="40"/>
    </row>
    <row r="153" spans="1:11" x14ac:dyDescent="0.25">
      <c r="A153" s="40"/>
      <c r="B153" s="40" t="str">
        <f>Master[[#This Row],[Accession Prefix (NPGS)]]&amp;" "&amp;Master[[#This Row],[Accession Number -Assigned]]</f>
        <v xml:space="preserve"> </v>
      </c>
      <c r="C153" s="40" t="str">
        <f t="shared" si="15"/>
        <v>Historic documents</v>
      </c>
      <c r="D153" s="40" t="str">
        <f t="shared" si="17"/>
        <v>mm/dd/yyyy</v>
      </c>
      <c r="E153" s="156" t="str">
        <f>IF(Master[[#This Row],[Received Date -received by site]]="","",Master[[#This Row],[Received Date -received by site]])</f>
        <v/>
      </c>
      <c r="F153" s="40" t="str">
        <f t="shared" si="18"/>
        <v>mm/dd/yyyy</v>
      </c>
      <c r="G153" s="150" t="str">
        <f ca="1">IF(AccAction26[[#This Row],[Started Date]]&lt;&gt;"",NOW(),"")</f>
        <v/>
      </c>
      <c r="H153" s="40" t="str">
        <f t="shared" si="19"/>
        <v>N</v>
      </c>
      <c r="I153" s="40"/>
      <c r="J153" s="40" t="str">
        <f t="shared" si="16"/>
        <v>NC7.DOC.PASSPORT</v>
      </c>
      <c r="K153" s="40"/>
    </row>
    <row r="154" spans="1:11" x14ac:dyDescent="0.25">
      <c r="A154" s="40"/>
      <c r="B154" s="40" t="str">
        <f>Master[[#This Row],[Accession Prefix (NPGS)]]&amp;" "&amp;Master[[#This Row],[Accession Number -Assigned]]</f>
        <v xml:space="preserve"> </v>
      </c>
      <c r="C154" s="40" t="str">
        <f t="shared" si="15"/>
        <v>Historic documents</v>
      </c>
      <c r="D154" s="40" t="str">
        <f t="shared" si="17"/>
        <v>mm/dd/yyyy</v>
      </c>
      <c r="E154" s="156" t="str">
        <f>IF(Master[[#This Row],[Received Date -received by site]]="","",Master[[#This Row],[Received Date -received by site]])</f>
        <v/>
      </c>
      <c r="F154" s="40" t="str">
        <f t="shared" si="18"/>
        <v>mm/dd/yyyy</v>
      </c>
      <c r="G154" s="150" t="str">
        <f ca="1">IF(AccAction26[[#This Row],[Started Date]]&lt;&gt;"",NOW(),"")</f>
        <v/>
      </c>
      <c r="H154" s="40" t="str">
        <f t="shared" si="19"/>
        <v>N</v>
      </c>
      <c r="I154" s="40"/>
      <c r="J154" s="40" t="str">
        <f t="shared" si="16"/>
        <v>NC7.DOC.PASSPORT</v>
      </c>
      <c r="K154" s="40"/>
    </row>
    <row r="155" spans="1:11" x14ac:dyDescent="0.25">
      <c r="A155" s="40"/>
      <c r="B155" s="40" t="str">
        <f>Master[[#This Row],[Accession Prefix (NPGS)]]&amp;" "&amp;Master[[#This Row],[Accession Number -Assigned]]</f>
        <v xml:space="preserve"> </v>
      </c>
      <c r="C155" s="40" t="str">
        <f t="shared" si="15"/>
        <v>Historic documents</v>
      </c>
      <c r="D155" s="40" t="str">
        <f t="shared" si="17"/>
        <v>mm/dd/yyyy</v>
      </c>
      <c r="E155" s="156" t="str">
        <f>IF(Master[[#This Row],[Received Date -received by site]]="","",Master[[#This Row],[Received Date -received by site]])</f>
        <v/>
      </c>
      <c r="F155" s="40" t="str">
        <f t="shared" si="18"/>
        <v>mm/dd/yyyy</v>
      </c>
      <c r="G155" s="150" t="str">
        <f ca="1">IF(AccAction26[[#This Row],[Started Date]]&lt;&gt;"",NOW(),"")</f>
        <v/>
      </c>
      <c r="H155" s="40" t="str">
        <f t="shared" si="19"/>
        <v>N</v>
      </c>
      <c r="I155" s="40"/>
      <c r="J155" s="40" t="str">
        <f t="shared" si="16"/>
        <v>NC7.DOC.PASSPORT</v>
      </c>
      <c r="K155" s="40"/>
    </row>
    <row r="156" spans="1:11" x14ac:dyDescent="0.25">
      <c r="A156" s="40"/>
      <c r="B156" s="40" t="str">
        <f>Master[[#This Row],[Accession Prefix (NPGS)]]&amp;" "&amp;Master[[#This Row],[Accession Number -Assigned]]</f>
        <v xml:space="preserve"> </v>
      </c>
      <c r="C156" s="40" t="str">
        <f t="shared" si="15"/>
        <v>Historic documents</v>
      </c>
      <c r="D156" s="40" t="str">
        <f t="shared" si="17"/>
        <v>mm/dd/yyyy</v>
      </c>
      <c r="E156" s="156" t="str">
        <f>IF(Master[[#This Row],[Received Date -received by site]]="","",Master[[#This Row],[Received Date -received by site]])</f>
        <v/>
      </c>
      <c r="F156" s="40" t="str">
        <f t="shared" si="18"/>
        <v>mm/dd/yyyy</v>
      </c>
      <c r="G156" s="150" t="str">
        <f ca="1">IF(AccAction26[[#This Row],[Started Date]]&lt;&gt;"",NOW(),"")</f>
        <v/>
      </c>
      <c r="H156" s="40" t="str">
        <f t="shared" si="19"/>
        <v>N</v>
      </c>
      <c r="I156" s="40"/>
      <c r="J156" s="40" t="str">
        <f t="shared" si="16"/>
        <v>NC7.DOC.PASSPORT</v>
      </c>
      <c r="K156" s="40"/>
    </row>
    <row r="157" spans="1:11" x14ac:dyDescent="0.25">
      <c r="A157" s="40"/>
      <c r="B157" s="40" t="str">
        <f>Master[[#This Row],[Accession Prefix (NPGS)]]&amp;" "&amp;Master[[#This Row],[Accession Number -Assigned]]</f>
        <v xml:space="preserve"> </v>
      </c>
      <c r="C157" s="40" t="str">
        <f t="shared" si="15"/>
        <v>Historic documents</v>
      </c>
      <c r="D157" s="40" t="str">
        <f t="shared" si="17"/>
        <v>mm/dd/yyyy</v>
      </c>
      <c r="E157" s="156" t="str">
        <f>IF(Master[[#This Row],[Received Date -received by site]]="","",Master[[#This Row],[Received Date -received by site]])</f>
        <v/>
      </c>
      <c r="F157" s="40" t="str">
        <f t="shared" si="18"/>
        <v>mm/dd/yyyy</v>
      </c>
      <c r="G157" s="150" t="str">
        <f ca="1">IF(AccAction26[[#This Row],[Started Date]]&lt;&gt;"",NOW(),"")</f>
        <v/>
      </c>
      <c r="H157" s="40" t="str">
        <f t="shared" si="19"/>
        <v>N</v>
      </c>
      <c r="I157" s="40"/>
      <c r="J157" s="40" t="str">
        <f t="shared" si="16"/>
        <v>NC7.DOC.PASSPORT</v>
      </c>
      <c r="K157" s="40"/>
    </row>
    <row r="158" spans="1:11" x14ac:dyDescent="0.25">
      <c r="A158" s="40"/>
      <c r="B158" s="40" t="str">
        <f>Master[[#This Row],[Accession Prefix (NPGS)]]&amp;" "&amp;Master[[#This Row],[Accession Number -Assigned]]</f>
        <v xml:space="preserve"> </v>
      </c>
      <c r="C158" s="40" t="str">
        <f t="shared" si="15"/>
        <v>Historic documents</v>
      </c>
      <c r="D158" s="40" t="str">
        <f t="shared" si="17"/>
        <v>mm/dd/yyyy</v>
      </c>
      <c r="E158" s="156" t="str">
        <f>IF(Master[[#This Row],[Received Date -received by site]]="","",Master[[#This Row],[Received Date -received by site]])</f>
        <v/>
      </c>
      <c r="F158" s="40" t="str">
        <f t="shared" si="18"/>
        <v>mm/dd/yyyy</v>
      </c>
      <c r="G158" s="150" t="str">
        <f ca="1">IF(AccAction26[[#This Row],[Started Date]]&lt;&gt;"",NOW(),"")</f>
        <v/>
      </c>
      <c r="H158" s="40" t="str">
        <f t="shared" si="19"/>
        <v>N</v>
      </c>
      <c r="I158" s="40"/>
      <c r="J158" s="40" t="str">
        <f t="shared" si="16"/>
        <v>NC7.DOC.PASSPORT</v>
      </c>
      <c r="K158" s="40"/>
    </row>
    <row r="159" spans="1:11" x14ac:dyDescent="0.25">
      <c r="A159" s="40"/>
      <c r="B159" s="40" t="str">
        <f>Master[[#This Row],[Accession Prefix (NPGS)]]&amp;" "&amp;Master[[#This Row],[Accession Number -Assigned]]</f>
        <v xml:space="preserve"> </v>
      </c>
      <c r="C159" s="40" t="str">
        <f t="shared" si="15"/>
        <v>Historic documents</v>
      </c>
      <c r="D159" s="40" t="str">
        <f t="shared" si="17"/>
        <v>mm/dd/yyyy</v>
      </c>
      <c r="E159" s="156" t="str">
        <f>IF(Master[[#This Row],[Received Date -received by site]]="","",Master[[#This Row],[Received Date -received by site]])</f>
        <v/>
      </c>
      <c r="F159" s="40" t="str">
        <f t="shared" si="18"/>
        <v>mm/dd/yyyy</v>
      </c>
      <c r="G159" s="150" t="str">
        <f ca="1">IF(AccAction26[[#This Row],[Started Date]]&lt;&gt;"",NOW(),"")</f>
        <v/>
      </c>
      <c r="H159" s="40" t="str">
        <f t="shared" si="19"/>
        <v>N</v>
      </c>
      <c r="I159" s="40"/>
      <c r="J159" s="40" t="str">
        <f t="shared" si="16"/>
        <v>NC7.DOC.PASSPORT</v>
      </c>
      <c r="K159" s="40"/>
    </row>
    <row r="160" spans="1:11" x14ac:dyDescent="0.25">
      <c r="A160" s="40"/>
      <c r="B160" s="40" t="str">
        <f>Master[[#This Row],[Accession Prefix (NPGS)]]&amp;" "&amp;Master[[#This Row],[Accession Number -Assigned]]</f>
        <v xml:space="preserve"> </v>
      </c>
      <c r="C160" s="40" t="str">
        <f t="shared" si="15"/>
        <v>Historic documents</v>
      </c>
      <c r="D160" s="40" t="str">
        <f t="shared" si="17"/>
        <v>mm/dd/yyyy</v>
      </c>
      <c r="E160" s="156" t="str">
        <f>IF(Master[[#This Row],[Received Date -received by site]]="","",Master[[#This Row],[Received Date -received by site]])</f>
        <v/>
      </c>
      <c r="F160" s="40" t="str">
        <f t="shared" si="18"/>
        <v>mm/dd/yyyy</v>
      </c>
      <c r="G160" s="150" t="str">
        <f ca="1">IF(AccAction26[[#This Row],[Started Date]]&lt;&gt;"",NOW(),"")</f>
        <v/>
      </c>
      <c r="H160" s="40" t="str">
        <f t="shared" si="19"/>
        <v>N</v>
      </c>
      <c r="I160" s="40"/>
      <c r="J160" s="40" t="str">
        <f t="shared" si="16"/>
        <v>NC7.DOC.PASSPORT</v>
      </c>
      <c r="K160" s="40"/>
    </row>
    <row r="161" spans="1:11" x14ac:dyDescent="0.25">
      <c r="A161" s="40"/>
      <c r="B161" s="40" t="str">
        <f>Master[[#This Row],[Accession Prefix (NPGS)]]&amp;" "&amp;Master[[#This Row],[Accession Number -Assigned]]</f>
        <v xml:space="preserve"> </v>
      </c>
      <c r="C161" s="40" t="str">
        <f t="shared" si="15"/>
        <v>Historic documents</v>
      </c>
      <c r="D161" s="40" t="str">
        <f t="shared" si="17"/>
        <v>mm/dd/yyyy</v>
      </c>
      <c r="E161" s="156" t="str">
        <f>IF(Master[[#This Row],[Received Date -received by site]]="","",Master[[#This Row],[Received Date -received by site]])</f>
        <v/>
      </c>
      <c r="F161" s="40" t="str">
        <f t="shared" si="18"/>
        <v>mm/dd/yyyy</v>
      </c>
      <c r="G161" s="150" t="str">
        <f ca="1">IF(AccAction26[[#This Row],[Started Date]]&lt;&gt;"",NOW(),"")</f>
        <v/>
      </c>
      <c r="H161" s="40" t="str">
        <f t="shared" si="19"/>
        <v>N</v>
      </c>
      <c r="I161" s="40"/>
      <c r="J161" s="40" t="str">
        <f t="shared" si="16"/>
        <v>NC7.DOC.PASSPORT</v>
      </c>
      <c r="K161" s="40"/>
    </row>
    <row r="162" spans="1:11" x14ac:dyDescent="0.25">
      <c r="A162" s="40"/>
      <c r="B162" s="40" t="str">
        <f>Master[[#This Row],[Accession Prefix (NPGS)]]&amp;" "&amp;Master[[#This Row],[Accession Number -Assigned]]</f>
        <v xml:space="preserve"> </v>
      </c>
      <c r="C162" s="40" t="str">
        <f t="shared" ref="C162:C193" si="20">"Historic documents"</f>
        <v>Historic documents</v>
      </c>
      <c r="D162" s="40" t="str">
        <f t="shared" si="17"/>
        <v>mm/dd/yyyy</v>
      </c>
      <c r="E162" s="156" t="str">
        <f>IF(Master[[#This Row],[Received Date -received by site]]="","",Master[[#This Row],[Received Date -received by site]])</f>
        <v/>
      </c>
      <c r="F162" s="40" t="str">
        <f t="shared" si="18"/>
        <v>mm/dd/yyyy</v>
      </c>
      <c r="G162" s="150" t="str">
        <f ca="1">IF(AccAction26[[#This Row],[Started Date]]&lt;&gt;"",NOW(),"")</f>
        <v/>
      </c>
      <c r="H162" s="40" t="str">
        <f t="shared" si="19"/>
        <v>N</v>
      </c>
      <c r="I162" s="40"/>
      <c r="J162" s="40" t="str">
        <f t="shared" ref="J162:J193" si="21">"NC7.DOC.PASSPORT"</f>
        <v>NC7.DOC.PASSPORT</v>
      </c>
      <c r="K162" s="40"/>
    </row>
    <row r="163" spans="1:11" x14ac:dyDescent="0.25">
      <c r="A163" s="40"/>
      <c r="B163" s="40" t="str">
        <f>Master[[#This Row],[Accession Prefix (NPGS)]]&amp;" "&amp;Master[[#This Row],[Accession Number -Assigned]]</f>
        <v xml:space="preserve"> </v>
      </c>
      <c r="C163" s="40" t="str">
        <f t="shared" si="20"/>
        <v>Historic documents</v>
      </c>
      <c r="D163" s="40" t="str">
        <f t="shared" si="17"/>
        <v>mm/dd/yyyy</v>
      </c>
      <c r="E163" s="156" t="str">
        <f>IF(Master[[#This Row],[Received Date -received by site]]="","",Master[[#This Row],[Received Date -received by site]])</f>
        <v/>
      </c>
      <c r="F163" s="40" t="str">
        <f t="shared" si="18"/>
        <v>mm/dd/yyyy</v>
      </c>
      <c r="G163" s="150" t="str">
        <f ca="1">IF(AccAction26[[#This Row],[Started Date]]&lt;&gt;"",NOW(),"")</f>
        <v/>
      </c>
      <c r="H163" s="40" t="str">
        <f t="shared" si="19"/>
        <v>N</v>
      </c>
      <c r="I163" s="40"/>
      <c r="J163" s="40" t="str">
        <f t="shared" si="21"/>
        <v>NC7.DOC.PASSPORT</v>
      </c>
      <c r="K163" s="40"/>
    </row>
    <row r="164" spans="1:11" x14ac:dyDescent="0.25">
      <c r="A164" s="40"/>
      <c r="B164" s="40" t="str">
        <f>Master[[#This Row],[Accession Prefix (NPGS)]]&amp;" "&amp;Master[[#This Row],[Accession Number -Assigned]]</f>
        <v xml:space="preserve"> </v>
      </c>
      <c r="C164" s="40" t="str">
        <f t="shared" si="20"/>
        <v>Historic documents</v>
      </c>
      <c r="D164" s="40" t="str">
        <f t="shared" si="17"/>
        <v>mm/dd/yyyy</v>
      </c>
      <c r="E164" s="156" t="str">
        <f>IF(Master[[#This Row],[Received Date -received by site]]="","",Master[[#This Row],[Received Date -received by site]])</f>
        <v/>
      </c>
      <c r="F164" s="40" t="str">
        <f t="shared" si="18"/>
        <v>mm/dd/yyyy</v>
      </c>
      <c r="G164" s="150" t="str">
        <f ca="1">IF(AccAction26[[#This Row],[Started Date]]&lt;&gt;"",NOW(),"")</f>
        <v/>
      </c>
      <c r="H164" s="40" t="str">
        <f t="shared" si="19"/>
        <v>N</v>
      </c>
      <c r="I164" s="40"/>
      <c r="J164" s="40" t="str">
        <f t="shared" si="21"/>
        <v>NC7.DOC.PASSPORT</v>
      </c>
      <c r="K164" s="40"/>
    </row>
    <row r="165" spans="1:11" x14ac:dyDescent="0.25">
      <c r="A165" s="40"/>
      <c r="B165" s="40" t="str">
        <f>Master[[#This Row],[Accession Prefix (NPGS)]]&amp;" "&amp;Master[[#This Row],[Accession Number -Assigned]]</f>
        <v xml:space="preserve"> </v>
      </c>
      <c r="C165" s="40" t="str">
        <f t="shared" si="20"/>
        <v>Historic documents</v>
      </c>
      <c r="D165" s="40" t="str">
        <f t="shared" si="17"/>
        <v>mm/dd/yyyy</v>
      </c>
      <c r="E165" s="156" t="str">
        <f>IF(Master[[#This Row],[Received Date -received by site]]="","",Master[[#This Row],[Received Date -received by site]])</f>
        <v/>
      </c>
      <c r="F165" s="40" t="str">
        <f t="shared" si="18"/>
        <v>mm/dd/yyyy</v>
      </c>
      <c r="G165" s="150" t="str">
        <f ca="1">IF(AccAction26[[#This Row],[Started Date]]&lt;&gt;"",NOW(),"")</f>
        <v/>
      </c>
      <c r="H165" s="40" t="str">
        <f t="shared" si="19"/>
        <v>N</v>
      </c>
      <c r="I165" s="40"/>
      <c r="J165" s="40" t="str">
        <f t="shared" si="21"/>
        <v>NC7.DOC.PASSPORT</v>
      </c>
      <c r="K165" s="40"/>
    </row>
    <row r="166" spans="1:11" x14ac:dyDescent="0.25">
      <c r="A166" s="40"/>
      <c r="B166" s="40" t="str">
        <f>Master[[#This Row],[Accession Prefix (NPGS)]]&amp;" "&amp;Master[[#This Row],[Accession Number -Assigned]]</f>
        <v xml:space="preserve"> </v>
      </c>
      <c r="C166" s="40" t="str">
        <f t="shared" si="20"/>
        <v>Historic documents</v>
      </c>
      <c r="D166" s="40" t="str">
        <f t="shared" si="17"/>
        <v>mm/dd/yyyy</v>
      </c>
      <c r="E166" s="156" t="str">
        <f>IF(Master[[#This Row],[Received Date -received by site]]="","",Master[[#This Row],[Received Date -received by site]])</f>
        <v/>
      </c>
      <c r="F166" s="40" t="str">
        <f t="shared" si="18"/>
        <v>mm/dd/yyyy</v>
      </c>
      <c r="G166" s="150" t="str">
        <f ca="1">IF(AccAction26[[#This Row],[Started Date]]&lt;&gt;"",NOW(),"")</f>
        <v/>
      </c>
      <c r="H166" s="40" t="str">
        <f t="shared" si="19"/>
        <v>N</v>
      </c>
      <c r="I166" s="40"/>
      <c r="J166" s="40" t="str">
        <f t="shared" si="21"/>
        <v>NC7.DOC.PASSPORT</v>
      </c>
      <c r="K166" s="40"/>
    </row>
    <row r="167" spans="1:11" x14ac:dyDescent="0.25">
      <c r="A167" s="40"/>
      <c r="B167" s="40" t="str">
        <f>Master[[#This Row],[Accession Prefix (NPGS)]]&amp;" "&amp;Master[[#This Row],[Accession Number -Assigned]]</f>
        <v xml:space="preserve"> </v>
      </c>
      <c r="C167" s="40" t="str">
        <f t="shared" si="20"/>
        <v>Historic documents</v>
      </c>
      <c r="D167" s="40" t="str">
        <f t="shared" si="17"/>
        <v>mm/dd/yyyy</v>
      </c>
      <c r="E167" s="156" t="str">
        <f>IF(Master[[#This Row],[Received Date -received by site]]="","",Master[[#This Row],[Received Date -received by site]])</f>
        <v/>
      </c>
      <c r="F167" s="40" t="str">
        <f t="shared" si="18"/>
        <v>mm/dd/yyyy</v>
      </c>
      <c r="G167" s="150" t="str">
        <f ca="1">IF(AccAction26[[#This Row],[Started Date]]&lt;&gt;"",NOW(),"")</f>
        <v/>
      </c>
      <c r="H167" s="40" t="str">
        <f t="shared" si="19"/>
        <v>N</v>
      </c>
      <c r="I167" s="40"/>
      <c r="J167" s="40" t="str">
        <f t="shared" si="21"/>
        <v>NC7.DOC.PASSPORT</v>
      </c>
      <c r="K167" s="40"/>
    </row>
    <row r="168" spans="1:11" x14ac:dyDescent="0.25">
      <c r="A168" s="40"/>
      <c r="B168" s="40" t="str">
        <f>Master[[#This Row],[Accession Prefix (NPGS)]]&amp;" "&amp;Master[[#This Row],[Accession Number -Assigned]]</f>
        <v xml:space="preserve"> </v>
      </c>
      <c r="C168" s="40" t="str">
        <f t="shared" si="20"/>
        <v>Historic documents</v>
      </c>
      <c r="D168" s="40" t="str">
        <f t="shared" si="17"/>
        <v>mm/dd/yyyy</v>
      </c>
      <c r="E168" s="156" t="str">
        <f>IF(Master[[#This Row],[Received Date -received by site]]="","",Master[[#This Row],[Received Date -received by site]])</f>
        <v/>
      </c>
      <c r="F168" s="40" t="str">
        <f t="shared" si="18"/>
        <v>mm/dd/yyyy</v>
      </c>
      <c r="G168" s="150" t="str">
        <f ca="1">IF(AccAction26[[#This Row],[Started Date]]&lt;&gt;"",NOW(),"")</f>
        <v/>
      </c>
      <c r="H168" s="40" t="str">
        <f t="shared" si="19"/>
        <v>N</v>
      </c>
      <c r="I168" s="40"/>
      <c r="J168" s="40" t="str">
        <f t="shared" si="21"/>
        <v>NC7.DOC.PASSPORT</v>
      </c>
      <c r="K168" s="40"/>
    </row>
    <row r="169" spans="1:11" x14ac:dyDescent="0.25">
      <c r="A169" s="40"/>
      <c r="B169" s="40" t="str">
        <f>Master[[#This Row],[Accession Prefix (NPGS)]]&amp;" "&amp;Master[[#This Row],[Accession Number -Assigned]]</f>
        <v xml:space="preserve"> </v>
      </c>
      <c r="C169" s="40" t="str">
        <f t="shared" si="20"/>
        <v>Historic documents</v>
      </c>
      <c r="D169" s="40" t="str">
        <f t="shared" si="17"/>
        <v>mm/dd/yyyy</v>
      </c>
      <c r="E169" s="156" t="str">
        <f>IF(Master[[#This Row],[Received Date -received by site]]="","",Master[[#This Row],[Received Date -received by site]])</f>
        <v/>
      </c>
      <c r="F169" s="40" t="str">
        <f t="shared" si="18"/>
        <v>mm/dd/yyyy</v>
      </c>
      <c r="G169" s="150" t="str">
        <f ca="1">IF(AccAction26[[#This Row],[Started Date]]&lt;&gt;"",NOW(),"")</f>
        <v/>
      </c>
      <c r="H169" s="40" t="str">
        <f t="shared" si="19"/>
        <v>N</v>
      </c>
      <c r="I169" s="40"/>
      <c r="J169" s="40" t="str">
        <f t="shared" si="21"/>
        <v>NC7.DOC.PASSPORT</v>
      </c>
      <c r="K169" s="40"/>
    </row>
    <row r="170" spans="1:11" x14ac:dyDescent="0.25">
      <c r="A170" s="40"/>
      <c r="B170" s="40" t="str">
        <f>Master[[#This Row],[Accession Prefix (NPGS)]]&amp;" "&amp;Master[[#This Row],[Accession Number -Assigned]]</f>
        <v xml:space="preserve"> </v>
      </c>
      <c r="C170" s="40" t="str">
        <f t="shared" si="20"/>
        <v>Historic documents</v>
      </c>
      <c r="D170" s="40" t="str">
        <f t="shared" si="17"/>
        <v>mm/dd/yyyy</v>
      </c>
      <c r="E170" s="156" t="str">
        <f>IF(Master[[#This Row],[Received Date -received by site]]="","",Master[[#This Row],[Received Date -received by site]])</f>
        <v/>
      </c>
      <c r="F170" s="40" t="str">
        <f t="shared" si="18"/>
        <v>mm/dd/yyyy</v>
      </c>
      <c r="G170" s="150" t="str">
        <f ca="1">IF(AccAction26[[#This Row],[Started Date]]&lt;&gt;"",NOW(),"")</f>
        <v/>
      </c>
      <c r="H170" s="40" t="str">
        <f t="shared" si="19"/>
        <v>N</v>
      </c>
      <c r="I170" s="40"/>
      <c r="J170" s="40" t="str">
        <f t="shared" si="21"/>
        <v>NC7.DOC.PASSPORT</v>
      </c>
      <c r="K170" s="40"/>
    </row>
    <row r="171" spans="1:11" x14ac:dyDescent="0.25">
      <c r="A171" s="40"/>
      <c r="B171" s="40" t="str">
        <f>Master[[#This Row],[Accession Prefix (NPGS)]]&amp;" "&amp;Master[[#This Row],[Accession Number -Assigned]]</f>
        <v xml:space="preserve"> </v>
      </c>
      <c r="C171" s="40" t="str">
        <f t="shared" si="20"/>
        <v>Historic documents</v>
      </c>
      <c r="D171" s="40" t="str">
        <f t="shared" si="17"/>
        <v>mm/dd/yyyy</v>
      </c>
      <c r="E171" s="156" t="str">
        <f>IF(Master[[#This Row],[Received Date -received by site]]="","",Master[[#This Row],[Received Date -received by site]])</f>
        <v/>
      </c>
      <c r="F171" s="40" t="str">
        <f t="shared" si="18"/>
        <v>mm/dd/yyyy</v>
      </c>
      <c r="G171" s="150" t="str">
        <f ca="1">IF(AccAction26[[#This Row],[Started Date]]&lt;&gt;"",NOW(),"")</f>
        <v/>
      </c>
      <c r="H171" s="40" t="str">
        <f t="shared" si="19"/>
        <v>N</v>
      </c>
      <c r="I171" s="40"/>
      <c r="J171" s="40" t="str">
        <f t="shared" si="21"/>
        <v>NC7.DOC.PASSPORT</v>
      </c>
      <c r="K171" s="40"/>
    </row>
    <row r="172" spans="1:11" x14ac:dyDescent="0.25">
      <c r="A172" s="40"/>
      <c r="B172" s="40" t="str">
        <f>Master[[#This Row],[Accession Prefix (NPGS)]]&amp;" "&amp;Master[[#This Row],[Accession Number -Assigned]]</f>
        <v xml:space="preserve"> </v>
      </c>
      <c r="C172" s="40" t="str">
        <f t="shared" si="20"/>
        <v>Historic documents</v>
      </c>
      <c r="D172" s="40" t="str">
        <f t="shared" si="17"/>
        <v>mm/dd/yyyy</v>
      </c>
      <c r="E172" s="156" t="str">
        <f>IF(Master[[#This Row],[Received Date -received by site]]="","",Master[[#This Row],[Received Date -received by site]])</f>
        <v/>
      </c>
      <c r="F172" s="40" t="str">
        <f t="shared" si="18"/>
        <v>mm/dd/yyyy</v>
      </c>
      <c r="G172" s="150" t="str">
        <f ca="1">IF(AccAction26[[#This Row],[Started Date]]&lt;&gt;"",NOW(),"")</f>
        <v/>
      </c>
      <c r="H172" s="40" t="str">
        <f t="shared" si="19"/>
        <v>N</v>
      </c>
      <c r="I172" s="40"/>
      <c r="J172" s="40" t="str">
        <f t="shared" si="21"/>
        <v>NC7.DOC.PASSPORT</v>
      </c>
      <c r="K172" s="40"/>
    </row>
    <row r="173" spans="1:11" x14ac:dyDescent="0.25">
      <c r="A173" s="40"/>
      <c r="B173" s="40" t="str">
        <f>Master[[#This Row],[Accession Prefix (NPGS)]]&amp;" "&amp;Master[[#This Row],[Accession Number -Assigned]]</f>
        <v xml:space="preserve"> </v>
      </c>
      <c r="C173" s="40" t="str">
        <f t="shared" si="20"/>
        <v>Historic documents</v>
      </c>
      <c r="D173" s="40" t="str">
        <f t="shared" si="17"/>
        <v>mm/dd/yyyy</v>
      </c>
      <c r="E173" s="156" t="str">
        <f>IF(Master[[#This Row],[Received Date -received by site]]="","",Master[[#This Row],[Received Date -received by site]])</f>
        <v/>
      </c>
      <c r="F173" s="40" t="str">
        <f t="shared" si="18"/>
        <v>mm/dd/yyyy</v>
      </c>
      <c r="G173" s="150" t="str">
        <f ca="1">IF(AccAction26[[#This Row],[Started Date]]&lt;&gt;"",NOW(),"")</f>
        <v/>
      </c>
      <c r="H173" s="40" t="str">
        <f t="shared" si="19"/>
        <v>N</v>
      </c>
      <c r="I173" s="40"/>
      <c r="J173" s="40" t="str">
        <f t="shared" si="21"/>
        <v>NC7.DOC.PASSPORT</v>
      </c>
      <c r="K173" s="40"/>
    </row>
    <row r="174" spans="1:11" x14ac:dyDescent="0.25">
      <c r="A174" s="40"/>
      <c r="B174" s="40" t="str">
        <f>Master[[#This Row],[Accession Prefix (NPGS)]]&amp;" "&amp;Master[[#This Row],[Accession Number -Assigned]]</f>
        <v xml:space="preserve"> </v>
      </c>
      <c r="C174" s="40" t="str">
        <f t="shared" si="20"/>
        <v>Historic documents</v>
      </c>
      <c r="D174" s="40" t="str">
        <f t="shared" si="17"/>
        <v>mm/dd/yyyy</v>
      </c>
      <c r="E174" s="156" t="str">
        <f>IF(Master[[#This Row],[Received Date -received by site]]="","",Master[[#This Row],[Received Date -received by site]])</f>
        <v/>
      </c>
      <c r="F174" s="40" t="str">
        <f t="shared" si="18"/>
        <v>mm/dd/yyyy</v>
      </c>
      <c r="G174" s="150" t="str">
        <f ca="1">IF(AccAction26[[#This Row],[Started Date]]&lt;&gt;"",NOW(),"")</f>
        <v/>
      </c>
      <c r="H174" s="40" t="str">
        <f t="shared" si="19"/>
        <v>N</v>
      </c>
      <c r="I174" s="40"/>
      <c r="J174" s="40" t="str">
        <f t="shared" si="21"/>
        <v>NC7.DOC.PASSPORT</v>
      </c>
      <c r="K174" s="40"/>
    </row>
    <row r="175" spans="1:11" x14ac:dyDescent="0.25">
      <c r="A175" s="40"/>
      <c r="B175" s="40" t="str">
        <f>Master[[#This Row],[Accession Prefix (NPGS)]]&amp;" "&amp;Master[[#This Row],[Accession Number -Assigned]]</f>
        <v xml:space="preserve"> </v>
      </c>
      <c r="C175" s="40" t="str">
        <f t="shared" si="20"/>
        <v>Historic documents</v>
      </c>
      <c r="D175" s="40" t="str">
        <f t="shared" si="17"/>
        <v>mm/dd/yyyy</v>
      </c>
      <c r="E175" s="156" t="str">
        <f>IF(Master[[#This Row],[Received Date -received by site]]="","",Master[[#This Row],[Received Date -received by site]])</f>
        <v/>
      </c>
      <c r="F175" s="40" t="str">
        <f t="shared" si="18"/>
        <v>mm/dd/yyyy</v>
      </c>
      <c r="G175" s="150" t="str">
        <f ca="1">IF(AccAction26[[#This Row],[Started Date]]&lt;&gt;"",NOW(),"")</f>
        <v/>
      </c>
      <c r="H175" s="40" t="str">
        <f t="shared" si="19"/>
        <v>N</v>
      </c>
      <c r="I175" s="40"/>
      <c r="J175" s="40" t="str">
        <f t="shared" si="21"/>
        <v>NC7.DOC.PASSPORT</v>
      </c>
      <c r="K175" s="40"/>
    </row>
    <row r="176" spans="1:11" x14ac:dyDescent="0.25">
      <c r="A176" s="40"/>
      <c r="B176" s="40" t="str">
        <f>Master[[#This Row],[Accession Prefix (NPGS)]]&amp;" "&amp;Master[[#This Row],[Accession Number -Assigned]]</f>
        <v xml:space="preserve"> </v>
      </c>
      <c r="C176" s="40" t="str">
        <f t="shared" si="20"/>
        <v>Historic documents</v>
      </c>
      <c r="D176" s="40" t="str">
        <f t="shared" si="17"/>
        <v>mm/dd/yyyy</v>
      </c>
      <c r="E176" s="156" t="str">
        <f>IF(Master[[#This Row],[Received Date -received by site]]="","",Master[[#This Row],[Received Date -received by site]])</f>
        <v/>
      </c>
      <c r="F176" s="40" t="str">
        <f t="shared" si="18"/>
        <v>mm/dd/yyyy</v>
      </c>
      <c r="G176" s="150" t="str">
        <f ca="1">IF(AccAction26[[#This Row],[Started Date]]&lt;&gt;"",NOW(),"")</f>
        <v/>
      </c>
      <c r="H176" s="40" t="str">
        <f t="shared" si="19"/>
        <v>N</v>
      </c>
      <c r="I176" s="40"/>
      <c r="J176" s="40" t="str">
        <f t="shared" si="21"/>
        <v>NC7.DOC.PASSPORT</v>
      </c>
      <c r="K176" s="40"/>
    </row>
    <row r="177" spans="1:11" x14ac:dyDescent="0.25">
      <c r="A177" s="40"/>
      <c r="B177" s="40" t="str">
        <f>Master[[#This Row],[Accession Prefix (NPGS)]]&amp;" "&amp;Master[[#This Row],[Accession Number -Assigned]]</f>
        <v xml:space="preserve"> </v>
      </c>
      <c r="C177" s="40" t="str">
        <f t="shared" si="20"/>
        <v>Historic documents</v>
      </c>
      <c r="D177" s="40" t="str">
        <f t="shared" si="17"/>
        <v>mm/dd/yyyy</v>
      </c>
      <c r="E177" s="156" t="str">
        <f>IF(Master[[#This Row],[Received Date -received by site]]="","",Master[[#This Row],[Received Date -received by site]])</f>
        <v/>
      </c>
      <c r="F177" s="40" t="str">
        <f t="shared" si="18"/>
        <v>mm/dd/yyyy</v>
      </c>
      <c r="G177" s="150" t="str">
        <f ca="1">IF(AccAction26[[#This Row],[Started Date]]&lt;&gt;"",NOW(),"")</f>
        <v/>
      </c>
      <c r="H177" s="40" t="str">
        <f t="shared" si="19"/>
        <v>N</v>
      </c>
      <c r="I177" s="40"/>
      <c r="J177" s="40" t="str">
        <f t="shared" si="21"/>
        <v>NC7.DOC.PASSPORT</v>
      </c>
      <c r="K177" s="40"/>
    </row>
    <row r="178" spans="1:11" x14ac:dyDescent="0.25">
      <c r="A178" s="40"/>
      <c r="B178" s="40" t="str">
        <f>Master[[#This Row],[Accession Prefix (NPGS)]]&amp;" "&amp;Master[[#This Row],[Accession Number -Assigned]]</f>
        <v xml:space="preserve"> </v>
      </c>
      <c r="C178" s="40" t="str">
        <f t="shared" si="20"/>
        <v>Historic documents</v>
      </c>
      <c r="D178" s="40" t="str">
        <f t="shared" si="17"/>
        <v>mm/dd/yyyy</v>
      </c>
      <c r="E178" s="156" t="str">
        <f>IF(Master[[#This Row],[Received Date -received by site]]="","",Master[[#This Row],[Received Date -received by site]])</f>
        <v/>
      </c>
      <c r="F178" s="40" t="str">
        <f t="shared" si="18"/>
        <v>mm/dd/yyyy</v>
      </c>
      <c r="G178" s="150" t="str">
        <f ca="1">IF(AccAction26[[#This Row],[Started Date]]&lt;&gt;"",NOW(),"")</f>
        <v/>
      </c>
      <c r="H178" s="40" t="str">
        <f t="shared" si="19"/>
        <v>N</v>
      </c>
      <c r="I178" s="40"/>
      <c r="J178" s="40" t="str">
        <f t="shared" si="21"/>
        <v>NC7.DOC.PASSPORT</v>
      </c>
      <c r="K178" s="40"/>
    </row>
    <row r="179" spans="1:11" x14ac:dyDescent="0.25">
      <c r="A179" s="40"/>
      <c r="B179" s="40" t="str">
        <f>Master[[#This Row],[Accession Prefix (NPGS)]]&amp;" "&amp;Master[[#This Row],[Accession Number -Assigned]]</f>
        <v xml:space="preserve"> </v>
      </c>
      <c r="C179" s="40" t="str">
        <f t="shared" si="20"/>
        <v>Historic documents</v>
      </c>
      <c r="D179" s="40" t="str">
        <f t="shared" si="17"/>
        <v>mm/dd/yyyy</v>
      </c>
      <c r="E179" s="156" t="str">
        <f>IF(Master[[#This Row],[Received Date -received by site]]="","",Master[[#This Row],[Received Date -received by site]])</f>
        <v/>
      </c>
      <c r="F179" s="40" t="str">
        <f t="shared" si="18"/>
        <v>mm/dd/yyyy</v>
      </c>
      <c r="G179" s="150" t="str">
        <f ca="1">IF(AccAction26[[#This Row],[Started Date]]&lt;&gt;"",NOW(),"")</f>
        <v/>
      </c>
      <c r="H179" s="40" t="str">
        <f t="shared" si="19"/>
        <v>N</v>
      </c>
      <c r="I179" s="40"/>
      <c r="J179" s="40" t="str">
        <f t="shared" si="21"/>
        <v>NC7.DOC.PASSPORT</v>
      </c>
      <c r="K179" s="40"/>
    </row>
    <row r="180" spans="1:11" x14ac:dyDescent="0.25">
      <c r="A180" s="40"/>
      <c r="B180" s="40" t="str">
        <f>Master[[#This Row],[Accession Prefix (NPGS)]]&amp;" "&amp;Master[[#This Row],[Accession Number -Assigned]]</f>
        <v xml:space="preserve"> </v>
      </c>
      <c r="C180" s="40" t="str">
        <f t="shared" si="20"/>
        <v>Historic documents</v>
      </c>
      <c r="D180" s="40" t="str">
        <f t="shared" si="17"/>
        <v>mm/dd/yyyy</v>
      </c>
      <c r="E180" s="156" t="str">
        <f>IF(Master[[#This Row],[Received Date -received by site]]="","",Master[[#This Row],[Received Date -received by site]])</f>
        <v/>
      </c>
      <c r="F180" s="40" t="str">
        <f t="shared" si="18"/>
        <v>mm/dd/yyyy</v>
      </c>
      <c r="G180" s="150" t="str">
        <f ca="1">IF(AccAction26[[#This Row],[Started Date]]&lt;&gt;"",NOW(),"")</f>
        <v/>
      </c>
      <c r="H180" s="40" t="str">
        <f t="shared" si="19"/>
        <v>N</v>
      </c>
      <c r="I180" s="40"/>
      <c r="J180" s="40" t="str">
        <f t="shared" si="21"/>
        <v>NC7.DOC.PASSPORT</v>
      </c>
      <c r="K180" s="40"/>
    </row>
    <row r="181" spans="1:11" x14ac:dyDescent="0.25">
      <c r="A181" s="40"/>
      <c r="B181" s="40" t="str">
        <f>Master[[#This Row],[Accession Prefix (NPGS)]]&amp;" "&amp;Master[[#This Row],[Accession Number -Assigned]]</f>
        <v xml:space="preserve"> </v>
      </c>
      <c r="C181" s="40" t="str">
        <f t="shared" si="20"/>
        <v>Historic documents</v>
      </c>
      <c r="D181" s="40" t="str">
        <f t="shared" si="17"/>
        <v>mm/dd/yyyy</v>
      </c>
      <c r="E181" s="156" t="str">
        <f>IF(Master[[#This Row],[Received Date -received by site]]="","",Master[[#This Row],[Received Date -received by site]])</f>
        <v/>
      </c>
      <c r="F181" s="40" t="str">
        <f t="shared" si="18"/>
        <v>mm/dd/yyyy</v>
      </c>
      <c r="G181" s="150" t="str">
        <f ca="1">IF(AccAction26[[#This Row],[Started Date]]&lt;&gt;"",NOW(),"")</f>
        <v/>
      </c>
      <c r="H181" s="40" t="str">
        <f t="shared" si="19"/>
        <v>N</v>
      </c>
      <c r="I181" s="40"/>
      <c r="J181" s="40" t="str">
        <f t="shared" si="21"/>
        <v>NC7.DOC.PASSPORT</v>
      </c>
      <c r="K181" s="40"/>
    </row>
    <row r="182" spans="1:11" x14ac:dyDescent="0.25">
      <c r="A182" s="40"/>
      <c r="B182" s="40" t="str">
        <f>Master[[#This Row],[Accession Prefix (NPGS)]]&amp;" "&amp;Master[[#This Row],[Accession Number -Assigned]]</f>
        <v xml:space="preserve"> </v>
      </c>
      <c r="C182" s="40" t="str">
        <f t="shared" si="20"/>
        <v>Historic documents</v>
      </c>
      <c r="D182" s="40" t="str">
        <f t="shared" si="17"/>
        <v>mm/dd/yyyy</v>
      </c>
      <c r="E182" s="156" t="str">
        <f>IF(Master[[#This Row],[Received Date -received by site]]="","",Master[[#This Row],[Received Date -received by site]])</f>
        <v/>
      </c>
      <c r="F182" s="40" t="str">
        <f t="shared" si="18"/>
        <v>mm/dd/yyyy</v>
      </c>
      <c r="G182" s="150" t="str">
        <f ca="1">IF(AccAction26[[#This Row],[Started Date]]&lt;&gt;"",NOW(),"")</f>
        <v/>
      </c>
      <c r="H182" s="40" t="str">
        <f t="shared" si="19"/>
        <v>N</v>
      </c>
      <c r="I182" s="40"/>
      <c r="J182" s="40" t="str">
        <f t="shared" si="21"/>
        <v>NC7.DOC.PASSPORT</v>
      </c>
      <c r="K182" s="40"/>
    </row>
    <row r="183" spans="1:11" x14ac:dyDescent="0.25">
      <c r="A183" s="40"/>
      <c r="B183" s="40" t="str">
        <f>Master[[#This Row],[Accession Prefix (NPGS)]]&amp;" "&amp;Master[[#This Row],[Accession Number -Assigned]]</f>
        <v xml:space="preserve"> </v>
      </c>
      <c r="C183" s="40" t="str">
        <f t="shared" si="20"/>
        <v>Historic documents</v>
      </c>
      <c r="D183" s="40" t="str">
        <f t="shared" si="17"/>
        <v>mm/dd/yyyy</v>
      </c>
      <c r="E183" s="156" t="str">
        <f>IF(Master[[#This Row],[Received Date -received by site]]="","",Master[[#This Row],[Received Date -received by site]])</f>
        <v/>
      </c>
      <c r="F183" s="40" t="str">
        <f t="shared" si="18"/>
        <v>mm/dd/yyyy</v>
      </c>
      <c r="G183" s="150" t="str">
        <f ca="1">IF(AccAction26[[#This Row],[Started Date]]&lt;&gt;"",NOW(),"")</f>
        <v/>
      </c>
      <c r="H183" s="40" t="str">
        <f t="shared" si="19"/>
        <v>N</v>
      </c>
      <c r="I183" s="40"/>
      <c r="J183" s="40" t="str">
        <f t="shared" si="21"/>
        <v>NC7.DOC.PASSPORT</v>
      </c>
      <c r="K183" s="40"/>
    </row>
    <row r="184" spans="1:11" x14ac:dyDescent="0.25">
      <c r="A184" s="40"/>
      <c r="B184" s="40" t="str">
        <f>Master[[#This Row],[Accession Prefix (NPGS)]]&amp;" "&amp;Master[[#This Row],[Accession Number -Assigned]]</f>
        <v xml:space="preserve"> </v>
      </c>
      <c r="C184" s="40" t="str">
        <f t="shared" si="20"/>
        <v>Historic documents</v>
      </c>
      <c r="D184" s="40" t="str">
        <f t="shared" si="17"/>
        <v>mm/dd/yyyy</v>
      </c>
      <c r="E184" s="156" t="str">
        <f>IF(Master[[#This Row],[Received Date -received by site]]="","",Master[[#This Row],[Received Date -received by site]])</f>
        <v/>
      </c>
      <c r="F184" s="40" t="str">
        <f t="shared" si="18"/>
        <v>mm/dd/yyyy</v>
      </c>
      <c r="G184" s="150" t="str">
        <f ca="1">IF(AccAction26[[#This Row],[Started Date]]&lt;&gt;"",NOW(),"")</f>
        <v/>
      </c>
      <c r="H184" s="40" t="str">
        <f t="shared" si="19"/>
        <v>N</v>
      </c>
      <c r="I184" s="40"/>
      <c r="J184" s="40" t="str">
        <f t="shared" si="21"/>
        <v>NC7.DOC.PASSPORT</v>
      </c>
      <c r="K184" s="40"/>
    </row>
    <row r="185" spans="1:11" x14ac:dyDescent="0.25">
      <c r="A185" s="40"/>
      <c r="B185" s="40" t="str">
        <f>Master[[#This Row],[Accession Prefix (NPGS)]]&amp;" "&amp;Master[[#This Row],[Accession Number -Assigned]]</f>
        <v xml:space="preserve"> </v>
      </c>
      <c r="C185" s="40" t="str">
        <f t="shared" si="20"/>
        <v>Historic documents</v>
      </c>
      <c r="D185" s="40" t="str">
        <f t="shared" si="17"/>
        <v>mm/dd/yyyy</v>
      </c>
      <c r="E185" s="156" t="str">
        <f>IF(Master[[#This Row],[Received Date -received by site]]="","",Master[[#This Row],[Received Date -received by site]])</f>
        <v/>
      </c>
      <c r="F185" s="40" t="str">
        <f t="shared" si="18"/>
        <v>mm/dd/yyyy</v>
      </c>
      <c r="G185" s="150" t="str">
        <f ca="1">IF(AccAction26[[#This Row],[Started Date]]&lt;&gt;"",NOW(),"")</f>
        <v/>
      </c>
      <c r="H185" s="40" t="str">
        <f t="shared" si="19"/>
        <v>N</v>
      </c>
      <c r="I185" s="40"/>
      <c r="J185" s="40" t="str">
        <f t="shared" si="21"/>
        <v>NC7.DOC.PASSPORT</v>
      </c>
      <c r="K185" s="40"/>
    </row>
    <row r="186" spans="1:11" x14ac:dyDescent="0.25">
      <c r="A186" s="40"/>
      <c r="B186" s="40" t="str">
        <f>Master[[#This Row],[Accession Prefix (NPGS)]]&amp;" "&amp;Master[[#This Row],[Accession Number -Assigned]]</f>
        <v xml:space="preserve"> </v>
      </c>
      <c r="C186" s="40" t="str">
        <f t="shared" si="20"/>
        <v>Historic documents</v>
      </c>
      <c r="D186" s="40" t="str">
        <f t="shared" si="17"/>
        <v>mm/dd/yyyy</v>
      </c>
      <c r="E186" s="156" t="str">
        <f>IF(Master[[#This Row],[Received Date -received by site]]="","",Master[[#This Row],[Received Date -received by site]])</f>
        <v/>
      </c>
      <c r="F186" s="40" t="str">
        <f t="shared" si="18"/>
        <v>mm/dd/yyyy</v>
      </c>
      <c r="G186" s="150" t="str">
        <f ca="1">IF(AccAction26[[#This Row],[Started Date]]&lt;&gt;"",NOW(),"")</f>
        <v/>
      </c>
      <c r="H186" s="40" t="str">
        <f t="shared" si="19"/>
        <v>N</v>
      </c>
      <c r="I186" s="40"/>
      <c r="J186" s="40" t="str">
        <f t="shared" si="21"/>
        <v>NC7.DOC.PASSPORT</v>
      </c>
      <c r="K186" s="40"/>
    </row>
    <row r="187" spans="1:11" x14ac:dyDescent="0.25">
      <c r="A187" s="40"/>
      <c r="B187" s="40" t="str">
        <f>Master[[#This Row],[Accession Prefix (NPGS)]]&amp;" "&amp;Master[[#This Row],[Accession Number -Assigned]]</f>
        <v xml:space="preserve"> </v>
      </c>
      <c r="C187" s="40" t="str">
        <f t="shared" si="20"/>
        <v>Historic documents</v>
      </c>
      <c r="D187" s="40" t="str">
        <f t="shared" si="17"/>
        <v>mm/dd/yyyy</v>
      </c>
      <c r="E187" s="156" t="str">
        <f>IF(Master[[#This Row],[Received Date -received by site]]="","",Master[[#This Row],[Received Date -received by site]])</f>
        <v/>
      </c>
      <c r="F187" s="40" t="str">
        <f t="shared" si="18"/>
        <v>mm/dd/yyyy</v>
      </c>
      <c r="G187" s="150" t="str">
        <f ca="1">IF(AccAction26[[#This Row],[Started Date]]&lt;&gt;"",NOW(),"")</f>
        <v/>
      </c>
      <c r="H187" s="40" t="str">
        <f t="shared" si="19"/>
        <v>N</v>
      </c>
      <c r="I187" s="40"/>
      <c r="J187" s="40" t="str">
        <f t="shared" si="21"/>
        <v>NC7.DOC.PASSPORT</v>
      </c>
      <c r="K187" s="40"/>
    </row>
    <row r="188" spans="1:11" x14ac:dyDescent="0.25">
      <c r="A188" s="40"/>
      <c r="B188" s="40" t="str">
        <f>Master[[#This Row],[Accession Prefix (NPGS)]]&amp;" "&amp;Master[[#This Row],[Accession Number -Assigned]]</f>
        <v xml:space="preserve"> </v>
      </c>
      <c r="C188" s="40" t="str">
        <f t="shared" si="20"/>
        <v>Historic documents</v>
      </c>
      <c r="D188" s="40" t="str">
        <f t="shared" si="17"/>
        <v>mm/dd/yyyy</v>
      </c>
      <c r="E188" s="156" t="str">
        <f>IF(Master[[#This Row],[Received Date -received by site]]="","",Master[[#This Row],[Received Date -received by site]])</f>
        <v/>
      </c>
      <c r="F188" s="40" t="str">
        <f t="shared" si="18"/>
        <v>mm/dd/yyyy</v>
      </c>
      <c r="G188" s="150" t="str">
        <f ca="1">IF(AccAction26[[#This Row],[Started Date]]&lt;&gt;"",NOW(),"")</f>
        <v/>
      </c>
      <c r="H188" s="40" t="str">
        <f t="shared" si="19"/>
        <v>N</v>
      </c>
      <c r="I188" s="40"/>
      <c r="J188" s="40" t="str">
        <f t="shared" si="21"/>
        <v>NC7.DOC.PASSPORT</v>
      </c>
      <c r="K188" s="40"/>
    </row>
    <row r="189" spans="1:11" x14ac:dyDescent="0.25">
      <c r="A189" s="40"/>
      <c r="B189" s="40" t="str">
        <f>Master[[#This Row],[Accession Prefix (NPGS)]]&amp;" "&amp;Master[[#This Row],[Accession Number -Assigned]]</f>
        <v xml:space="preserve"> </v>
      </c>
      <c r="C189" s="40" t="str">
        <f t="shared" si="20"/>
        <v>Historic documents</v>
      </c>
      <c r="D189" s="40" t="str">
        <f t="shared" si="17"/>
        <v>mm/dd/yyyy</v>
      </c>
      <c r="E189" s="156" t="str">
        <f>IF(Master[[#This Row],[Received Date -received by site]]="","",Master[[#This Row],[Received Date -received by site]])</f>
        <v/>
      </c>
      <c r="F189" s="40" t="str">
        <f t="shared" si="18"/>
        <v>mm/dd/yyyy</v>
      </c>
      <c r="G189" s="150" t="str">
        <f ca="1">IF(AccAction26[[#This Row],[Started Date]]&lt;&gt;"",NOW(),"")</f>
        <v/>
      </c>
      <c r="H189" s="40" t="str">
        <f t="shared" si="19"/>
        <v>N</v>
      </c>
      <c r="I189" s="40"/>
      <c r="J189" s="40" t="str">
        <f t="shared" si="21"/>
        <v>NC7.DOC.PASSPORT</v>
      </c>
      <c r="K189" s="40"/>
    </row>
    <row r="190" spans="1:11" x14ac:dyDescent="0.25">
      <c r="A190" s="40"/>
      <c r="B190" s="40" t="str">
        <f>Master[[#This Row],[Accession Prefix (NPGS)]]&amp;" "&amp;Master[[#This Row],[Accession Number -Assigned]]</f>
        <v xml:space="preserve"> </v>
      </c>
      <c r="C190" s="40" t="str">
        <f t="shared" si="20"/>
        <v>Historic documents</v>
      </c>
      <c r="D190" s="40" t="str">
        <f t="shared" si="17"/>
        <v>mm/dd/yyyy</v>
      </c>
      <c r="E190" s="156" t="str">
        <f>IF(Master[[#This Row],[Received Date -received by site]]="","",Master[[#This Row],[Received Date -received by site]])</f>
        <v/>
      </c>
      <c r="F190" s="40" t="str">
        <f t="shared" si="18"/>
        <v>mm/dd/yyyy</v>
      </c>
      <c r="G190" s="150" t="str">
        <f ca="1">IF(AccAction26[[#This Row],[Started Date]]&lt;&gt;"",NOW(),"")</f>
        <v/>
      </c>
      <c r="H190" s="40" t="str">
        <f t="shared" si="19"/>
        <v>N</v>
      </c>
      <c r="I190" s="40"/>
      <c r="J190" s="40" t="str">
        <f t="shared" si="21"/>
        <v>NC7.DOC.PASSPORT</v>
      </c>
      <c r="K190" s="40"/>
    </row>
    <row r="191" spans="1:11" x14ac:dyDescent="0.25">
      <c r="A191" s="40"/>
      <c r="B191" s="40" t="str">
        <f>Master[[#This Row],[Accession Prefix (NPGS)]]&amp;" "&amp;Master[[#This Row],[Accession Number -Assigned]]</f>
        <v xml:space="preserve"> </v>
      </c>
      <c r="C191" s="40" t="str">
        <f t="shared" si="20"/>
        <v>Historic documents</v>
      </c>
      <c r="D191" s="40" t="str">
        <f t="shared" si="17"/>
        <v>mm/dd/yyyy</v>
      </c>
      <c r="E191" s="156" t="str">
        <f>IF(Master[[#This Row],[Received Date -received by site]]="","",Master[[#This Row],[Received Date -received by site]])</f>
        <v/>
      </c>
      <c r="F191" s="40" t="str">
        <f t="shared" si="18"/>
        <v>mm/dd/yyyy</v>
      </c>
      <c r="G191" s="150" t="str">
        <f ca="1">IF(AccAction26[[#This Row],[Started Date]]&lt;&gt;"",NOW(),"")</f>
        <v/>
      </c>
      <c r="H191" s="40" t="str">
        <f t="shared" si="19"/>
        <v>N</v>
      </c>
      <c r="I191" s="40"/>
      <c r="J191" s="40" t="str">
        <f t="shared" si="21"/>
        <v>NC7.DOC.PASSPORT</v>
      </c>
      <c r="K191" s="40"/>
    </row>
    <row r="192" spans="1:11" x14ac:dyDescent="0.25">
      <c r="A192" s="40"/>
      <c r="B192" s="40" t="str">
        <f>Master[[#This Row],[Accession Prefix (NPGS)]]&amp;" "&amp;Master[[#This Row],[Accession Number -Assigned]]</f>
        <v xml:space="preserve"> </v>
      </c>
      <c r="C192" s="40" t="str">
        <f t="shared" si="20"/>
        <v>Historic documents</v>
      </c>
      <c r="D192" s="40" t="str">
        <f t="shared" si="17"/>
        <v>mm/dd/yyyy</v>
      </c>
      <c r="E192" s="156" t="str">
        <f>IF(Master[[#This Row],[Received Date -received by site]]="","",Master[[#This Row],[Received Date -received by site]])</f>
        <v/>
      </c>
      <c r="F192" s="40" t="str">
        <f t="shared" si="18"/>
        <v>mm/dd/yyyy</v>
      </c>
      <c r="G192" s="150" t="str">
        <f ca="1">IF(AccAction26[[#This Row],[Started Date]]&lt;&gt;"",NOW(),"")</f>
        <v/>
      </c>
      <c r="H192" s="40" t="str">
        <f t="shared" si="19"/>
        <v>N</v>
      </c>
      <c r="I192" s="40"/>
      <c r="J192" s="40" t="str">
        <f t="shared" si="21"/>
        <v>NC7.DOC.PASSPORT</v>
      </c>
      <c r="K192" s="40"/>
    </row>
    <row r="193" spans="1:11" x14ac:dyDescent="0.25">
      <c r="A193" s="40"/>
      <c r="B193" s="40" t="str">
        <f>Master[[#This Row],[Accession Prefix (NPGS)]]&amp;" "&amp;Master[[#This Row],[Accession Number -Assigned]]</f>
        <v xml:space="preserve"> </v>
      </c>
      <c r="C193" s="40" t="str">
        <f t="shared" si="20"/>
        <v>Historic documents</v>
      </c>
      <c r="D193" s="40" t="str">
        <f t="shared" si="17"/>
        <v>mm/dd/yyyy</v>
      </c>
      <c r="E193" s="156" t="str">
        <f>IF(Master[[#This Row],[Received Date -received by site]]="","",Master[[#This Row],[Received Date -received by site]])</f>
        <v/>
      </c>
      <c r="F193" s="40" t="str">
        <f t="shared" si="18"/>
        <v>mm/dd/yyyy</v>
      </c>
      <c r="G193" s="150" t="str">
        <f ca="1">IF(AccAction26[[#This Row],[Started Date]]&lt;&gt;"",NOW(),"")</f>
        <v/>
      </c>
      <c r="H193" s="40" t="str">
        <f t="shared" si="19"/>
        <v>N</v>
      </c>
      <c r="I193" s="40"/>
      <c r="J193" s="40" t="str">
        <f t="shared" si="21"/>
        <v>NC7.DOC.PASSPORT</v>
      </c>
      <c r="K193" s="40"/>
    </row>
    <row r="194" spans="1:11" x14ac:dyDescent="0.25">
      <c r="A194" s="40"/>
      <c r="B194" s="40" t="str">
        <f>Master[[#This Row],[Accession Prefix (NPGS)]]&amp;" "&amp;Master[[#This Row],[Accession Number -Assigned]]</f>
        <v xml:space="preserve"> </v>
      </c>
      <c r="C194" s="40" t="str">
        <f t="shared" ref="C194:C201" si="22">"Historic documents"</f>
        <v>Historic documents</v>
      </c>
      <c r="D194" s="40" t="str">
        <f t="shared" si="17"/>
        <v>mm/dd/yyyy</v>
      </c>
      <c r="E194" s="156" t="str">
        <f>IF(Master[[#This Row],[Received Date -received by site]]="","",Master[[#This Row],[Received Date -received by site]])</f>
        <v/>
      </c>
      <c r="F194" s="40" t="str">
        <f t="shared" si="18"/>
        <v>mm/dd/yyyy</v>
      </c>
      <c r="G194" s="150" t="str">
        <f ca="1">IF(AccAction26[[#This Row],[Started Date]]&lt;&gt;"",NOW(),"")</f>
        <v/>
      </c>
      <c r="H194" s="40" t="str">
        <f t="shared" si="19"/>
        <v>N</v>
      </c>
      <c r="I194" s="40"/>
      <c r="J194" s="40" t="str">
        <f t="shared" ref="J194:J201" si="23">"NC7.DOC.PASSPORT"</f>
        <v>NC7.DOC.PASSPORT</v>
      </c>
      <c r="K194" s="40"/>
    </row>
    <row r="195" spans="1:11" x14ac:dyDescent="0.25">
      <c r="A195" s="40"/>
      <c r="B195" s="40" t="str">
        <f>Master[[#This Row],[Accession Prefix (NPGS)]]&amp;" "&amp;Master[[#This Row],[Accession Number -Assigned]]</f>
        <v xml:space="preserve"> </v>
      </c>
      <c r="C195" s="40" t="str">
        <f t="shared" si="22"/>
        <v>Historic documents</v>
      </c>
      <c r="D195" s="40" t="str">
        <f t="shared" ref="D195:D201" si="24">"mm/dd/yyyy"</f>
        <v>mm/dd/yyyy</v>
      </c>
      <c r="E195" s="156" t="str">
        <f>IF(Master[[#This Row],[Received Date -received by site]]="","",Master[[#This Row],[Received Date -received by site]])</f>
        <v/>
      </c>
      <c r="F195" s="40" t="str">
        <f t="shared" ref="F195:F201" si="25">"mm/dd/yyyy"</f>
        <v>mm/dd/yyyy</v>
      </c>
      <c r="G195" s="150" t="str">
        <f ca="1">IF(AccAction26[[#This Row],[Started Date]]&lt;&gt;"",NOW(),"")</f>
        <v/>
      </c>
      <c r="H195" s="40" t="str">
        <f t="shared" ref="H195:H201" si="26">"N"</f>
        <v>N</v>
      </c>
      <c r="I195" s="40"/>
      <c r="J195" s="40" t="str">
        <f t="shared" si="23"/>
        <v>NC7.DOC.PASSPORT</v>
      </c>
      <c r="K195" s="40"/>
    </row>
    <row r="196" spans="1:11" x14ac:dyDescent="0.25">
      <c r="A196" s="40"/>
      <c r="B196" s="40" t="str">
        <f>Master[[#This Row],[Accession Prefix (NPGS)]]&amp;" "&amp;Master[[#This Row],[Accession Number -Assigned]]</f>
        <v xml:space="preserve"> </v>
      </c>
      <c r="C196" s="40" t="str">
        <f t="shared" si="22"/>
        <v>Historic documents</v>
      </c>
      <c r="D196" s="40" t="str">
        <f t="shared" si="24"/>
        <v>mm/dd/yyyy</v>
      </c>
      <c r="E196" s="156" t="str">
        <f>IF(Master[[#This Row],[Received Date -received by site]]="","",Master[[#This Row],[Received Date -received by site]])</f>
        <v/>
      </c>
      <c r="F196" s="40" t="str">
        <f t="shared" si="25"/>
        <v>mm/dd/yyyy</v>
      </c>
      <c r="G196" s="150" t="str">
        <f ca="1">IF(AccAction26[[#This Row],[Started Date]]&lt;&gt;"",NOW(),"")</f>
        <v/>
      </c>
      <c r="H196" s="40" t="str">
        <f t="shared" si="26"/>
        <v>N</v>
      </c>
      <c r="I196" s="40"/>
      <c r="J196" s="40" t="str">
        <f t="shared" si="23"/>
        <v>NC7.DOC.PASSPORT</v>
      </c>
      <c r="K196" s="40"/>
    </row>
    <row r="197" spans="1:11" x14ac:dyDescent="0.25">
      <c r="A197" s="40"/>
      <c r="B197" s="40" t="str">
        <f>Master[[#This Row],[Accession Prefix (NPGS)]]&amp;" "&amp;Master[[#This Row],[Accession Number -Assigned]]</f>
        <v xml:space="preserve"> </v>
      </c>
      <c r="C197" s="40" t="str">
        <f t="shared" si="22"/>
        <v>Historic documents</v>
      </c>
      <c r="D197" s="40" t="str">
        <f t="shared" si="24"/>
        <v>mm/dd/yyyy</v>
      </c>
      <c r="E197" s="156" t="str">
        <f>IF(Master[[#This Row],[Received Date -received by site]]="","",Master[[#This Row],[Received Date -received by site]])</f>
        <v/>
      </c>
      <c r="F197" s="40" t="str">
        <f t="shared" si="25"/>
        <v>mm/dd/yyyy</v>
      </c>
      <c r="G197" s="150" t="str">
        <f ca="1">IF(AccAction26[[#This Row],[Started Date]]&lt;&gt;"",NOW(),"")</f>
        <v/>
      </c>
      <c r="H197" s="40" t="str">
        <f t="shared" si="26"/>
        <v>N</v>
      </c>
      <c r="I197" s="40"/>
      <c r="J197" s="40" t="str">
        <f t="shared" si="23"/>
        <v>NC7.DOC.PASSPORT</v>
      </c>
      <c r="K197" s="40"/>
    </row>
    <row r="198" spans="1:11" x14ac:dyDescent="0.25">
      <c r="A198" s="40"/>
      <c r="B198" s="40" t="str">
        <f>Master[[#This Row],[Accession Prefix (NPGS)]]&amp;" "&amp;Master[[#This Row],[Accession Number -Assigned]]</f>
        <v xml:space="preserve"> </v>
      </c>
      <c r="C198" s="40" t="str">
        <f t="shared" si="22"/>
        <v>Historic documents</v>
      </c>
      <c r="D198" s="40" t="str">
        <f t="shared" si="24"/>
        <v>mm/dd/yyyy</v>
      </c>
      <c r="E198" s="156" t="str">
        <f>IF(Master[[#This Row],[Received Date -received by site]]="","",Master[[#This Row],[Received Date -received by site]])</f>
        <v/>
      </c>
      <c r="F198" s="40" t="str">
        <f t="shared" si="25"/>
        <v>mm/dd/yyyy</v>
      </c>
      <c r="G198" s="150" t="str">
        <f ca="1">IF(AccAction26[[#This Row],[Started Date]]&lt;&gt;"",NOW(),"")</f>
        <v/>
      </c>
      <c r="H198" s="40" t="str">
        <f t="shared" si="26"/>
        <v>N</v>
      </c>
      <c r="I198" s="40"/>
      <c r="J198" s="40" t="str">
        <f t="shared" si="23"/>
        <v>NC7.DOC.PASSPORT</v>
      </c>
      <c r="K198" s="40"/>
    </row>
    <row r="199" spans="1:11" x14ac:dyDescent="0.25">
      <c r="A199" s="40"/>
      <c r="B199" s="40" t="str">
        <f>Master[[#This Row],[Accession Prefix (NPGS)]]&amp;" "&amp;Master[[#This Row],[Accession Number -Assigned]]</f>
        <v xml:space="preserve"> </v>
      </c>
      <c r="C199" s="40" t="str">
        <f t="shared" si="22"/>
        <v>Historic documents</v>
      </c>
      <c r="D199" s="40" t="str">
        <f t="shared" si="24"/>
        <v>mm/dd/yyyy</v>
      </c>
      <c r="E199" s="156" t="str">
        <f>IF(Master[[#This Row],[Received Date -received by site]]="","",Master[[#This Row],[Received Date -received by site]])</f>
        <v/>
      </c>
      <c r="F199" s="40" t="str">
        <f t="shared" si="25"/>
        <v>mm/dd/yyyy</v>
      </c>
      <c r="G199" s="150" t="str">
        <f ca="1">IF(AccAction26[[#This Row],[Started Date]]&lt;&gt;"",NOW(),"")</f>
        <v/>
      </c>
      <c r="H199" s="40" t="str">
        <f t="shared" si="26"/>
        <v>N</v>
      </c>
      <c r="I199" s="40"/>
      <c r="J199" s="40" t="str">
        <f t="shared" si="23"/>
        <v>NC7.DOC.PASSPORT</v>
      </c>
      <c r="K199" s="40"/>
    </row>
    <row r="200" spans="1:11" x14ac:dyDescent="0.25">
      <c r="A200" s="40"/>
      <c r="B200" s="40" t="str">
        <f>Master[[#This Row],[Accession Prefix (NPGS)]]&amp;" "&amp;Master[[#This Row],[Accession Number -Assigned]]</f>
        <v xml:space="preserve"> </v>
      </c>
      <c r="C200" s="40" t="str">
        <f t="shared" si="22"/>
        <v>Historic documents</v>
      </c>
      <c r="D200" s="40" t="str">
        <f t="shared" si="24"/>
        <v>mm/dd/yyyy</v>
      </c>
      <c r="E200" s="156" t="str">
        <f>IF(Master[[#This Row],[Received Date -received by site]]="","",Master[[#This Row],[Received Date -received by site]])</f>
        <v/>
      </c>
      <c r="F200" s="40" t="str">
        <f t="shared" si="25"/>
        <v>mm/dd/yyyy</v>
      </c>
      <c r="G200" s="150" t="str">
        <f ca="1">IF(AccAction26[[#This Row],[Started Date]]&lt;&gt;"",NOW(),"")</f>
        <v/>
      </c>
      <c r="H200" s="40" t="str">
        <f t="shared" si="26"/>
        <v>N</v>
      </c>
      <c r="I200" s="40"/>
      <c r="J200" s="40" t="str">
        <f t="shared" si="23"/>
        <v>NC7.DOC.PASSPORT</v>
      </c>
      <c r="K200" s="40"/>
    </row>
    <row r="201" spans="1:11" x14ac:dyDescent="0.25">
      <c r="A201" s="40"/>
      <c r="B201" s="40" t="str">
        <f>Master[[#This Row],[Accession Prefix (NPGS)]]&amp;" "&amp;Master[[#This Row],[Accession Number -Assigned]]</f>
        <v xml:space="preserve"> </v>
      </c>
      <c r="C201" s="40" t="str">
        <f t="shared" si="22"/>
        <v>Historic documents</v>
      </c>
      <c r="D201" s="40" t="str">
        <f t="shared" si="24"/>
        <v>mm/dd/yyyy</v>
      </c>
      <c r="E201" s="156" t="str">
        <f>IF(Master[[#This Row],[Received Date -received by site]]="","",Master[[#This Row],[Received Date -received by site]])</f>
        <v/>
      </c>
      <c r="F201" s="40" t="str">
        <f t="shared" si="25"/>
        <v>mm/dd/yyyy</v>
      </c>
      <c r="G201" s="150" t="str">
        <f ca="1">IF(AccAction26[[#This Row],[Started Date]]&lt;&gt;"",NOW(),"")</f>
        <v/>
      </c>
      <c r="H201" s="40" t="str">
        <f t="shared" si="26"/>
        <v>N</v>
      </c>
      <c r="I201" s="40"/>
      <c r="J201" s="40" t="str">
        <f t="shared" si="23"/>
        <v>NC7.DOC.PASSPORT</v>
      </c>
      <c r="K201" s="40"/>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966F320129C448A4BBBD265CB1C99D" ma:contentTypeVersion="14" ma:contentTypeDescription="Create a new document." ma:contentTypeScope="" ma:versionID="3a1fb8a85b0c2aa7cea7547670d3e03e">
  <xsd:schema xmlns:xsd="http://www.w3.org/2001/XMLSchema" xmlns:xs="http://www.w3.org/2001/XMLSchema" xmlns:p="http://schemas.microsoft.com/office/2006/metadata/properties" xmlns:ns1="http://schemas.microsoft.com/sharepoint/v3" xmlns:ns3="cb203ffb-8bd6-40b2-9728-6bb2c94010d5" xmlns:ns4="9edccccb-70a5-4535-a888-f9af71fd5dc5" targetNamespace="http://schemas.microsoft.com/office/2006/metadata/properties" ma:root="true" ma:fieldsID="93d1cd171d84de4c4e459e9ccbf4bb0e" ns1:_="" ns3:_="" ns4:_="">
    <xsd:import namespace="http://schemas.microsoft.com/sharepoint/v3"/>
    <xsd:import namespace="cb203ffb-8bd6-40b2-9728-6bb2c94010d5"/>
    <xsd:import namespace="9edccccb-70a5-4535-a888-f9af71fd5d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203ffb-8bd6-40b2-9728-6bb2c94010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dccccb-70a5-4535-a888-f9af71fd5dc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6FF7C8-96B9-4628-97EC-9D157FFECF9F}">
  <ds:schemaRefs>
    <ds:schemaRef ds:uri="9edccccb-70a5-4535-a888-f9af71fd5dc5"/>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microsoft.com/sharepoint/v3"/>
    <ds:schemaRef ds:uri="cb203ffb-8bd6-40b2-9728-6bb2c94010d5"/>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30CFE17-25E0-4D7D-97D7-38496EFC8186}">
  <ds:schemaRefs>
    <ds:schemaRef ds:uri="http://schemas.microsoft.com/sharepoint/v3/contenttype/forms"/>
  </ds:schemaRefs>
</ds:datastoreItem>
</file>

<file path=customXml/itemProps3.xml><?xml version="1.0" encoding="utf-8"?>
<ds:datastoreItem xmlns:ds="http://schemas.openxmlformats.org/officeDocument/2006/customXml" ds:itemID="{0B4C3A0A-2153-4556-A3EF-1FEA745807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203ffb-8bd6-40b2-9728-6bb2c94010d5"/>
    <ds:schemaRef ds:uri="9edccccb-70a5-4535-a888-f9af71fd5d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Info</vt:lpstr>
      <vt:lpstr>INV-Multi lots</vt:lpstr>
      <vt:lpstr>Lookup Picker</vt:lpstr>
      <vt:lpstr>Master File</vt:lpstr>
      <vt:lpstr>Accession Table</vt:lpstr>
      <vt:lpstr>Refresh Data-GG</vt:lpstr>
      <vt:lpstr>Export Accession Table</vt:lpstr>
      <vt:lpstr>Acc. Action SOS</vt:lpstr>
      <vt:lpstr>Acc. Action (Other)</vt:lpstr>
      <vt:lpstr>Acc.Source (Collector)</vt:lpstr>
      <vt:lpstr>Acc.Source (Donor)</vt:lpstr>
      <vt:lpstr>Inventory Table</vt:lpstr>
      <vt:lpstr>Refresh Data (GG)</vt:lpstr>
      <vt:lpstr>Acc. Inv. Group Map</vt:lpstr>
      <vt:lpstr>Acc. Inv. Group Map-FIRST.LOTS</vt:lpstr>
      <vt:lpstr>Inv. Viability (DonorGerm)</vt:lpstr>
      <vt:lpstr>Inv. Action (Rec'd)</vt:lpstr>
      <vt:lpstr>Inv. Action (Collected)</vt:lpstr>
      <vt:lpstr>Acc.Source.Coop. (Collector 1)</vt:lpstr>
      <vt:lpstr>Collector 2</vt:lpstr>
      <vt:lpstr>Collector 3</vt:lpstr>
      <vt:lpstr>Acc.Source.Coop (Donor 1)</vt:lpstr>
      <vt:lpstr>Donor 2</vt:lpstr>
      <vt:lpstr>Acc. Inv. Name 1</vt:lpstr>
      <vt:lpstr>Acc. Inv. Name 2</vt:lpstr>
      <vt:lpstr>Acc. Inv. Name 3</vt:lpstr>
      <vt:lpstr>Acc.Inv.Voucher 1</vt:lpstr>
      <vt:lpstr>Acc.Inv.Voucher 2</vt:lpstr>
      <vt:lpstr>Acc.Inv.Voucher 3</vt:lpstr>
      <vt:lpstr>Citation</vt:lpstr>
      <vt:lpstr>Source.Descriptor Obs (Aspect)</vt:lpstr>
      <vt:lpstr>Source.Descriptor Obs (Slope)</vt:lpstr>
      <vt:lpstr>Source.Descriptor Obs (Soil)</vt:lpstr>
      <vt:lpstr>Source.Descriptor Obs (Ecoreg)</vt:lpstr>
      <vt:lpstr>Final Checklist</vt:lpstr>
      <vt:lpstr>Print This</vt:lpstr>
      <vt:lpstr>'Print This'!Print_Titles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Carstens, Jeffrey D [AGRON]</dc:creator>
  <cp:lastModifiedBy>Taylor, Lisa D</cp:lastModifiedBy>
  <cp:lastPrinted>2017-05-04T15:24:18Z</cp:lastPrinted>
  <dcterms:created xsi:type="dcterms:W3CDTF">2016-08-18T13:45:10Z</dcterms:created>
  <dcterms:modified xsi:type="dcterms:W3CDTF">2021-10-04T23:43:26Z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4c8514eb-693e-4ab0-9af9-e107d2f35cbe</vt:lpwstr>
  </property>
  <property fmtid="{D5CDD505-2E9C-101B-9397-08002B2CF9AE}" pid="3" name="ContentTypeId">
    <vt:lpwstr>0x010100B6966F320129C448A4BBBD265CB1C99D</vt:lpwstr>
  </property>
</Properties>
</file>